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mc:AlternateContent xmlns:mc="http://schemas.openxmlformats.org/markup-compatibility/2006">
    <mc:Choice Requires="x15">
      <x15ac:absPath xmlns:x15ac="http://schemas.microsoft.com/office/spreadsheetml/2010/11/ac" url="https://rockmtnins.sharepoint.com/sites/ClimateAlignedIndustries/CDR/Workstreams/MassCEC/Research/"/>
    </mc:Choice>
  </mc:AlternateContent>
  <xr:revisionPtr revIDLastSave="0" documentId="8_{1A508F37-75FA-4495-838B-593FACD25574}" xr6:coauthVersionLast="47" xr6:coauthVersionMax="47" xr10:uidLastSave="{00000000-0000-0000-0000-000000000000}"/>
  <bookViews>
    <workbookView xWindow="-28920" yWindow="-120" windowWidth="29040" windowHeight="15720" firstSheet="1" activeTab="1" xr2:uid="{00000000-000D-0000-FFFF-FFFF00000000}"/>
  </bookViews>
  <sheets>
    <sheet name="Summary Table" sheetId="1" r:id="rId1"/>
    <sheet name="Scale Calculations" sheetId="2" r:id="rId2"/>
    <sheet name="Job Creation Rate Calculation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4" i="2" l="1"/>
  <c r="F77" i="2" s="1"/>
  <c r="F193" i="2"/>
  <c r="F176" i="2"/>
  <c r="F45" i="2"/>
  <c r="F50" i="2" s="1"/>
  <c r="F241" i="2"/>
  <c r="F240" i="2"/>
  <c r="F194" i="2"/>
  <c r="F198" i="2" s="1"/>
  <c r="F195" i="2"/>
  <c r="F199" i="2" s="1"/>
  <c r="F177" i="2"/>
  <c r="F181" i="2" s="1"/>
  <c r="F178" i="2"/>
  <c r="F182" i="2" s="1"/>
  <c r="F98" i="2"/>
  <c r="F97" i="2"/>
  <c r="F96" i="2"/>
  <c r="F49" i="2"/>
  <c r="F48" i="2"/>
  <c r="F47" i="2"/>
  <c r="F52" i="2" s="1"/>
  <c r="F46" i="2"/>
  <c r="F51" i="2" s="1"/>
  <c r="F63" i="2"/>
  <c r="F64" i="2" s="1"/>
  <c r="C60" i="2" s="1"/>
  <c r="D8" i="1" s="1"/>
  <c r="H8" i="1" s="1"/>
  <c r="F22" i="2"/>
  <c r="F13" i="1"/>
  <c r="E13" i="1"/>
  <c r="F133" i="3"/>
  <c r="F138" i="3" s="1"/>
  <c r="C326" i="3"/>
  <c r="C325" i="3"/>
  <c r="C324" i="3"/>
  <c r="C328" i="3" s="1"/>
  <c r="C322" i="3" s="1"/>
  <c r="C330" i="3" s="1"/>
  <c r="F26" i="1" s="1"/>
  <c r="C323" i="3"/>
  <c r="C327" i="3" s="1"/>
  <c r="C321" i="3" s="1"/>
  <c r="C329" i="3" s="1"/>
  <c r="E26" i="1" s="1"/>
  <c r="C314" i="3"/>
  <c r="C308" i="3" s="1"/>
  <c r="C316" i="3" s="1"/>
  <c r="F25" i="1" s="1"/>
  <c r="C313" i="3"/>
  <c r="C307" i="3" s="1"/>
  <c r="C315" i="3" s="1"/>
  <c r="E25" i="1" s="1"/>
  <c r="C300" i="3"/>
  <c r="C294" i="3" s="1"/>
  <c r="C302" i="3" s="1"/>
  <c r="F24" i="1" s="1"/>
  <c r="C299" i="3"/>
  <c r="C293" i="3" s="1"/>
  <c r="C301" i="3" s="1"/>
  <c r="E24" i="1" s="1"/>
  <c r="C284" i="3"/>
  <c r="C283" i="3"/>
  <c r="C282" i="3"/>
  <c r="C286" i="3" s="1"/>
  <c r="C280" i="3" s="1"/>
  <c r="C288" i="3" s="1"/>
  <c r="F23" i="1" s="1"/>
  <c r="C281" i="3"/>
  <c r="C285" i="3" s="1"/>
  <c r="C279" i="3" s="1"/>
  <c r="C287" i="3" s="1"/>
  <c r="E23" i="1" s="1"/>
  <c r="C270" i="3"/>
  <c r="C269" i="3"/>
  <c r="C268" i="3"/>
  <c r="C272" i="3" s="1"/>
  <c r="C266" i="3" s="1"/>
  <c r="C274" i="3" s="1"/>
  <c r="F22" i="1" s="1"/>
  <c r="C267" i="3"/>
  <c r="C271" i="3" s="1"/>
  <c r="C265" i="3" s="1"/>
  <c r="C273" i="3" s="1"/>
  <c r="E22" i="1" s="1"/>
  <c r="C256" i="3"/>
  <c r="C255" i="3"/>
  <c r="C254" i="3"/>
  <c r="C258" i="3" s="1"/>
  <c r="C252" i="3" s="1"/>
  <c r="C260" i="3" s="1"/>
  <c r="F21" i="1" s="1"/>
  <c r="C253" i="3"/>
  <c r="C257" i="3" s="1"/>
  <c r="C251" i="3" s="1"/>
  <c r="C259" i="3" s="1"/>
  <c r="E21" i="1" s="1"/>
  <c r="C242" i="3"/>
  <c r="C241" i="3"/>
  <c r="C240" i="3"/>
  <c r="C239" i="3"/>
  <c r="C243" i="3" s="1"/>
  <c r="C237" i="3" s="1"/>
  <c r="C245" i="3" s="1"/>
  <c r="E20" i="1" s="1"/>
  <c r="C228" i="3"/>
  <c r="C227" i="3"/>
  <c r="C226" i="3"/>
  <c r="C230" i="3" s="1"/>
  <c r="C224" i="3" s="1"/>
  <c r="C232" i="3" s="1"/>
  <c r="F19" i="1" s="1"/>
  <c r="C225" i="3"/>
  <c r="C229" i="3" s="1"/>
  <c r="C223" i="3" s="1"/>
  <c r="C231" i="3" s="1"/>
  <c r="E19" i="1" s="1"/>
  <c r="C214" i="3"/>
  <c r="C213" i="3"/>
  <c r="C212" i="3"/>
  <c r="C216" i="3" s="1"/>
  <c r="C210" i="3" s="1"/>
  <c r="C218" i="3" s="1"/>
  <c r="F18" i="1" s="1"/>
  <c r="C211" i="3"/>
  <c r="C215" i="3" s="1"/>
  <c r="C209" i="3" s="1"/>
  <c r="C217" i="3" s="1"/>
  <c r="E18" i="1" s="1"/>
  <c r="C200" i="3"/>
  <c r="C199" i="3"/>
  <c r="C198" i="3"/>
  <c r="C202" i="3" s="1"/>
  <c r="C196" i="3" s="1"/>
  <c r="C204" i="3" s="1"/>
  <c r="F17" i="1" s="1"/>
  <c r="C197" i="3"/>
  <c r="C201" i="3" s="1"/>
  <c r="C195" i="3" s="1"/>
  <c r="C203" i="3" s="1"/>
  <c r="E17" i="1" s="1"/>
  <c r="C186" i="3"/>
  <c r="C185" i="3"/>
  <c r="C184" i="3"/>
  <c r="C188" i="3" s="1"/>
  <c r="C182" i="3" s="1"/>
  <c r="C190" i="3" s="1"/>
  <c r="F16" i="1" s="1"/>
  <c r="C183" i="3"/>
  <c r="C172" i="3"/>
  <c r="C171" i="3"/>
  <c r="C170" i="3"/>
  <c r="C174" i="3" s="1"/>
  <c r="C168" i="3" s="1"/>
  <c r="C176" i="3" s="1"/>
  <c r="F15" i="1" s="1"/>
  <c r="C169" i="3"/>
  <c r="C173" i="3" s="1"/>
  <c r="C167" i="3" s="1"/>
  <c r="C175" i="3" s="1"/>
  <c r="E15" i="1" s="1"/>
  <c r="C160" i="3"/>
  <c r="C154" i="3" s="1"/>
  <c r="C162" i="3" s="1"/>
  <c r="F14" i="1" s="1"/>
  <c r="C159" i="3"/>
  <c r="C153" i="3" s="1"/>
  <c r="C161" i="3" s="1"/>
  <c r="E14" i="1" s="1"/>
  <c r="C123" i="3"/>
  <c r="C122" i="3"/>
  <c r="C121" i="3"/>
  <c r="C125" i="3" s="1"/>
  <c r="C119" i="3" s="1"/>
  <c r="C127" i="3" s="1"/>
  <c r="F11" i="1" s="1"/>
  <c r="C120" i="3"/>
  <c r="C124" i="3" s="1"/>
  <c r="C118" i="3" s="1"/>
  <c r="C126" i="3" s="1"/>
  <c r="E11" i="1" s="1"/>
  <c r="C109" i="3"/>
  <c r="C108" i="3"/>
  <c r="C107" i="3"/>
  <c r="C106" i="3"/>
  <c r="C110" i="3"/>
  <c r="C104" i="3" s="1"/>
  <c r="C112" i="3" s="1"/>
  <c r="E10" i="1" s="1"/>
  <c r="F99" i="3"/>
  <c r="F98" i="3"/>
  <c r="F93" i="3"/>
  <c r="F81" i="3"/>
  <c r="F83" i="3" s="1"/>
  <c r="C82" i="3" s="1"/>
  <c r="C76" i="3" s="1"/>
  <c r="C84" i="3" s="1"/>
  <c r="F8" i="1" s="1"/>
  <c r="F80" i="3"/>
  <c r="F82" i="3" s="1"/>
  <c r="C81" i="3" s="1"/>
  <c r="C75" i="3" s="1"/>
  <c r="C83" i="3" s="1"/>
  <c r="E8" i="1" s="1"/>
  <c r="C68" i="3"/>
  <c r="C67" i="3"/>
  <c r="C61" i="3" s="1"/>
  <c r="C69" i="3" s="1"/>
  <c r="E7" i="1" s="1"/>
  <c r="C62" i="3"/>
  <c r="C70" i="3" s="1"/>
  <c r="F7" i="1" s="1"/>
  <c r="C53" i="3"/>
  <c r="C47" i="3" s="1"/>
  <c r="C55" i="3" s="1"/>
  <c r="F6" i="1" s="1"/>
  <c r="C52" i="3"/>
  <c r="C46" i="3" s="1"/>
  <c r="C54" i="3" s="1"/>
  <c r="E6" i="1" s="1"/>
  <c r="C35" i="3"/>
  <c r="C37" i="3" s="1"/>
  <c r="C34" i="3"/>
  <c r="C36" i="3" s="1"/>
  <c r="C31" i="3"/>
  <c r="C39" i="3" s="1"/>
  <c r="F5" i="1" s="1"/>
  <c r="C30" i="3"/>
  <c r="C38" i="3" s="1"/>
  <c r="E5" i="1" s="1"/>
  <c r="C23" i="3"/>
  <c r="C17" i="3" s="1"/>
  <c r="C25" i="3" s="1"/>
  <c r="F4" i="1" s="1"/>
  <c r="C22" i="3"/>
  <c r="C16" i="3" s="1"/>
  <c r="C24" i="3" s="1"/>
  <c r="E4" i="1" s="1"/>
  <c r="F139" i="2"/>
  <c r="F135" i="3" s="1"/>
  <c r="F136" i="2"/>
  <c r="F138" i="2" s="1"/>
  <c r="F134" i="3" s="1"/>
  <c r="C26" i="1"/>
  <c r="D25" i="1"/>
  <c r="H25" i="1" s="1"/>
  <c r="C25" i="1"/>
  <c r="G25" i="1" s="1"/>
  <c r="D24" i="1"/>
  <c r="C24" i="1"/>
  <c r="C14" i="1"/>
  <c r="D13" i="1"/>
  <c r="C13" i="1"/>
  <c r="C8" i="1"/>
  <c r="F345" i="2"/>
  <c r="F346" i="2" s="1"/>
  <c r="C343" i="2" s="1"/>
  <c r="D26" i="1" s="1"/>
  <c r="H26" i="1" s="1"/>
  <c r="F317" i="2"/>
  <c r="F303" i="2"/>
  <c r="F289" i="2"/>
  <c r="F293" i="2" s="1"/>
  <c r="F280" i="2"/>
  <c r="F272" i="2"/>
  <c r="F271" i="2"/>
  <c r="C6" i="2"/>
  <c r="D4" i="1" s="1"/>
  <c r="H4" i="1" s="1"/>
  <c r="C5" i="2"/>
  <c r="C4" i="1" s="1"/>
  <c r="G4" i="1" s="1"/>
  <c r="F255" i="2"/>
  <c r="F258" i="2" s="1"/>
  <c r="F223" i="2"/>
  <c r="F221" i="2"/>
  <c r="F224" i="2" s="1"/>
  <c r="F226" i="2" s="1"/>
  <c r="F209" i="2"/>
  <c r="F158" i="2"/>
  <c r="F162" i="2" s="1"/>
  <c r="F163" i="2" s="1"/>
  <c r="D14" i="1" s="1"/>
  <c r="F131" i="2"/>
  <c r="F121" i="2"/>
  <c r="F120" i="2"/>
  <c r="F119" i="2"/>
  <c r="F101" i="2"/>
  <c r="F100" i="2"/>
  <c r="F99" i="2"/>
  <c r="F75" i="2"/>
  <c r="F76" i="2"/>
  <c r="F34" i="2"/>
  <c r="C30" i="2" s="1"/>
  <c r="D6" i="1" s="1"/>
  <c r="H6" i="1" s="1"/>
  <c r="F33" i="2"/>
  <c r="C29" i="2" s="1"/>
  <c r="C6" i="1" s="1"/>
  <c r="G6" i="1" s="1"/>
  <c r="F79" i="2" l="1"/>
  <c r="F263" i="2"/>
  <c r="F265" i="2" s="1"/>
  <c r="F262" i="2"/>
  <c r="F264" i="2" s="1"/>
  <c r="F245" i="2"/>
  <c r="F244" i="2"/>
  <c r="F243" i="2"/>
  <c r="F247" i="2" s="1"/>
  <c r="C231" i="2" s="1"/>
  <c r="C18" i="1" s="1"/>
  <c r="G18" i="1" s="1"/>
  <c r="F242" i="2"/>
  <c r="F54" i="2"/>
  <c r="C39" i="2" s="1"/>
  <c r="C7" i="1" s="1"/>
  <c r="G7" i="1" s="1"/>
  <c r="F53" i="2"/>
  <c r="C40" i="2" s="1"/>
  <c r="D7" i="1" s="1"/>
  <c r="H7" i="1" s="1"/>
  <c r="F102" i="2"/>
  <c r="F104" i="2" s="1"/>
  <c r="C85" i="2" s="1"/>
  <c r="D10" i="1" s="1"/>
  <c r="H10" i="1" s="1"/>
  <c r="F142" i="2"/>
  <c r="C130" i="2" s="1"/>
  <c r="D12" i="1" s="1"/>
  <c r="F140" i="3"/>
  <c r="C139" i="3" s="1"/>
  <c r="C133" i="3" s="1"/>
  <c r="C141" i="3" s="1"/>
  <c r="F12" i="1" s="1"/>
  <c r="C244" i="3"/>
  <c r="C238" i="3" s="1"/>
  <c r="C246" i="3" s="1"/>
  <c r="F20" i="1" s="1"/>
  <c r="F139" i="3"/>
  <c r="C138" i="3" s="1"/>
  <c r="C132" i="3" s="1"/>
  <c r="C140" i="3" s="1"/>
  <c r="E12" i="1" s="1"/>
  <c r="C187" i="3"/>
  <c r="C181" i="3" s="1"/>
  <c r="C189" i="3" s="1"/>
  <c r="E16" i="1" s="1"/>
  <c r="F97" i="3"/>
  <c r="C95" i="3" s="1"/>
  <c r="C89" i="3" s="1"/>
  <c r="C97" i="3" s="1"/>
  <c r="E9" i="1" s="1"/>
  <c r="F96" i="3"/>
  <c r="C96" i="3" s="1"/>
  <c r="C90" i="3" s="1"/>
  <c r="C98" i="3" s="1"/>
  <c r="F9" i="1" s="1"/>
  <c r="C111" i="3"/>
  <c r="C105" i="3" s="1"/>
  <c r="C113" i="3" s="1"/>
  <c r="F10" i="1" s="1"/>
  <c r="C187" i="2"/>
  <c r="C16" i="1" s="1"/>
  <c r="G16" i="1" s="1"/>
  <c r="C188" i="2"/>
  <c r="D16" i="1" s="1"/>
  <c r="H16" i="1" s="1"/>
  <c r="C170" i="2"/>
  <c r="C15" i="1" s="1"/>
  <c r="G15" i="1" s="1"/>
  <c r="C171" i="2"/>
  <c r="D15" i="1" s="1"/>
  <c r="H15" i="1" s="1"/>
  <c r="F103" i="2"/>
  <c r="F105" i="2" s="1"/>
  <c r="C84" i="2" s="1"/>
  <c r="C10" i="1" s="1"/>
  <c r="G10" i="1" s="1"/>
  <c r="F322" i="2"/>
  <c r="C315" i="2" s="1"/>
  <c r="C23" i="1" s="1"/>
  <c r="G23" i="1" s="1"/>
  <c r="F321" i="2"/>
  <c r="C316" i="2" s="1"/>
  <c r="D23" i="1" s="1"/>
  <c r="H23" i="1" s="1"/>
  <c r="F308" i="2"/>
  <c r="F307" i="2"/>
  <c r="F122" i="2"/>
  <c r="F294" i="2"/>
  <c r="F273" i="2"/>
  <c r="F213" i="2"/>
  <c r="C204" i="2" s="1"/>
  <c r="C17" i="1" s="1"/>
  <c r="G17" i="1" s="1"/>
  <c r="F212" i="2"/>
  <c r="C205" i="2" s="1"/>
  <c r="D17" i="1" s="1"/>
  <c r="H17" i="1" s="1"/>
  <c r="F143" i="2"/>
  <c r="C129" i="2" s="1"/>
  <c r="C12" i="1" s="1"/>
  <c r="C69" i="2"/>
  <c r="C9" i="1" s="1"/>
  <c r="G9" i="1" s="1"/>
  <c r="F78" i="2"/>
  <c r="C70" i="2" s="1"/>
  <c r="D9" i="1" s="1"/>
  <c r="H9" i="1" s="1"/>
  <c r="F24" i="2"/>
  <c r="C17" i="2" s="1"/>
  <c r="D5" i="1" s="1"/>
  <c r="H5" i="1" s="1"/>
  <c r="F23" i="2"/>
  <c r="C16" i="2" s="1"/>
  <c r="C5" i="1" s="1"/>
  <c r="G5" i="1" s="1"/>
  <c r="F246" i="2" l="1"/>
  <c r="C232" i="2" s="1"/>
  <c r="D18" i="1" s="1"/>
  <c r="H18" i="1" s="1"/>
  <c r="C253" i="2"/>
  <c r="D19" i="1" s="1"/>
  <c r="H19" i="1" s="1"/>
  <c r="C252" i="2"/>
  <c r="C19" i="1" s="1"/>
  <c r="G19" i="1" s="1"/>
  <c r="G12" i="1"/>
  <c r="H12" i="1"/>
  <c r="F282" i="2"/>
  <c r="F281" i="2"/>
  <c r="F124" i="2"/>
  <c r="C110" i="2" s="1"/>
  <c r="C11" i="1" s="1"/>
  <c r="G11" i="1" s="1"/>
  <c r="F123" i="2"/>
  <c r="C111" i="2" s="1"/>
  <c r="D11" i="1" s="1"/>
  <c r="H11" i="1" s="1"/>
  <c r="F310" i="2" l="1"/>
  <c r="C302" i="2" s="1"/>
  <c r="D22" i="1" s="1"/>
  <c r="H22" i="1" s="1"/>
  <c r="C271" i="2"/>
  <c r="C270" i="2"/>
  <c r="F309" i="2"/>
  <c r="C301" i="2" s="1"/>
  <c r="C22" i="1" s="1"/>
  <c r="G22" i="1" s="1"/>
  <c r="F296" i="2" l="1"/>
  <c r="C288" i="2" s="1"/>
  <c r="D21" i="1" s="1"/>
  <c r="H21" i="1" s="1"/>
  <c r="D20" i="1"/>
  <c r="H20" i="1" s="1"/>
  <c r="F295" i="2"/>
  <c r="C287" i="2" s="1"/>
  <c r="C21" i="1" s="1"/>
  <c r="G21" i="1" s="1"/>
  <c r="C20" i="1"/>
  <c r="G20" i="1" s="1"/>
</calcChain>
</file>

<file path=xl/sharedStrings.xml><?xml version="1.0" encoding="utf-8"?>
<sst xmlns="http://schemas.openxmlformats.org/spreadsheetml/2006/main" count="1842" uniqueCount="541">
  <si>
    <t>CDR pathway</t>
  </si>
  <si>
    <t>Scale potential - low</t>
  </si>
  <si>
    <t>Scale potential - high</t>
  </si>
  <si>
    <t>Job creation rate - low</t>
  </si>
  <si>
    <t>Job creation rate - high</t>
  </si>
  <si>
    <t>Total jobs - low</t>
  </si>
  <si>
    <t>Total jobs - high</t>
  </si>
  <si>
    <t>(tCO2/y)</t>
  </si>
  <si>
    <t>(jobs/Mtpa)</t>
  </si>
  <si>
    <t>(jobs)</t>
  </si>
  <si>
    <t>Forests</t>
  </si>
  <si>
    <t>Agricultural soils</t>
  </si>
  <si>
    <t>Salt Marshes</t>
  </si>
  <si>
    <t>Biomass Direct Storage</t>
  </si>
  <si>
    <t>Timber Building Products</t>
  </si>
  <si>
    <t>N/A</t>
  </si>
  <si>
    <t>Other Biomass Building Products</t>
  </si>
  <si>
    <t>Pyrolysis (biochar) and storage</t>
  </si>
  <si>
    <t>Pyrolysis (bioliquid) and storage</t>
  </si>
  <si>
    <t>Microalgae in Ponds</t>
  </si>
  <si>
    <t>Microalgae in Open Water</t>
  </si>
  <si>
    <t>Macroalgae in Open Water</t>
  </si>
  <si>
    <t>BECCS to Electricity</t>
  </si>
  <si>
    <t>BECCS to Fuels</t>
  </si>
  <si>
    <t>Surficial Mineralization</t>
  </si>
  <si>
    <t>Terrestrial Enhanced Weathering</t>
  </si>
  <si>
    <t>Coastal Enhanced Weathering</t>
  </si>
  <si>
    <t>Mineral Alkalinity Enhancement</t>
  </si>
  <si>
    <t>CO2 Stripping</t>
  </si>
  <si>
    <t>Electrochemical Alkalinity Production</t>
  </si>
  <si>
    <t>Direct Air Capture</t>
  </si>
  <si>
    <t>Conventional Storage</t>
  </si>
  <si>
    <t>In-situ Mineralization</t>
  </si>
  <si>
    <t>Ex-situ Mineralization</t>
  </si>
  <si>
    <r>
      <rPr>
        <b/>
        <i/>
        <sz val="11"/>
        <color rgb="FF000000"/>
        <rFont val="Aptos Narrow"/>
        <family val="2"/>
      </rPr>
      <t xml:space="preserve">Note: </t>
    </r>
    <r>
      <rPr>
        <i/>
        <sz val="11"/>
        <color rgb="FF000000"/>
        <rFont val="Aptos Narrow"/>
        <family val="2"/>
      </rPr>
      <t>Scale estimates represent the potential deployment scale if all of one of the State's resources (e.g., biomass, coastal area) were devoted to a CDR pathway. These values are not an estimate of the likely deployment scale in MA. They are a large overestimate, due to the feasibility limits and advisability issues discussed in the report.</t>
    </r>
  </si>
  <si>
    <t>Scale potential (tCO2e/y)</t>
  </si>
  <si>
    <t>Data</t>
  </si>
  <si>
    <t>Low</t>
  </si>
  <si>
    <t>Parameter</t>
  </si>
  <si>
    <t>Value</t>
  </si>
  <si>
    <t>Unit</t>
  </si>
  <si>
    <t>Notes</t>
  </si>
  <si>
    <t>Source</t>
  </si>
  <si>
    <t>High</t>
  </si>
  <si>
    <t>Lower bound removal estimate - total</t>
  </si>
  <si>
    <t>tCO2e/y</t>
  </si>
  <si>
    <t>Assumes minimal natural disturbances and includes passive removals</t>
  </si>
  <si>
    <t>MA Forest Carbon Study</t>
  </si>
  <si>
    <t>Upper bound removal estimate - total</t>
  </si>
  <si>
    <t>Lower bound removal estimate - active removals only</t>
  </si>
  <si>
    <t>Reforestation and tree planting (active removal) capacity, low end of range</t>
  </si>
  <si>
    <t>Upper bound removal estimate - active removals only</t>
  </si>
  <si>
    <t>Reforestation and tree planting (active removal) capacity, high end of range</t>
  </si>
  <si>
    <t>Amount of farmland in MA</t>
  </si>
  <si>
    <t>acres</t>
  </si>
  <si>
    <t>Amount of farmland is based on the USDA 2022 Census of Agriculture</t>
  </si>
  <si>
    <t>Agricultural Resources Facts and Statistics | Mass.gov</t>
  </si>
  <si>
    <t>Carbon storage rate - low</t>
  </si>
  <si>
    <t>tCO2e/ha/yr</t>
  </si>
  <si>
    <t>Assumes low sequestration rate for soil approaches in the UK</t>
  </si>
  <si>
    <t xml:space="preserve">https://pubs.rsc.org/en/content/articlepdf/2016/em/c6em00386a </t>
  </si>
  <si>
    <t>Carbon storage rate - high</t>
  </si>
  <si>
    <t>Assumes high sequestration rate for soil approaches in the UK</t>
  </si>
  <si>
    <t>US average percentage of farmers cover cropping in 2023</t>
  </si>
  <si>
    <t>%</t>
  </si>
  <si>
    <t>Assumes this percentage holds yearly and applies to MA</t>
  </si>
  <si>
    <t>https://ag.purdue.edu/commercialag/ageconomybarometer/farmers-remain-cautiously-optimistic-about-agricultural-economy/</t>
  </si>
  <si>
    <t>Acre to ha conversion</t>
  </si>
  <si>
    <t>Conversion factor</t>
  </si>
  <si>
    <t>Amount of farmland in MA available for cover cropping</t>
  </si>
  <si>
    <t>ha</t>
  </si>
  <si>
    <t>Calculated</t>
  </si>
  <si>
    <t>Lower bound removal estimate</t>
  </si>
  <si>
    <t>Assumes low soil carbon sequestration rate</t>
  </si>
  <si>
    <t>Upper bound removal estimate</t>
  </si>
  <si>
    <t>Assumes high soil carbon sequestration rate</t>
  </si>
  <si>
    <t>Salt marshes</t>
  </si>
  <si>
    <t>Total salt marsh acreage in MA</t>
  </si>
  <si>
    <t xml:space="preserve">Assumes that all 47000 acres have experienced equal and significant enough degradation to warrant restoration and are not currently delivering any removals </t>
  </si>
  <si>
    <t>Massachusetts Blue Carbon Financial Incentive Program Feasibility Study</t>
  </si>
  <si>
    <t>Removal capacity for salt marsh - low</t>
  </si>
  <si>
    <t>tCO2/acre/y</t>
  </si>
  <si>
    <t>Lower removal range for intact salt marshes</t>
  </si>
  <si>
    <t>Removal capacity for salt marsh - high</t>
  </si>
  <si>
    <t>Upper removal range for intact salt marshes</t>
  </si>
  <si>
    <t>Assumes low salt marsh removal capacity</t>
  </si>
  <si>
    <t>Assumes high salt marsh removal capacity</t>
  </si>
  <si>
    <t>Biomass direct storage</t>
  </si>
  <si>
    <t>Forestry wastes produced in MA</t>
  </si>
  <si>
    <t>dry tons/y</t>
  </si>
  <si>
    <t>Assumes forestry wastes (all included in the report except for small diameter trees) can be used in BDS</t>
  </si>
  <si>
    <t>https://bioenergykdf.ornl.gov/bt23-forestry-download?f%5B0%5D=bt23_forestry_scenario_name%3Anear-term</t>
  </si>
  <si>
    <t>Agricultural waste production</t>
  </si>
  <si>
    <t>Other wet wastes</t>
  </si>
  <si>
    <t>Assumes other wet waste (sludge, manure, and food waste) can be used in BDS</t>
  </si>
  <si>
    <t>https://bioenergykdf.ornl.gov/bt23-wastes-download?f%5B0%5D=bt23_subclass_facet%3AOther%20wet%20waste</t>
  </si>
  <si>
    <t xml:space="preserve">Agricultural biomass conversion upper </t>
  </si>
  <si>
    <t>tCO2e/ton</t>
  </si>
  <si>
    <t>https://www.pnas.org/doi/10.1073/pnas.2217695120#:~:text=The%20weight%20fraction%20of%20carbon,deemed%20to%20be%20less%20controversial.</t>
  </si>
  <si>
    <t xml:space="preserve">Agricultural biomass conversion lower </t>
  </si>
  <si>
    <t>Forestry waste conversion efficiency</t>
  </si>
  <si>
    <t>Uses the carbon fraction of forest biomass in the linked source and converts to CO2</t>
  </si>
  <si>
    <t>Proposal to integrate AFOLU</t>
  </si>
  <si>
    <t>Sludge conversion efficiency upper</t>
  </si>
  <si>
    <t>Assumes the high carbon content of sludge measured in the linked source and converts to CO2</t>
  </si>
  <si>
    <t>Slow-pyrolysis of municipal sewage sludge: biochar characteristics and advanced thermodynamics</t>
  </si>
  <si>
    <t>Sludge conversion efficiency lower</t>
  </si>
  <si>
    <t>Assumes the low carbon content of sludge measured in the linked source and converts to CO2</t>
  </si>
  <si>
    <t>Ag tons removed upper</t>
  </si>
  <si>
    <t>Ag tons removed lower</t>
  </si>
  <si>
    <t xml:space="preserve">Forest waste tons removed </t>
  </si>
  <si>
    <t>Sludge tons removed higher</t>
  </si>
  <si>
    <t>Sludge tons removed lower</t>
  </si>
  <si>
    <t>Timber building products</t>
  </si>
  <si>
    <t xml:space="preserve">Timber removal potential </t>
  </si>
  <si>
    <t>tCO2e/hectare/y</t>
  </si>
  <si>
    <t xml:space="preserve">Assumes that harvesting timber for building products operates at a sustainable "medium" rate of harvesting </t>
  </si>
  <si>
    <t>Wood Vault: remove atmospheric CO2 with trees, store wood for carbon sequestration for now and as biomass, bioenergy and carbon reserve for the future | Carbon Balance and Management | Full Text</t>
  </si>
  <si>
    <t>Total timberland in MA</t>
  </si>
  <si>
    <t>Assumes that no meaningful changes have occurred to the amount of MA timberland since 2021, though report was produced in 2025</t>
  </si>
  <si>
    <t>Forests of Massachusetts, 2021: FIA annual snapshot.</t>
  </si>
  <si>
    <t>Hectare Conversion Factor</t>
  </si>
  <si>
    <t>acres/hectare</t>
  </si>
  <si>
    <t>Unit conversion</t>
  </si>
  <si>
    <t>Conversion</t>
  </si>
  <si>
    <t>Total MA Hectares of Timberland</t>
  </si>
  <si>
    <t>hectares</t>
  </si>
  <si>
    <t xml:space="preserve">Total tCO2 potential from MA timberland </t>
  </si>
  <si>
    <t xml:space="preserve">Assumes that all hectares of MA timberland are utilized to produce mass timber building products, as well as that the timber is harvested under a "medium" sustainability rate. </t>
  </si>
  <si>
    <t>Other biomass building products</t>
  </si>
  <si>
    <t>Agricultural wastes</t>
  </si>
  <si>
    <t>Assumes agricultural waste (ag processing waste and ag residues) can be used in biomass building products</t>
  </si>
  <si>
    <t>https://bioenergykdf.ornl.gov/bt23-agricultural-download?f%5B0%5D=bt23_agricultural_scenario_facet%3Anear-term</t>
  </si>
  <si>
    <t>Forestry wastes</t>
  </si>
  <si>
    <t>Assumes forestry wastes (all included in the report except for small diameter trees) can be used in biomass building products</t>
  </si>
  <si>
    <t>Ag tons removed lower bounds</t>
  </si>
  <si>
    <t xml:space="preserve">Calculated </t>
  </si>
  <si>
    <t>Ag tons removed upper bounds</t>
  </si>
  <si>
    <t>Woody biomass (forest waste) production</t>
  </si>
  <si>
    <t>Assumes forestry wastes (all included in the report except for small diameter trees) can be used for biochar</t>
  </si>
  <si>
    <t>Herbaceous biomass (agricultural waste) production</t>
  </si>
  <si>
    <t>Assumes agricultural waste (ag processing waste and ag residues) can be used for biochar</t>
  </si>
  <si>
    <t xml:space="preserve">Wastewater sludge production </t>
  </si>
  <si>
    <t>Assumes other wet waste (sludge, manure, and food waste) can be used for biochar. This is an overestimate because not all waste, especially food waste, will be able to be carbonized.</t>
  </si>
  <si>
    <t>Woody biomass to biochar conversion efficiency upper bound</t>
  </si>
  <si>
    <t>ton biochar / ton woody biomass</t>
  </si>
  <si>
    <t>Assumes high end of conversion efficiency range</t>
  </si>
  <si>
    <t>Life-cycle assessment and techno-economic analysis of biochar produced from forest residues using portable systems</t>
  </si>
  <si>
    <t>Woody biomass to biochar conversion efficiency lower bound</t>
  </si>
  <si>
    <t>Assumes low end of conversion efficiency range</t>
  </si>
  <si>
    <t>Wastewater sludge biomass to biochar conversion efficiency upper bound</t>
  </si>
  <si>
    <t>ton biochar / ton wastewater sludge biomass</t>
  </si>
  <si>
    <t>Wastewater sludge biomass to biochar conversion efficiency lower bound</t>
  </si>
  <si>
    <t>Herbaceous biomass to biochar conversion efficiency upper bound</t>
  </si>
  <si>
    <t>wt%</t>
  </si>
  <si>
    <t>https://www.sciencedirect.com/science/article/pii/S0165237025000579</t>
  </si>
  <si>
    <t>Herbaceous biomass to biochar conversion efficiency lower bound</t>
  </si>
  <si>
    <t>tCO2e per ton biochar removal equivalence upper bounds</t>
  </si>
  <si>
    <t>tCO2e/ton biochar</t>
  </si>
  <si>
    <t xml:space="preserve">Assumes most efficient sequestration </t>
  </si>
  <si>
    <t>Biochar Carbon Credit Analysis - BF Reports 2022</t>
  </si>
  <si>
    <t>tCO2e per ton biochar removal equivalence lower bounds</t>
  </si>
  <si>
    <t>tCO2e / ton biochar</t>
  </si>
  <si>
    <t xml:space="preserve">Assumes least efficient sequestration </t>
  </si>
  <si>
    <t>Upper Range of dry forest-residue biomass biochar production</t>
  </si>
  <si>
    <t>ton/y</t>
  </si>
  <si>
    <t>Lower Range of dry forest-residue biomass biochar production</t>
  </si>
  <si>
    <t xml:space="preserve">N/A </t>
  </si>
  <si>
    <t>Wastewater upper range biochar production</t>
  </si>
  <si>
    <t xml:space="preserve">Wastewater lower range biochar production </t>
  </si>
  <si>
    <t>Herbaceous biomass upper range biochar production</t>
  </si>
  <si>
    <t>Herbaceous biomass lower range biochar production</t>
  </si>
  <si>
    <t xml:space="preserve">Upper range total biochar production </t>
  </si>
  <si>
    <t xml:space="preserve">Assumes maximum harvesting of woody biomass, that all wastewater sludge can be used, and highest conversion efficiency for all feedstocks </t>
  </si>
  <si>
    <t xml:space="preserve">Lower range total biochar production </t>
  </si>
  <si>
    <t xml:space="preserve">Assumes minimum harvesting of woody biomass, that all wastewater sludge can be used, and lowest conversion efficiency for all feedstocks </t>
  </si>
  <si>
    <t xml:space="preserve">Assumes max biochar production and max sequestration potential </t>
  </si>
  <si>
    <t xml:space="preserve">Assumes minimum biochar production and minimum sequestration potential </t>
  </si>
  <si>
    <t>Assumes agricultural waste (ag processing waste and ag residues) can be used for biolliquid</t>
  </si>
  <si>
    <t>Assumes forestry wastes (all included in the report except for small diameter trees) can be used ifor bioliquid</t>
  </si>
  <si>
    <t>Assumes other wet waste (sludge, manure, and food waste) can be used for bioliquid. This is an overestimate because not all waste, especially food waste, will be able to be carbonized.</t>
  </si>
  <si>
    <t>Woody biomass to bio-oil conversion efficieny</t>
  </si>
  <si>
    <t>Assumes high range of woody biomass (beech and poplar)</t>
  </si>
  <si>
    <t>https://www.sciencedirect.com/science/article/abs/pii/S0165237020302023</t>
  </si>
  <si>
    <t>Herbaceous biomass to bio-oil conversion efficiency</t>
  </si>
  <si>
    <t>Assumes low range of herbaceous biomass (straw and miscanthus)</t>
  </si>
  <si>
    <t>Wastewater sludge biomass to bio-oil conversion efficiency</t>
  </si>
  <si>
    <t>Assumes exact conversion efficiency of one study utilizing sludge with sawdust mixed in</t>
  </si>
  <si>
    <t>https://www.sciencedirect.com/science/article/abs/pii/S0306261917307596#:~:text=The%20purpose%20of%20using%20the,COD%20of%20this%20waste%20stream.</t>
  </si>
  <si>
    <t>tCO2e per ton bio-oil removal upper bound</t>
  </si>
  <si>
    <t>tCO2/ton bio-oil</t>
  </si>
  <si>
    <t>https://charmindustrial.com/blog/modular-pyrolysis-massive-impact</t>
  </si>
  <si>
    <t>tCO2e per ton bio-oil removal lower bound</t>
  </si>
  <si>
    <t>Agricultural waste bio-liquid production</t>
  </si>
  <si>
    <t>tons</t>
  </si>
  <si>
    <t>Forest waste bio-oil production</t>
  </si>
  <si>
    <t>Wastewater biomass to bio-oil production</t>
  </si>
  <si>
    <t>Total bio-oil production</t>
  </si>
  <si>
    <t xml:space="preserve">Assumes  max sequestration potential </t>
  </si>
  <si>
    <t xml:space="preserve">Assumes  minimum sequestration potential </t>
  </si>
  <si>
    <t>Microalgae in ponds</t>
  </si>
  <si>
    <t>Available land in MA to convert to microalgae in ponds</t>
  </si>
  <si>
    <t>Uses the MA Forest Study's Table 10 of the amount of land in MA that is available to be converted to forest (i.e., for reforestation). Assumes that this land can be similarly converted to microalgae in pond cultivation.</t>
  </si>
  <si>
    <t>download</t>
  </si>
  <si>
    <t>Ratio of land for ponds to total facility size</t>
  </si>
  <si>
    <t>Assumes a facility in MA would have the same ratio as the modeled facility in an NREL study</t>
  </si>
  <si>
    <t>Algal Biomass Production via Open Pond Algae Farm Cultivation: 2020 State of Technology and Future Research</t>
  </si>
  <si>
    <t>Average annual microalgae production of ponds - low (open ponds)</t>
  </si>
  <si>
    <t>g/m2/day</t>
  </si>
  <si>
    <t>Assumes a open pond (raceway pond) set up and based on an NREL literature review</t>
  </si>
  <si>
    <t>Techno-Economic Analysis for the Production of Algal Biomass via Closed Photobioreactors: Future Cost Potential Evaluated Across a Range of Cultivation System Designs</t>
  </si>
  <si>
    <t>Average annual microalgae production of ponds - high (flat panel PBR)</t>
  </si>
  <si>
    <t>Assumes a flat panel photobioreactor set-up and based on an NREL literature review</t>
  </si>
  <si>
    <t>Grams to tons conversion</t>
  </si>
  <si>
    <t>g/t</t>
  </si>
  <si>
    <t>1,000,000 grams are in 1 ton</t>
  </si>
  <si>
    <t>m2 to ha conversion</t>
  </si>
  <si>
    <t>m2/ha</t>
  </si>
  <si>
    <t>10,000 m2 are in 1 ha</t>
  </si>
  <si>
    <t>Days operational in MA (open ponds)</t>
  </si>
  <si>
    <t>days/y</t>
  </si>
  <si>
    <t xml:space="preserve">Operational days of microalgae ponds based on the climate of MA. Four months (Dec, Jan, Feb, and Mar,) have average monthly low temperatures below freezing and so are assumed inoperable for microalgae in ponds. </t>
  </si>
  <si>
    <t>Climate</t>
  </si>
  <si>
    <t>Days operational in MA (flat panel PBR)</t>
  </si>
  <si>
    <t>Assumes photobioreactors can operate year-round, since they are operated within a greenhouse</t>
  </si>
  <si>
    <t>t algae per ha per year</t>
  </si>
  <si>
    <t xml:space="preserve">Biomass conversion upper </t>
  </si>
  <si>
    <t>tCO2e/ton algae</t>
  </si>
  <si>
    <t xml:space="preserve">Biomass conversion lower </t>
  </si>
  <si>
    <t>Microalgae in open water</t>
  </si>
  <si>
    <t>Macroalgae in open water</t>
  </si>
  <si>
    <t>Territorial Sea + Coastal Water Zone Area</t>
  </si>
  <si>
    <t>sq miles</t>
  </si>
  <si>
    <t>Assumes all territorial sea and coastal water can be utilized and is fit for deployment</t>
  </si>
  <si>
    <t>State Area Measurements and Internal Point Coordinates https://www2.census.gov/geo/pdfs/reference/GARM/Ch15GARM.pdf</t>
  </si>
  <si>
    <t>Outlines Territorial Sea and Coastal Water definitions, shows why both can be used for macroalgae</t>
  </si>
  <si>
    <t>Ch15GARM.pdf</t>
  </si>
  <si>
    <t xml:space="preserve">Conversion sq mi to sq km </t>
  </si>
  <si>
    <t>sq km / sq mi</t>
  </si>
  <si>
    <t xml:space="preserve">Sequestration factor </t>
  </si>
  <si>
    <t>sq km / ton CO2 / year</t>
  </si>
  <si>
    <t xml:space="preserve">Assumes scaling down from 73k sq km per 100Mt is accurate; this taken from pg 133 of the linked source </t>
  </si>
  <si>
    <t>A Research Strategy for Ocean-based Carbon Dioxide Removal and Sequestration | The National Academies Press</t>
  </si>
  <si>
    <t>Total eligible area for TSCW zone approach</t>
  </si>
  <si>
    <t>sq km</t>
  </si>
  <si>
    <t>BECCS to electricity</t>
  </si>
  <si>
    <t>Assumes agricultural waste (ag processing waste and ag residues) can be used for BECCS</t>
  </si>
  <si>
    <t>Assumes forestry wastes (all included in the report except for small diameter trees) can be used for BECCS</t>
  </si>
  <si>
    <t>Assumes other wet waste (sludge, manure, and food waste) can be used for BECCS</t>
  </si>
  <si>
    <t>BECCS conversion upper</t>
  </si>
  <si>
    <t>Assumes high end of biomass conversion efficiency for the range of BECCS to electricity scenarios using agricultural and forestry wastes in the linked source</t>
  </si>
  <si>
    <t>A comparative analysis of the efficiency, timing, and permanence of CO2 removal pathways - Energy &amp; Environmental Science (RSC Publishing)</t>
  </si>
  <si>
    <t>BECCS conversion lower</t>
  </si>
  <si>
    <t>Assumes low end of biomass conversion efficiency for the range of BECCS to electricity scenarios using agricultural and forestry wastes in the linked source</t>
  </si>
  <si>
    <t>tCO2/y</t>
  </si>
  <si>
    <t>Assumes high conversion efficieny and that all biomass waste is used for BECCS</t>
  </si>
  <si>
    <t>Assumes low conversion efficieny and that all biomass waste is used for BECCS</t>
  </si>
  <si>
    <t>BECCS to fuels</t>
  </si>
  <si>
    <t>Assumes high end of biomass conversion efficiency for the range of BECCS to fuels scenarios in the supplementary information of the linked source</t>
  </si>
  <si>
    <t>CO2 mitigation or removal: The optimal uses of biomass in energy system decarbonization: iScience</t>
  </si>
  <si>
    <t>Assumes low end of biomass conversion efficiency for the range of BECCS to fuels scenarios in the supplementary information of the linked source</t>
  </si>
  <si>
    <t>Surficial mineralization</t>
  </si>
  <si>
    <t>Ultramfic mine tailing production in MA</t>
  </si>
  <si>
    <t>MA produces sand and gravel for construction and crushed stone, but not minerals that create ultramafic taliings (i.e., nickel, chromium, titaniam, platinum group metals, diamonds, copper, and lead-zinc)</t>
  </si>
  <si>
    <t>The Mineral Industry of Massachusetts | U.S. Geological Survey</t>
  </si>
  <si>
    <t>Steel slag in MA</t>
  </si>
  <si>
    <t>Because there are no active steel facilities in MA, there is no access to steel slag</t>
  </si>
  <si>
    <t>Slag Availability | National Slag Association</t>
  </si>
  <si>
    <t>C&amp;D waste in MA</t>
  </si>
  <si>
    <t>This is the amount of C&amp;D waste processed by MA in 2024. This category is defined in the source to be building material and rubber, including concrete from construction and demolition. It also includes other materials, like brick and wood, which are not as suitable for carbonation. This is therefore an over-estimate of the C&amp;D waste available for carbonation in MA.</t>
  </si>
  <si>
    <t>CD report summary data</t>
  </si>
  <si>
    <t xml:space="preserve">Coal ash in MA </t>
  </si>
  <si>
    <t>See supplemental calculation table below</t>
  </si>
  <si>
    <t>Total alkaline material production in MA</t>
  </si>
  <si>
    <t>Brucite mineralization ratio</t>
  </si>
  <si>
    <t>t brucite/tCO2</t>
  </si>
  <si>
    <t xml:space="preserve">Assumes that the ultramafic waste in MA have a mineralization rate between that of brucite and wollastonite </t>
  </si>
  <si>
    <t>Engineered carbon mineralization in ultramafic rocks for CO2 removal from air_ Review and new insights</t>
  </si>
  <si>
    <t>Wollastonite mineralization ratio</t>
  </si>
  <si>
    <t>t wollastonite/tCO2</t>
  </si>
  <si>
    <t>Assumes fines have similar mineralization rate to most efficient mineral feedstock</t>
  </si>
  <si>
    <t>Assumes fines have similar mineralization rate to least efficient mineral feedstock</t>
  </si>
  <si>
    <t>Supplementary Data - Coal Ash</t>
  </si>
  <si>
    <t>Historical coal plants in MA</t>
  </si>
  <si>
    <t>number of facilities</t>
  </si>
  <si>
    <t>6 historical coal plants, two of which had landfills or ponds for coal ash</t>
  </si>
  <si>
    <t xml:space="preserve">Fact sheet </t>
  </si>
  <si>
    <t>Historical coal plants in MA with EPA's CCR reports</t>
  </si>
  <si>
    <t>Mt Tom Station Power Plant and Brayton Point</t>
  </si>
  <si>
    <t>List of Publicly Accessible Internet Sites Hosting CCR Management Compliance Data and Information | US EPA</t>
  </si>
  <si>
    <t>Historical coal plants in MA with EPA's CCR reports and legacy surface impoundments</t>
  </si>
  <si>
    <t>Mt Tom Station Power Plant</t>
  </si>
  <si>
    <t>Volume of coal ash at Mt Tom Station Power Plant</t>
  </si>
  <si>
    <t>cubic yards</t>
  </si>
  <si>
    <t>As of the Jan 2025 inspection report, for its two coal ash basins</t>
  </si>
  <si>
    <t>Mt-Tom-CCR-Initial-Inspection-Report.pdf</t>
  </si>
  <si>
    <t>Density of coal ash</t>
  </si>
  <si>
    <t>kg/m3</t>
  </si>
  <si>
    <t>Average bulk density with no compaction</t>
  </si>
  <si>
    <t>Fly Ash, Slag, Silica Fume, and Natural Pozzolans, Chapter 3</t>
  </si>
  <si>
    <t>Cubic yards to cubic meter conversion</t>
  </si>
  <si>
    <t>yd3/m3</t>
  </si>
  <si>
    <t>m3</t>
  </si>
  <si>
    <t>Coal ash at Mt Tom Station Power Plant</t>
  </si>
  <si>
    <t>ton</t>
  </si>
  <si>
    <t>Lifetime of coal ash CDR project</t>
  </si>
  <si>
    <t>years</t>
  </si>
  <si>
    <t>Assuming coal ash is used for CDR from now until 2050</t>
  </si>
  <si>
    <t>Terrestrial enhanced weathering</t>
  </si>
  <si>
    <t>Amount of forested land in MA</t>
  </si>
  <si>
    <t>Although less commonly done commercially, research is progressing on applying EW to forests (https://www.sciencedirect.com/science/article/pii/S0301479725033110) and so MA could apply TEW to their forested land in addition to their farmland</t>
  </si>
  <si>
    <t>Application rate of alkaline mineral (based on farmland application)</t>
  </si>
  <si>
    <t>t feedstock per ha</t>
  </si>
  <si>
    <t>Application rate on a field trial in Massachusetts. This is based on basalt fines application to farmland. This rate is assumed to apply to all feedstock and all suitable land (farmland and forested land)</t>
  </si>
  <si>
    <t>Basalt Rock Dust Amendment on Soil Health Properties and Inorganic Nutrients—Laboratory and Field Study at Two Organic Farm Soils in New England, USA</t>
  </si>
  <si>
    <t>This source offers an additional range of tCO2 per ha on US agriculture, which aligns with what is calculated using the MA field trial</t>
  </si>
  <si>
    <t>Transforming US agriculture for carbon removal with enhanced weathering | Nature</t>
  </si>
  <si>
    <t>Reference application rate for forested land</t>
  </si>
  <si>
    <t>Application rate of wollastonite-rich rock powder on forested land in Canada; aligns with the magnitude of application rate used here</t>
  </si>
  <si>
    <t>Incorporating enhanced rock weathering into sustainable forest management - ScienceDirect</t>
  </si>
  <si>
    <t xml:space="preserve">Upper bound of mineralization rate </t>
  </si>
  <si>
    <t>ton feedstock/tCO2</t>
  </si>
  <si>
    <t>Assumes high end of range</t>
  </si>
  <si>
    <t>Frontiers | Geochemical Negative Emissions Technologies: Part I. Review</t>
  </si>
  <si>
    <t>Lower bound of mineralization rate</t>
  </si>
  <si>
    <t>ton/tCO2</t>
  </si>
  <si>
    <t>Assumes low end of range</t>
  </si>
  <si>
    <t>Reference removal rate per ha</t>
  </si>
  <si>
    <t>tCO2/ha/y</t>
  </si>
  <si>
    <t>Removal rate from field trials of basalt, fits within the range presented here</t>
  </si>
  <si>
    <t>Enhanced weathering in the US Corn Belt delivers carbon removal with agronomic benefits</t>
  </si>
  <si>
    <t>Unit conversion, 1 ha is 2.47 acres</t>
  </si>
  <si>
    <t>Upper bound removal estimate - farmland</t>
  </si>
  <si>
    <t>Assumes all farmland is used for TEW and high CO2 uptake by alkaline minerals</t>
  </si>
  <si>
    <t>Lower bound removal estimate - farmland</t>
  </si>
  <si>
    <t>Assumes all farmlandland is used for TEW and low CO2 uptake by alkaline minerals</t>
  </si>
  <si>
    <t>Upper bound removal estimate - forested land</t>
  </si>
  <si>
    <t>Assumes all forested land is used for TEW and high CO2 uptake by alkaline minerals</t>
  </si>
  <si>
    <t>Lower bound removal estimate - forested land</t>
  </si>
  <si>
    <t>Assumes all forested land is used for TEW and low CO2 uptake by alkaline minerals</t>
  </si>
  <si>
    <t>Assumes all farmland and forested land is used for TEW and high CO2 uptake by alkaline minerals</t>
  </si>
  <si>
    <t>Assumes all farmland and forested land is used for TEW and low CO2 uptake by alkaline minerals</t>
  </si>
  <si>
    <t>Coastal enhanced weathering</t>
  </si>
  <si>
    <t xml:space="preserve">MA coastline </t>
  </si>
  <si>
    <t>miles</t>
  </si>
  <si>
    <t>Informed by MA state government expert review, based on the linked source</t>
  </si>
  <si>
    <t>Massachusetts Coastal Erosion Commission | Mass.gov</t>
  </si>
  <si>
    <t>Shoreline width</t>
  </si>
  <si>
    <t>Beach / shoreline area</t>
  </si>
  <si>
    <t>square miles</t>
  </si>
  <si>
    <t>Square miles to square meters conversion</t>
  </si>
  <si>
    <t>m2 / square mile</t>
  </si>
  <si>
    <t>Acres to square meters conversion</t>
  </si>
  <si>
    <t>m2 / acre</t>
  </si>
  <si>
    <t>Total beach area</t>
  </si>
  <si>
    <t>m2</t>
  </si>
  <si>
    <t>Mineral additions per area (lower)</t>
  </si>
  <si>
    <t>kg/m2 land</t>
  </si>
  <si>
    <t>Assumes low range</t>
  </si>
  <si>
    <t>https://pubs.acs.org/doi/10.1021/acs.est.2c08633</t>
  </si>
  <si>
    <t>Mineral additions per area (upper)</t>
  </si>
  <si>
    <t>Assumes high range</t>
  </si>
  <si>
    <t>tCO2e/ton of olivine</t>
  </si>
  <si>
    <t>ton/tCO2e</t>
  </si>
  <si>
    <t>Negative Emissions Technologies and Reliable Sequestration: A Research Agenda | The National Academies Press</t>
  </si>
  <si>
    <t>Upper bound of removal potential - beach</t>
  </si>
  <si>
    <t>Assumes high mineral addition rate</t>
  </si>
  <si>
    <t>Lower bound of removal potential - beach</t>
  </si>
  <si>
    <t>Assumes low mineral addition rate</t>
  </si>
  <si>
    <t xml:space="preserve">Upper bound of removal potential </t>
  </si>
  <si>
    <t xml:space="preserve">Lower bound of removal potential </t>
  </si>
  <si>
    <t>Mineral alkalinity enhancement</t>
  </si>
  <si>
    <t xml:space="preserve">Conversion sq mi to m2 </t>
  </si>
  <si>
    <t>m2 / sq mi</t>
  </si>
  <si>
    <t>Conversions</t>
  </si>
  <si>
    <t>sq meters</t>
  </si>
  <si>
    <t>Assumes all sea area under MA jursidiction can be used for MAE</t>
  </si>
  <si>
    <t>Application rate</t>
  </si>
  <si>
    <t>mol/m2/y</t>
  </si>
  <si>
    <t>As per footnote 11 in this source, assumes this application rate does not change pH more than 0.1 and therefore there is not a risk of carbonate precipitation</t>
  </si>
  <si>
    <t>Mapping the efficiency of ocean alkalinity enhancement – CarbonPlan</t>
  </si>
  <si>
    <t>Paper referenced in footnote 11</t>
  </si>
  <si>
    <t>BG - Limits and CO2 equilibration of near-coast alkalinity enhancement</t>
  </si>
  <si>
    <t>mole CO2 to mole alkalinity - low</t>
  </si>
  <si>
    <t>mol/mol</t>
  </si>
  <si>
    <t>Assumes an average efficiency of 0.7 for Region 17 of the tool, and adds +/- 0.1 to get a range</t>
  </si>
  <si>
    <t>OAE Efficiency – CarbonPlan</t>
  </si>
  <si>
    <t>mole CO2 to mole alkalinity - high</t>
  </si>
  <si>
    <t>This range also aligns with the effiencies across seasons in Fig 2 b of this source</t>
  </si>
  <si>
    <t>Mapping the global variation in the efficiency of ocean alkalinity enhancement for carbon dioxide removal | Nature Climate Change</t>
  </si>
  <si>
    <t>molar mass of CO2</t>
  </si>
  <si>
    <t>g/mol</t>
  </si>
  <si>
    <t>grams to tonne conversion</t>
  </si>
  <si>
    <t>g/ton</t>
  </si>
  <si>
    <t>mole CO2 to t CO2 conversion</t>
  </si>
  <si>
    <t>tons per mol CO2</t>
  </si>
  <si>
    <t>Assumes alkalinity application only over terretorial sea area, low CO2 to alkalinity efficiency, and an application rate of 10 mol alkalinity per m2 per year</t>
  </si>
  <si>
    <t>Same as above, except assumes a high CO2 to alkalinity efficiency</t>
  </si>
  <si>
    <t>CO2 stripping</t>
  </si>
  <si>
    <t>Projected annual electricity demand in 2050</t>
  </si>
  <si>
    <t>TWh</t>
  </si>
  <si>
    <t>https://www.mass.gov/info-details/massachusetts-clean-energy-and-climate-plan-for-2050</t>
  </si>
  <si>
    <t>15% of projected electricity demand in 2050</t>
  </si>
  <si>
    <t>Assumes an additional 15% (in line with GHG limits) of clean energy demand projected for 2050 can be created and dedicated to CO2 stripping in MA</t>
  </si>
  <si>
    <t>Current total annual clean energy production in MA</t>
  </si>
  <si>
    <t>MWh</t>
  </si>
  <si>
    <t>Reference number</t>
  </si>
  <si>
    <t>Massachusetts Profile</t>
  </si>
  <si>
    <t>Energy Requirement per tCO2 - low</t>
  </si>
  <si>
    <t>MWh / tCO2</t>
  </si>
  <si>
    <t>A Research Strategy for Ocean Carbon Dioxide Removal and Sequestration</t>
  </si>
  <si>
    <t>Energy Requirement per tCO2 - high</t>
  </si>
  <si>
    <t>Upper bound of removal potential - electricity constraint</t>
  </si>
  <si>
    <t>Assumes CO2 stripping uses all of the dedicated 15% of energy and low energy requirement</t>
  </si>
  <si>
    <t>Lower bound of removal potential - electricity constraint</t>
  </si>
  <si>
    <t>Assumes CO2 stripping uses all of the dedicated 15% of energy and high energy requirement</t>
  </si>
  <si>
    <t>Lower bound of removal potential - base addition constraint</t>
  </si>
  <si>
    <t>Same as MAE, based on the constraint of the addition of base to the ocean</t>
  </si>
  <si>
    <t>Upper bound of removal potential - base addition constraint</t>
  </si>
  <si>
    <t>Electrochemical alkalinity production</t>
  </si>
  <si>
    <t>Assumes an additional 15% (in line with GHG limits) of clean energy demand projected for 2050 can be created and dedicated to EAP in MA</t>
  </si>
  <si>
    <t>Upper bound of Energy Requirement per tCO2</t>
  </si>
  <si>
    <t>Assumes lowest energy efficiency for EAP</t>
  </si>
  <si>
    <t>PowerPoint Presentation</t>
  </si>
  <si>
    <t>Lower bound of Energy Requirement per tCO2</t>
  </si>
  <si>
    <t>Assumes high energy efficiency for EAP</t>
  </si>
  <si>
    <t>Assumes highest energy efficiency is used for all EAP and EAP uses all of the dedicated 15% of energy</t>
  </si>
  <si>
    <t>Assumes lowest energy efficiency is used for all EAP and EAP uses all of the dedicated 15% of energy</t>
  </si>
  <si>
    <t>Lower bound of removal potential - alkalinity application constraint</t>
  </si>
  <si>
    <t>Same as MAE, based on the constraint of the addition of alkalinity to the ocean</t>
  </si>
  <si>
    <t>Upper bound of removal potential - alkalinity application constraint</t>
  </si>
  <si>
    <t>Direct air capture</t>
  </si>
  <si>
    <t>Projected electricity demand in 2050</t>
  </si>
  <si>
    <t>Assumes an additional 15% (in line with GHG limits) of clean energy demand projected for 2050 can be created and dedicated to DAC in MA</t>
  </si>
  <si>
    <t>Total Clean Energy Production in MA</t>
  </si>
  <si>
    <t>Assumes lowest energy efficiency for DAC</t>
  </si>
  <si>
    <t>Assumes high energy efficiency for DAC</t>
  </si>
  <si>
    <t>Assumes highest energy efficiency is used for all DAC and DAC uses all of the dedicated 15% of energy</t>
  </si>
  <si>
    <t>Assumes lowest energy efficiency is used for all DAC and DAC uses all of the dedicated 15% of energy</t>
  </si>
  <si>
    <t>Conventional CO2 storage</t>
  </si>
  <si>
    <t>Onshore geologic storage in MA</t>
  </si>
  <si>
    <t>sites</t>
  </si>
  <si>
    <t>In-situ mineralization</t>
  </si>
  <si>
    <t>Suitable rock formations onshore in MA</t>
  </si>
  <si>
    <t>Ex-situ mineralization</t>
  </si>
  <si>
    <t>Aggregates produced in Massachusetts</t>
  </si>
  <si>
    <t>tons/y</t>
  </si>
  <si>
    <t>Assumes all aggregate produced in MA can be replaced by aggregate produced using ex-situ mineralization</t>
  </si>
  <si>
    <t>https://www.usgs.gov/media/files/usgs-aggregates-time-series-data-state-type-and-end-use</t>
  </si>
  <si>
    <t>CO2e/mineral aggregate</t>
  </si>
  <si>
    <t>kgCO2e/ton mineral aggregate</t>
  </si>
  <si>
    <t>Assume conversion ratio of all ex-situ mineralization is similar to Blue Planet's process</t>
  </si>
  <si>
    <t>https://www.blueplanetsystems.com/</t>
  </si>
  <si>
    <t>ton CO2e / mineral aggregate</t>
  </si>
  <si>
    <t>tCO2e/ ton mineral aggregate</t>
  </si>
  <si>
    <t>Removal potential estimate</t>
  </si>
  <si>
    <t>R&amp;D jobs</t>
  </si>
  <si>
    <t>Percentage of jobs that are R&amp;D - low</t>
  </si>
  <si>
    <t>Assumes a large company (25,000 or more, of which 5% are R&amp;D)</t>
  </si>
  <si>
    <t xml:space="preserve"> NSF 25-327 Table 6</t>
  </si>
  <si>
    <t>Percentage of jobs that are R&amp;D - high</t>
  </si>
  <si>
    <t xml:space="preserve">Assume a small company (10-19 employees, of which 40% are R&amp;D) </t>
  </si>
  <si>
    <t>Job creation rate (jobs/Mtpa)</t>
  </si>
  <si>
    <t>R&amp;D - low</t>
  </si>
  <si>
    <t>R&amp;D - high</t>
  </si>
  <si>
    <t>Jobs per dollar invested - low</t>
  </si>
  <si>
    <t>jobs/$1 million</t>
  </si>
  <si>
    <t>Estimated for reforestation in urban settings</t>
  </si>
  <si>
    <t>Key-Log-Economics-Memo_Potential-Employment-Impacts-of-Reforestation-Investments-May-2020.pdf</t>
  </si>
  <si>
    <t>Construction - low</t>
  </si>
  <si>
    <t>Jobs per dollar invested - high</t>
  </si>
  <si>
    <t>Estimated for reforestation in rural settings</t>
  </si>
  <si>
    <t>Construction - high</t>
  </si>
  <si>
    <t>Forestry credit cost - low</t>
  </si>
  <si>
    <t>$/tCO2</t>
  </si>
  <si>
    <t>Independent Review of Greenhouse Gas Removals</t>
  </si>
  <si>
    <t>O&amp;M - low</t>
  </si>
  <si>
    <t>Forestry credit cost - high</t>
  </si>
  <si>
    <t>What Makes Forest Project a High-Quality Carbon Removal?</t>
  </si>
  <si>
    <t>O&amp;M - high</t>
  </si>
  <si>
    <t>Total (w/o R&amp;D) - low</t>
  </si>
  <si>
    <t>Total (w/o R&amp;D) - high</t>
  </si>
  <si>
    <t>Total - low</t>
  </si>
  <si>
    <t>Total - high</t>
  </si>
  <si>
    <t>TEW O&amp;M jobs - low</t>
  </si>
  <si>
    <t>jobs/Mtpa</t>
  </si>
  <si>
    <t>the-benefits-of-innovation-an-assessment-of-the-economic-opportunities-of-highly-durable-carbon-dioxide-removal.pdf</t>
  </si>
  <si>
    <t>TEW O&amp;M jobs - high</t>
  </si>
  <si>
    <t>Percentage of TEW O&amp;M jobs that can be analogized to agricultural soils</t>
  </si>
  <si>
    <t>Assumes MRV jobs but not transportation jobs are relevant</t>
  </si>
  <si>
    <t>https://www.noaa.gov/reports/noaa-coastal-management-habitat-restoration-investments</t>
  </si>
  <si>
    <t>https://www.fisheries.noaa.gov/feature-story/habitat-restoration-supports-jobs-stewardship</t>
  </si>
  <si>
    <t>Salt marsh credit cost - low</t>
  </si>
  <si>
    <t>Greenhouse gas removal methods and their potential UK deployment</t>
  </si>
  <si>
    <t>Salt marsh credit cost - high</t>
  </si>
  <si>
    <t>Internal modeleing, based on company interviews done for the linked source; excludes R&amp;D</t>
  </si>
  <si>
    <t>Scaling Technological Greenhouse Gas Removal: A Global Roadmap to 2050 - RMI</t>
  </si>
  <si>
    <t>m3 of wood per t removal - low</t>
  </si>
  <si>
    <t>m3/tCO2</t>
  </si>
  <si>
    <t>m3 of wood per t removal - high</t>
  </si>
  <si>
    <t>jobs per million cubic feet of timber</t>
  </si>
  <si>
    <t>jobs/MMCF</t>
  </si>
  <si>
    <t>In the Northeast</t>
  </si>
  <si>
    <t>JournalForestryJul2016.pdf</t>
  </si>
  <si>
    <t>Cubic feet to cubic meter</t>
  </si>
  <si>
    <t>1 cubic feet is 0.028 cubic meters</t>
  </si>
  <si>
    <t>ft3/tCO2</t>
  </si>
  <si>
    <t>Excluding R&amp;D</t>
  </si>
  <si>
    <t>Average direct (manufacturing) jobs per m3 of bio-based product</t>
  </si>
  <si>
    <t>jobs/m3</t>
  </si>
  <si>
    <t>From data source in Appendix B of linked source</t>
  </si>
  <si>
    <t>https://rmi.org/wp-content/uploads/dlm_uploads/2025/04/building_with_biomass_a_new_american_harvest.pdf</t>
  </si>
  <si>
    <t>Average bio-based product density</t>
  </si>
  <si>
    <t>kg to tons conversion</t>
  </si>
  <si>
    <t>1000 kgs are in 1 metric ton</t>
  </si>
  <si>
    <t>ton/m3</t>
  </si>
  <si>
    <t>Biomass to CO2 conversion - high</t>
  </si>
  <si>
    <t>Biomass to CO2 conversion - low</t>
  </si>
  <si>
    <t>Total direct jobs - high</t>
  </si>
  <si>
    <t>Total direct jobs - low</t>
  </si>
  <si>
    <t>Total biomass waste harvesting jobs - high</t>
  </si>
  <si>
    <t>Excluding R&amp;D. same as biomass direct storage</t>
  </si>
  <si>
    <t>Total biomass waste harvesting jobs - low</t>
  </si>
  <si>
    <t>O&amp;M jobs - low</t>
  </si>
  <si>
    <t>Assumes the same types of jobs are needed for biochar as for bioliquid</t>
  </si>
  <si>
    <t>O&amp;M jobs - high</t>
  </si>
  <si>
    <t>Construction jobs - low</t>
  </si>
  <si>
    <t>Construction jobs - high</t>
  </si>
  <si>
    <t>Jobs needed per acre of pond</t>
  </si>
  <si>
    <t>jobs/acre</t>
  </si>
  <si>
    <t>Estimated from a raceway pond set-up in the linked source, of a total pond area od 5,00 acres, divided into 10-acre ponds. This requires 100 employees.</t>
  </si>
  <si>
    <t>Process Design and Economics for the Production of Algal Biomass: Algal Biomass Production in Open Pond Systems and Processing Through Dewatering for Downstream Conversion</t>
  </si>
  <si>
    <t>See Microalgae in ponds, Scale Calculations tab for more details</t>
  </si>
  <si>
    <t>Jobs needed per hectare of pond</t>
  </si>
  <si>
    <t>jobs/ha</t>
  </si>
  <si>
    <t>2.47 acres in 1 ha</t>
  </si>
  <si>
    <t>Assumes the same job creation profile as terrestrial enhanced weathering</t>
  </si>
  <si>
    <t>Referred to as OAE in the linked source</t>
  </si>
  <si>
    <t>Referred to as DOC in the linked source</t>
  </si>
  <si>
    <t>Electrochemical alkalinity enhancement</t>
  </si>
  <si>
    <t>Assumes the same job creation profile as DAC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</si>
</sst>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
    <numFmt numFmtId="168" formatCode="_(* #,##0.0_);_(* \(#,##0.0\);_(* &quot;-&quot;??_);_(@_)"/>
    <numFmt numFmtId="169" formatCode="_(* #,##0.0000_);_(* \(#,##0.0000\);_(* &quot;-&quot;??_);_(@_)"/>
  </numFmts>
  <fonts count="13">
    <font>
      <sz val="11"/>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sz val="11"/>
      <name val="Aptos Narrow"/>
      <family val="2"/>
      <scheme val="minor"/>
    </font>
    <font>
      <b/>
      <sz val="14"/>
      <color theme="1"/>
      <name val="Aptos Narrow"/>
      <family val="2"/>
      <scheme val="minor"/>
    </font>
    <font>
      <u/>
      <sz val="11"/>
      <color theme="10"/>
      <name val="Aptos Narrow"/>
      <family val="2"/>
      <scheme val="minor"/>
    </font>
    <font>
      <b/>
      <sz val="11"/>
      <name val="Aptos Narrow"/>
      <family val="2"/>
      <scheme val="minor"/>
    </font>
    <font>
      <u/>
      <sz val="11"/>
      <color rgb="FF467886"/>
      <name val="Aptos Narrow"/>
      <family val="2"/>
      <scheme val="minor"/>
    </font>
    <font>
      <sz val="11"/>
      <color rgb="FF000000"/>
      <name val="Aptos Narrow"/>
      <family val="2"/>
      <scheme val="minor"/>
    </font>
    <font>
      <sz val="11"/>
      <color rgb="FF242424"/>
      <name val="Aptos Narrow"/>
      <family val="2"/>
    </font>
    <font>
      <b/>
      <i/>
      <sz val="11"/>
      <color rgb="FF000000"/>
      <name val="Aptos Narrow"/>
      <family val="2"/>
    </font>
    <font>
      <i/>
      <sz val="11"/>
      <color rgb="FF000000"/>
      <name val="Aptos Narrow"/>
      <family val="2"/>
    </font>
  </fonts>
  <fills count="3">
    <fill>
      <patternFill patternType="none"/>
    </fill>
    <fill>
      <patternFill patternType="gray125"/>
    </fill>
    <fill>
      <patternFill patternType="solid">
        <fgColor theme="2"/>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158">
    <xf numFmtId="0" fontId="0" fillId="0" borderId="0" xfId="0"/>
    <xf numFmtId="0" fontId="0" fillId="0" borderId="3" xfId="0" applyBorder="1"/>
    <xf numFmtId="0" fontId="0" fillId="0" borderId="4" xfId="0" applyBorder="1"/>
    <xf numFmtId="0" fontId="3" fillId="0" borderId="6" xfId="0" applyFont="1" applyBorder="1"/>
    <xf numFmtId="0" fontId="0" fillId="0" borderId="6" xfId="0" applyBorder="1"/>
    <xf numFmtId="0" fontId="2" fillId="0" borderId="7" xfId="0" applyFont="1" applyBorder="1"/>
    <xf numFmtId="0" fontId="2" fillId="0" borderId="8" xfId="0" applyFont="1" applyBorder="1"/>
    <xf numFmtId="0" fontId="3" fillId="0" borderId="9" xfId="0" applyFont="1" applyBorder="1"/>
    <xf numFmtId="0" fontId="0" fillId="0" borderId="10" xfId="0" applyBorder="1"/>
    <xf numFmtId="0" fontId="0" fillId="2" borderId="0" xfId="0" applyFill="1"/>
    <xf numFmtId="164" fontId="4" fillId="0" borderId="6" xfId="1" applyNumberFormat="1" applyFont="1" applyBorder="1"/>
    <xf numFmtId="164" fontId="4" fillId="0" borderId="11" xfId="1" applyNumberFormat="1" applyFont="1" applyBorder="1"/>
    <xf numFmtId="0" fontId="5" fillId="2" borderId="0" xfId="0" applyFont="1" applyFill="1"/>
    <xf numFmtId="0" fontId="0" fillId="0" borderId="12" xfId="0" applyBorder="1"/>
    <xf numFmtId="164" fontId="4" fillId="0" borderId="13" xfId="1" applyNumberFormat="1" applyFont="1" applyBorder="1"/>
    <xf numFmtId="0" fontId="4" fillId="0" borderId="6" xfId="0" applyFont="1" applyBorder="1"/>
    <xf numFmtId="0" fontId="4" fillId="0" borderId="3" xfId="0" applyFont="1" applyBorder="1"/>
    <xf numFmtId="0" fontId="4" fillId="0" borderId="4" xfId="0" applyFont="1" applyBorder="1"/>
    <xf numFmtId="164" fontId="4" fillId="0" borderId="10" xfId="1" applyNumberFormat="1" applyFont="1" applyBorder="1"/>
    <xf numFmtId="0" fontId="4" fillId="0" borderId="10" xfId="0" applyFont="1" applyBorder="1"/>
    <xf numFmtId="0" fontId="7" fillId="0" borderId="12" xfId="0" applyFont="1" applyBorder="1"/>
    <xf numFmtId="0" fontId="7" fillId="0" borderId="15" xfId="0" applyFont="1" applyBorder="1"/>
    <xf numFmtId="0" fontId="7" fillId="0" borderId="13" xfId="0" applyFont="1" applyBorder="1"/>
    <xf numFmtId="0" fontId="4" fillId="0" borderId="0" xfId="0" applyFont="1"/>
    <xf numFmtId="0" fontId="4" fillId="0" borderId="0" xfId="0" applyFont="1" applyAlignment="1">
      <alignment wrapText="1"/>
    </xf>
    <xf numFmtId="0" fontId="0" fillId="0" borderId="0" xfId="0" applyAlignment="1">
      <alignment wrapText="1"/>
    </xf>
    <xf numFmtId="0" fontId="4" fillId="0" borderId="6" xfId="0" applyFont="1" applyBorder="1" applyAlignment="1">
      <alignment wrapText="1"/>
    </xf>
    <xf numFmtId="43" fontId="4" fillId="0" borderId="6" xfId="1" applyFont="1" applyBorder="1"/>
    <xf numFmtId="0" fontId="4" fillId="0" borderId="6" xfId="2" applyFont="1" applyBorder="1" applyAlignment="1">
      <alignment wrapText="1"/>
    </xf>
    <xf numFmtId="1" fontId="4" fillId="0" borderId="6" xfId="1" applyNumberFormat="1" applyFont="1" applyBorder="1"/>
    <xf numFmtId="0" fontId="4" fillId="0" borderId="3" xfId="0" applyFont="1" applyBorder="1" applyAlignment="1">
      <alignment wrapText="1"/>
    </xf>
    <xf numFmtId="0" fontId="4" fillId="0" borderId="9" xfId="2" applyFont="1" applyBorder="1" applyAlignment="1">
      <alignment wrapText="1"/>
    </xf>
    <xf numFmtId="1" fontId="4" fillId="0" borderId="10" xfId="1" applyNumberFormat="1" applyFont="1" applyBorder="1"/>
    <xf numFmtId="0" fontId="4" fillId="0" borderId="10" xfId="0" applyFont="1" applyBorder="1" applyAlignment="1">
      <alignment wrapText="1"/>
    </xf>
    <xf numFmtId="0" fontId="4" fillId="0" borderId="11" xfId="2" applyFont="1" applyBorder="1" applyAlignment="1">
      <alignment wrapText="1"/>
    </xf>
    <xf numFmtId="1" fontId="4" fillId="0" borderId="0" xfId="1" applyNumberFormat="1" applyFont="1" applyBorder="1"/>
    <xf numFmtId="0" fontId="4" fillId="0" borderId="0" xfId="2" applyFont="1" applyBorder="1" applyAlignment="1">
      <alignment wrapText="1"/>
    </xf>
    <xf numFmtId="0" fontId="0" fillId="0" borderId="6" xfId="0" applyBorder="1" applyAlignment="1">
      <alignment wrapText="1"/>
    </xf>
    <xf numFmtId="164" fontId="0" fillId="0" borderId="6" xfId="1" applyNumberFormat="1" applyFont="1" applyBorder="1"/>
    <xf numFmtId="43" fontId="0" fillId="0" borderId="6" xfId="1" applyFont="1" applyBorder="1"/>
    <xf numFmtId="0" fontId="0" fillId="0" borderId="3" xfId="0" applyBorder="1" applyAlignment="1">
      <alignment wrapText="1"/>
    </xf>
    <xf numFmtId="0" fontId="6" fillId="0" borderId="9" xfId="2" applyBorder="1" applyAlignment="1">
      <alignment wrapText="1"/>
    </xf>
    <xf numFmtId="0" fontId="8" fillId="0" borderId="9" xfId="2" applyFont="1" applyBorder="1"/>
    <xf numFmtId="0" fontId="8" fillId="0" borderId="11" xfId="2" applyFont="1" applyBorder="1"/>
    <xf numFmtId="0" fontId="8" fillId="0" borderId="9" xfId="2" applyFont="1" applyBorder="1" applyAlignment="1">
      <alignment wrapText="1"/>
    </xf>
    <xf numFmtId="1" fontId="4" fillId="0" borderId="6" xfId="0" applyNumberFormat="1" applyFont="1" applyBorder="1"/>
    <xf numFmtId="0" fontId="7" fillId="0" borderId="2" xfId="0" applyFont="1" applyBorder="1"/>
    <xf numFmtId="0" fontId="7" fillId="0" borderId="7" xfId="0" applyFont="1" applyBorder="1"/>
    <xf numFmtId="0" fontId="7" fillId="0" borderId="8" xfId="0" applyFont="1" applyBorder="1"/>
    <xf numFmtId="0" fontId="0" fillId="0" borderId="9" xfId="0" applyBorder="1" applyAlignment="1">
      <alignment wrapText="1"/>
    </xf>
    <xf numFmtId="0" fontId="4" fillId="0" borderId="9" xfId="0" applyFont="1" applyBorder="1" applyAlignment="1">
      <alignment wrapText="1"/>
    </xf>
    <xf numFmtId="1" fontId="4" fillId="0" borderId="10" xfId="0" applyNumberFormat="1" applyFont="1" applyBorder="1"/>
    <xf numFmtId="0" fontId="4" fillId="0" borderId="11" xfId="0" applyFont="1" applyBorder="1" applyAlignment="1">
      <alignment wrapText="1"/>
    </xf>
    <xf numFmtId="0" fontId="0" fillId="2" borderId="0" xfId="0" applyFill="1" applyAlignment="1">
      <alignment wrapText="1"/>
    </xf>
    <xf numFmtId="0" fontId="7" fillId="0" borderId="15" xfId="0" applyFont="1" applyBorder="1" applyAlignment="1">
      <alignment wrapText="1"/>
    </xf>
    <xf numFmtId="0" fontId="7" fillId="0" borderId="7" xfId="0" applyFont="1" applyBorder="1" applyAlignment="1">
      <alignment wrapText="1"/>
    </xf>
    <xf numFmtId="0" fontId="6" fillId="0" borderId="0" xfId="2" applyBorder="1" applyAlignment="1">
      <alignment wrapText="1"/>
    </xf>
    <xf numFmtId="1" fontId="4" fillId="0" borderId="0" xfId="0" applyNumberFormat="1" applyFont="1"/>
    <xf numFmtId="0" fontId="6" fillId="0" borderId="0" xfId="2" applyFill="1" applyBorder="1" applyAlignment="1">
      <alignment wrapText="1"/>
    </xf>
    <xf numFmtId="2" fontId="0" fillId="0" borderId="6" xfId="0" applyNumberFormat="1" applyBorder="1"/>
    <xf numFmtId="1" fontId="0" fillId="0" borderId="6" xfId="0" applyNumberFormat="1" applyBorder="1"/>
    <xf numFmtId="0" fontId="4" fillId="0" borderId="4" xfId="0" applyFont="1" applyBorder="1" applyAlignment="1">
      <alignment wrapText="1"/>
    </xf>
    <xf numFmtId="0" fontId="0" fillId="0" borderId="19" xfId="0" applyBorder="1"/>
    <xf numFmtId="164" fontId="4" fillId="0" borderId="20" xfId="1" applyNumberFormat="1" applyFont="1" applyBorder="1"/>
    <xf numFmtId="3" fontId="0" fillId="0" borderId="9" xfId="0" applyNumberFormat="1" applyBorder="1"/>
    <xf numFmtId="0" fontId="7" fillId="0" borderId="8" xfId="0" applyFont="1" applyBorder="1" applyAlignment="1">
      <alignment wrapText="1"/>
    </xf>
    <xf numFmtId="0" fontId="9" fillId="0" borderId="9" xfId="2" applyFont="1" applyBorder="1" applyAlignment="1">
      <alignment wrapText="1"/>
    </xf>
    <xf numFmtId="1" fontId="0" fillId="0" borderId="0" xfId="0" applyNumberFormat="1"/>
    <xf numFmtId="0" fontId="0" fillId="0" borderId="11" xfId="0" applyBorder="1" applyAlignment="1">
      <alignment wrapText="1"/>
    </xf>
    <xf numFmtId="167" fontId="0" fillId="0" borderId="0" xfId="0" applyNumberFormat="1"/>
    <xf numFmtId="165" fontId="0" fillId="0" borderId="0" xfId="0" applyNumberFormat="1"/>
    <xf numFmtId="3" fontId="0" fillId="0" borderId="6" xfId="0" applyNumberFormat="1" applyBorder="1"/>
    <xf numFmtId="165" fontId="0" fillId="0" borderId="6" xfId="0" applyNumberFormat="1" applyBorder="1"/>
    <xf numFmtId="0" fontId="0" fillId="0" borderId="10" xfId="0" applyBorder="1" applyAlignment="1">
      <alignment wrapText="1"/>
    </xf>
    <xf numFmtId="0" fontId="0" fillId="0" borderId="4" xfId="0" applyBorder="1" applyAlignment="1">
      <alignment wrapText="1"/>
    </xf>
    <xf numFmtId="0" fontId="0" fillId="0" borderId="21" xfId="0" applyBorder="1" applyAlignment="1">
      <alignment wrapText="1"/>
    </xf>
    <xf numFmtId="166" fontId="0" fillId="0" borderId="6" xfId="0" applyNumberFormat="1" applyBorder="1"/>
    <xf numFmtId="165" fontId="4" fillId="0" borderId="6" xfId="0" applyNumberFormat="1" applyFont="1" applyBorder="1"/>
    <xf numFmtId="3" fontId="0" fillId="0" borderId="6" xfId="0" applyNumberFormat="1" applyBorder="1" applyAlignment="1">
      <alignment wrapText="1"/>
    </xf>
    <xf numFmtId="1" fontId="4" fillId="0" borderId="6" xfId="0" applyNumberFormat="1" applyFont="1" applyBorder="1" applyAlignment="1">
      <alignment wrapText="1"/>
    </xf>
    <xf numFmtId="1" fontId="4" fillId="0" borderId="10" xfId="0" applyNumberFormat="1" applyFont="1" applyBorder="1" applyAlignment="1">
      <alignment wrapText="1"/>
    </xf>
    <xf numFmtId="0" fontId="10" fillId="0" borderId="6" xfId="0" applyFont="1" applyBorder="1"/>
    <xf numFmtId="0" fontId="2" fillId="0" borderId="6" xfId="0" applyFont="1" applyBorder="1" applyAlignment="1">
      <alignment wrapText="1"/>
    </xf>
    <xf numFmtId="0" fontId="9" fillId="0" borderId="11" xfId="2" applyFont="1" applyBorder="1" applyAlignment="1">
      <alignment wrapText="1"/>
    </xf>
    <xf numFmtId="0" fontId="4" fillId="0" borderId="20" xfId="1" applyNumberFormat="1" applyFont="1" applyBorder="1"/>
    <xf numFmtId="3" fontId="4" fillId="0" borderId="6" xfId="0" applyNumberFormat="1" applyFont="1" applyBorder="1" applyAlignment="1">
      <alignment wrapText="1"/>
    </xf>
    <xf numFmtId="164" fontId="4" fillId="0" borderId="10" xfId="0" applyNumberFormat="1" applyFont="1" applyBorder="1" applyAlignment="1">
      <alignment wrapText="1"/>
    </xf>
    <xf numFmtId="164" fontId="0" fillId="0" borderId="10" xfId="1" applyNumberFormat="1" applyFont="1" applyBorder="1"/>
    <xf numFmtId="164" fontId="0" fillId="0" borderId="6" xfId="1" applyNumberFormat="1" applyFont="1" applyBorder="1" applyAlignment="1">
      <alignment horizontal="right"/>
    </xf>
    <xf numFmtId="0" fontId="0" fillId="0" borderId="6" xfId="1" applyNumberFormat="1" applyFont="1" applyBorder="1" applyAlignment="1">
      <alignment horizontal="right"/>
    </xf>
    <xf numFmtId="3" fontId="0" fillId="0" borderId="6" xfId="1" applyNumberFormat="1" applyFont="1" applyBorder="1" applyAlignment="1">
      <alignment horizontal="right"/>
    </xf>
    <xf numFmtId="164" fontId="0" fillId="0" borderId="10" xfId="1" applyNumberFormat="1" applyFont="1" applyBorder="1" applyAlignment="1">
      <alignment horizontal="right"/>
    </xf>
    <xf numFmtId="0" fontId="0" fillId="0" borderId="2" xfId="0" applyBorder="1"/>
    <xf numFmtId="164" fontId="4" fillId="0" borderId="8" xfId="1" applyNumberFormat="1" applyFont="1" applyBorder="1"/>
    <xf numFmtId="164" fontId="4" fillId="0" borderId="9" xfId="1" applyNumberFormat="1" applyFont="1" applyBorder="1"/>
    <xf numFmtId="3" fontId="0" fillId="0" borderId="10" xfId="0" applyNumberFormat="1" applyBorder="1"/>
    <xf numFmtId="0" fontId="6" fillId="0" borderId="9" xfId="2" applyFill="1" applyBorder="1" applyAlignment="1">
      <alignment wrapText="1"/>
    </xf>
    <xf numFmtId="167" fontId="0" fillId="0" borderId="6" xfId="0" applyNumberFormat="1" applyBorder="1"/>
    <xf numFmtId="0" fontId="4" fillId="0" borderId="9" xfId="2" applyFont="1" applyFill="1" applyBorder="1" applyAlignment="1">
      <alignment wrapText="1"/>
    </xf>
    <xf numFmtId="0" fontId="6" fillId="0" borderId="9" xfId="2" applyFill="1" applyBorder="1"/>
    <xf numFmtId="1" fontId="0" fillId="0" borderId="10" xfId="0" applyNumberFormat="1" applyBorder="1"/>
    <xf numFmtId="0" fontId="4" fillId="0" borderId="11" xfId="2" applyFont="1" applyFill="1" applyBorder="1" applyAlignment="1">
      <alignment wrapText="1"/>
    </xf>
    <xf numFmtId="2" fontId="4" fillId="0" borderId="6" xfId="0" applyNumberFormat="1" applyFont="1" applyBorder="1"/>
    <xf numFmtId="168" fontId="4" fillId="0" borderId="6" xfId="1" applyNumberFormat="1" applyFont="1" applyBorder="1"/>
    <xf numFmtId="164" fontId="0" fillId="0" borderId="9" xfId="0" applyNumberFormat="1" applyBorder="1"/>
    <xf numFmtId="164" fontId="0" fillId="0" borderId="11" xfId="0" applyNumberFormat="1" applyBorder="1"/>
    <xf numFmtId="0" fontId="6" fillId="0" borderId="11" xfId="2" applyBorder="1" applyAlignment="1">
      <alignment wrapText="1"/>
    </xf>
    <xf numFmtId="0" fontId="6" fillId="0" borderId="22" xfId="2" applyBorder="1" applyAlignment="1">
      <alignment wrapText="1"/>
    </xf>
    <xf numFmtId="168" fontId="4" fillId="0" borderId="6" xfId="1" applyNumberFormat="1" applyFont="1" applyBorder="1" applyAlignment="1">
      <alignment wrapText="1"/>
    </xf>
    <xf numFmtId="164" fontId="0" fillId="0" borderId="6" xfId="0" applyNumberFormat="1" applyBorder="1"/>
    <xf numFmtId="164" fontId="4" fillId="0" borderId="9" xfId="1" applyNumberFormat="1" applyFont="1" applyFill="1" applyBorder="1"/>
    <xf numFmtId="164" fontId="0" fillId="0" borderId="0" xfId="0" applyNumberFormat="1"/>
    <xf numFmtId="43" fontId="0" fillId="0" borderId="6" xfId="0" applyNumberFormat="1" applyBorder="1"/>
    <xf numFmtId="0" fontId="6" fillId="0" borderId="9" xfId="2" applyBorder="1"/>
    <xf numFmtId="164" fontId="0" fillId="0" borderId="10" xfId="0" applyNumberFormat="1" applyBorder="1"/>
    <xf numFmtId="43" fontId="4" fillId="0" borderId="6" xfId="1" applyFont="1" applyBorder="1" applyAlignment="1">
      <alignment wrapText="1"/>
    </xf>
    <xf numFmtId="169" fontId="4" fillId="0" borderId="6" xfId="1" applyNumberFormat="1" applyFont="1" applyBorder="1" applyAlignment="1">
      <alignment wrapText="1"/>
    </xf>
    <xf numFmtId="164" fontId="4" fillId="0" borderId="6" xfId="1" applyNumberFormat="1" applyFont="1" applyBorder="1" applyAlignment="1">
      <alignment wrapText="1"/>
    </xf>
    <xf numFmtId="164" fontId="4" fillId="0" borderId="10" xfId="1" applyNumberFormat="1" applyFont="1" applyBorder="1" applyAlignment="1">
      <alignment wrapText="1"/>
    </xf>
    <xf numFmtId="0" fontId="0" fillId="0" borderId="9" xfId="0" applyBorder="1"/>
    <xf numFmtId="0" fontId="0" fillId="0" borderId="11" xfId="0" applyBorder="1"/>
    <xf numFmtId="3" fontId="0" fillId="0" borderId="13" xfId="0" applyNumberFormat="1" applyBorder="1"/>
    <xf numFmtId="164" fontId="0" fillId="0" borderId="9" xfId="1" applyNumberFormat="1" applyFont="1" applyBorder="1" applyAlignment="1">
      <alignment horizontal="right"/>
    </xf>
    <xf numFmtId="1" fontId="0" fillId="0" borderId="6" xfId="0" applyNumberFormat="1" applyBorder="1" applyAlignment="1">
      <alignment horizontal="right"/>
    </xf>
    <xf numFmtId="0" fontId="7" fillId="0" borderId="13" xfId="0" applyFont="1" applyBorder="1" applyAlignment="1">
      <alignment wrapText="1"/>
    </xf>
    <xf numFmtId="168" fontId="0" fillId="0" borderId="6" xfId="0" applyNumberFormat="1" applyBorder="1"/>
    <xf numFmtId="1" fontId="0" fillId="0" borderId="6" xfId="1" applyNumberFormat="1" applyFont="1" applyBorder="1" applyAlignment="1">
      <alignment horizontal="right"/>
    </xf>
    <xf numFmtId="1" fontId="0" fillId="0" borderId="9" xfId="1" applyNumberFormat="1" applyFont="1" applyBorder="1" applyAlignment="1">
      <alignment horizontal="right"/>
    </xf>
    <xf numFmtId="164" fontId="0" fillId="0" borderId="11" xfId="1" applyNumberFormat="1" applyFont="1" applyBorder="1" applyAlignment="1">
      <alignment horizontal="right"/>
    </xf>
    <xf numFmtId="164" fontId="0" fillId="0" borderId="6" xfId="1" applyNumberFormat="1" applyFont="1" applyFill="1" applyBorder="1" applyAlignment="1">
      <alignment horizontal="right"/>
    </xf>
    <xf numFmtId="164" fontId="4" fillId="0" borderId="0" xfId="1" applyNumberFormat="1" applyFont="1" applyBorder="1"/>
    <xf numFmtId="0" fontId="0" fillId="0" borderId="3" xfId="0" applyBorder="1" applyAlignment="1">
      <alignment horizontal="left" vertical="center" wrapText="1"/>
    </xf>
    <xf numFmtId="0" fontId="0" fillId="0" borderId="6" xfId="0" applyBorder="1" applyAlignment="1">
      <alignment horizontal="right" vertical="center"/>
    </xf>
    <xf numFmtId="0" fontId="0" fillId="0" borderId="6" xfId="0" applyBorder="1" applyAlignment="1">
      <alignment horizontal="left" wrapText="1"/>
    </xf>
    <xf numFmtId="164" fontId="10" fillId="0" borderId="6" xfId="1" applyNumberFormat="1" applyFont="1" applyBorder="1"/>
    <xf numFmtId="0" fontId="6" fillId="0" borderId="22" xfId="2" applyBorder="1"/>
    <xf numFmtId="0" fontId="4" fillId="0" borderId="3" xfId="0" applyFont="1" applyBorder="1" applyAlignment="1">
      <alignment horizontal="left" wrapText="1"/>
    </xf>
    <xf numFmtId="43" fontId="0" fillId="0" borderId="0" xfId="0" applyNumberFormat="1"/>
    <xf numFmtId="0" fontId="2" fillId="0" borderId="2" xfId="0" applyFont="1" applyBorder="1" applyAlignment="1">
      <alignment horizontal="left" wrapText="1"/>
    </xf>
    <xf numFmtId="0" fontId="2" fillId="0" borderId="3" xfId="0" applyFont="1" applyBorder="1" applyAlignment="1">
      <alignment horizontal="left" wrapText="1"/>
    </xf>
    <xf numFmtId="0" fontId="12" fillId="0" borderId="0" xfId="0" applyFont="1" applyAlignment="1">
      <alignment horizontal="left" wrapText="1"/>
    </xf>
    <xf numFmtId="0" fontId="3" fillId="0" borderId="0" xfId="0" applyFont="1" applyAlignment="1">
      <alignment horizontal="left" wrapText="1"/>
    </xf>
    <xf numFmtId="0" fontId="0" fillId="0" borderId="3" xfId="0" applyBorder="1" applyAlignment="1">
      <alignment horizontal="left" vertical="center" wrapText="1"/>
    </xf>
    <xf numFmtId="0" fontId="0" fillId="0" borderId="6" xfId="0" applyBorder="1" applyAlignment="1">
      <alignment horizontal="left" vertical="center"/>
    </xf>
    <xf numFmtId="0" fontId="0" fillId="0" borderId="6" xfId="0" applyBorder="1" applyAlignment="1">
      <alignment horizontal="right" vertical="center"/>
    </xf>
    <xf numFmtId="0" fontId="0" fillId="0" borderId="6" xfId="0" applyBorder="1" applyAlignment="1">
      <alignment horizontal="center" vertical="center" wrapText="1"/>
    </xf>
    <xf numFmtId="0" fontId="2" fillId="0" borderId="5"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 xfId="0" applyFont="1" applyBorder="1" applyAlignment="1">
      <alignment horizontal="center"/>
    </xf>
    <xf numFmtId="0" fontId="2" fillId="0" borderId="14" xfId="0" applyFont="1" applyBorder="1" applyAlignment="1">
      <alignment horizontal="center"/>
    </xf>
    <xf numFmtId="0" fontId="2" fillId="0" borderId="16"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Medium9"/>
  <colors>
    <mruColors>
      <color rgb="FF4678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0</xdr:colOff>
      <xdr:row>3</xdr:row>
      <xdr:rowOff>0</xdr:rowOff>
    </xdr:from>
    <xdr:to>
      <xdr:col>19</xdr:col>
      <xdr:colOff>314325</xdr:colOff>
      <xdr:row>10</xdr:row>
      <xdr:rowOff>171450</xdr:rowOff>
    </xdr:to>
    <xdr:sp macro="" textlink="">
      <xdr:nvSpPr>
        <xdr:cNvPr id="2" name="TextBox 3">
          <a:extLst>
            <a:ext uri="{FF2B5EF4-FFF2-40B4-BE49-F238E27FC236}">
              <a16:creationId xmlns:a16="http://schemas.microsoft.com/office/drawing/2014/main" id="{B4BC8D15-4AA9-4024-9144-373D8FCCF010}"/>
            </a:ext>
          </a:extLst>
        </xdr:cNvPr>
        <xdr:cNvSpPr txBox="1"/>
      </xdr:nvSpPr>
      <xdr:spPr>
        <a:xfrm>
          <a:off x="12192000" y="609600"/>
          <a:ext cx="5800725" cy="14668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r>
            <a:rPr lang="en-US" sz="1100" baseline="0"/>
            <a:t>Forestry removal potential was sourced from the Massachusetts EEA Forest Carbon Study, which analyzes the impact of alternative land-use scenarios on terrestrial carbon storage and sequestration in Massachusetts. This study was published in 2025, and was a joint effort between the Harvard Forest project and the University of Massachusetts, and quantified the total amount of removal potential (5-6 MtCO2e / year) from forests. </a:t>
          </a:r>
        </a:p>
        <a:p>
          <a:endParaRPr lang="en-US" sz="1100" baseline="0"/>
        </a:p>
        <a:p>
          <a:r>
            <a:rPr lang="en-US" sz="1100" baseline="0"/>
            <a:t>The Forest Carbon Study also estimates the additional removal capacity that could come from active land management through reforestation and tree planting (0.1 to 0.6 </a:t>
          </a:r>
          <a:r>
            <a:rPr lang="en-US" sz="1100" baseline="0">
              <a:solidFill>
                <a:schemeClr val="dk1"/>
              </a:solidFill>
              <a:effectLst/>
              <a:latin typeface="+mn-lt"/>
              <a:ea typeface="+mn-ea"/>
              <a:cs typeface="+mn-cs"/>
            </a:rPr>
            <a:t>MtCO2e / year).</a:t>
          </a:r>
          <a:endParaRPr lang="en-US" sz="1100" baseline="0"/>
        </a:p>
        <a:p>
          <a:endParaRPr lang="en-US" sz="1100" baseline="0"/>
        </a:p>
        <a:p>
          <a:r>
            <a:rPr lang="en-US" sz="1100" baseline="0"/>
            <a:t>Please see the Forest Carbon Study's executive summary (Pages 6-7 in the report) for more information.</a:t>
          </a: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13</xdr:row>
      <xdr:rowOff>190499</xdr:rowOff>
    </xdr:from>
    <xdr:to>
      <xdr:col>19</xdr:col>
      <xdr:colOff>314325</xdr:colOff>
      <xdr:row>24</xdr:row>
      <xdr:rowOff>38099</xdr:rowOff>
    </xdr:to>
    <xdr:sp macro="" textlink="">
      <xdr:nvSpPr>
        <xdr:cNvPr id="3" name="TextBox 3">
          <a:extLst>
            <a:ext uri="{FF2B5EF4-FFF2-40B4-BE49-F238E27FC236}">
              <a16:creationId xmlns:a16="http://schemas.microsoft.com/office/drawing/2014/main" id="{F00D8541-0870-409B-B215-F51D912DDC49}"/>
            </a:ext>
          </a:extLst>
        </xdr:cNvPr>
        <xdr:cNvSpPr txBox="1"/>
      </xdr:nvSpPr>
      <xdr:spPr>
        <a:xfrm>
          <a:off x="13315950" y="3438524"/>
          <a:ext cx="5800725" cy="30003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r>
            <a:rPr lang="en-US" sz="1100" baseline="0">
              <a:solidFill>
                <a:schemeClr val="dk1"/>
              </a:solidFill>
              <a:effectLst/>
              <a:latin typeface="+mn-lt"/>
              <a:ea typeface="+mn-ea"/>
              <a:cs typeface="+mn-cs"/>
            </a:rPr>
            <a:t>Agricultural soils annual CDR potential was calculated by using the carbon storage potential rate for a range of agricultural soil approaches and the amount of farmland available for agricultural soil CDR. </a:t>
          </a:r>
        </a:p>
        <a:p>
          <a:endParaRPr lang="en-US" sz="1100" baseline="0">
            <a:solidFill>
              <a:schemeClr val="dk1"/>
            </a:solidFill>
            <a:effectLst/>
            <a:latin typeface="+mn-lt"/>
            <a:ea typeface="+mn-ea"/>
            <a:cs typeface="+mn-cs"/>
          </a:endParaRPr>
        </a:p>
        <a:p>
          <a:r>
            <a:rPr lang="en-US" sz="1100" baseline="0"/>
            <a:t>The amount of farmland available was calculated by estimating the farmland that could be changed to cover cropping, which was then used as a proxy for all agricultural soil methods.  The land available for cover cropping was calculated using the total amount of farmland in MA and the average US percentage of farmers that are currently cover cropping.</a:t>
          </a:r>
          <a:endParaRPr lang="en-US" sz="1100" i="1" baseline="0">
            <a:solidFill>
              <a:schemeClr val="accent5"/>
            </a:solidFill>
            <a:effectLst/>
            <a:latin typeface="+mn-lt"/>
            <a:ea typeface="+mn-ea"/>
            <a:cs typeface="+mn-cs"/>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Data:</a:t>
          </a:r>
          <a:endParaRPr lang="en-US">
            <a:effectLst/>
          </a:endParaRPr>
        </a:p>
        <a:p>
          <a:r>
            <a:rPr lang="en-US" sz="1100" baseline="0">
              <a:solidFill>
                <a:schemeClr val="dk1"/>
              </a:solidFill>
              <a:effectLst/>
              <a:latin typeface="+mn-lt"/>
              <a:ea typeface="+mn-ea"/>
              <a:cs typeface="+mn-cs"/>
            </a:rPr>
            <a:t>- the amount of farmland in MA</a:t>
          </a:r>
        </a:p>
        <a:p>
          <a:r>
            <a:rPr lang="en-US" sz="1100" baseline="0">
              <a:solidFill>
                <a:schemeClr val="dk1"/>
              </a:solidFill>
              <a:effectLst/>
              <a:latin typeface="+mn-lt"/>
              <a:ea typeface="+mn-ea"/>
              <a:cs typeface="+mn-cs"/>
            </a:rPr>
            <a:t>- the carbon storage rate of agricultural soil methods</a:t>
          </a:r>
        </a:p>
        <a:p>
          <a:r>
            <a:rPr lang="en-US">
              <a:effectLst/>
            </a:rPr>
            <a:t>- the US average percentage of farmers that</a:t>
          </a:r>
          <a:r>
            <a:rPr lang="en-US" baseline="0">
              <a:effectLst/>
            </a:rPr>
            <a:t> cover crop in 2023</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Assumptions:</a:t>
          </a:r>
          <a:endParaRPr lang="en-US">
            <a:effectLst/>
          </a:endParaRPr>
        </a:p>
        <a:p>
          <a:r>
            <a:rPr lang="en-US" sz="1100" baseline="0">
              <a:solidFill>
                <a:schemeClr val="dk1"/>
              </a:solidFill>
              <a:effectLst/>
              <a:latin typeface="+mn-lt"/>
              <a:ea typeface="+mn-ea"/>
              <a:cs typeface="+mn-cs"/>
            </a:rPr>
            <a:t>- the US average percentage of farmers that cover crop in 2023 holds yearly and applies to MA</a:t>
          </a:r>
        </a:p>
        <a:p>
          <a:r>
            <a:rPr lang="en-US" sz="1100" b="0" i="0" baseline="0">
              <a:solidFill>
                <a:schemeClr val="dk1"/>
              </a:solidFill>
              <a:effectLst/>
              <a:latin typeface="+mn-lt"/>
              <a:ea typeface="+mn-ea"/>
              <a:cs typeface="+mn-cs"/>
            </a:rPr>
            <a:t>- all farmland available for cover cropping is used for agricultural soils CDR</a:t>
          </a:r>
          <a:endParaRPr lang="en-US" sz="1100" b="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26</xdr:row>
      <xdr:rowOff>190499</xdr:rowOff>
    </xdr:from>
    <xdr:to>
      <xdr:col>19</xdr:col>
      <xdr:colOff>311150</xdr:colOff>
      <xdr:row>34</xdr:row>
      <xdr:rowOff>25400</xdr:rowOff>
    </xdr:to>
    <xdr:sp macro="" textlink="">
      <xdr:nvSpPr>
        <xdr:cNvPr id="4" name="TextBox 3">
          <a:extLst>
            <a:ext uri="{FF2B5EF4-FFF2-40B4-BE49-F238E27FC236}">
              <a16:creationId xmlns:a16="http://schemas.microsoft.com/office/drawing/2014/main" id="{CD9714D0-9ADA-4B17-A8AF-48C27DA1B68A}"/>
            </a:ext>
          </a:extLst>
        </xdr:cNvPr>
        <xdr:cNvSpPr txBox="1"/>
      </xdr:nvSpPr>
      <xdr:spPr>
        <a:xfrm>
          <a:off x="14706600" y="7607299"/>
          <a:ext cx="6369050" cy="218440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r>
            <a:rPr lang="en-US" sz="1100" baseline="0"/>
            <a:t>Salt marsh annual CDR potential was calculated utilizing the recently completed Massachusetts Blue Carbon Study, which was prepared for the Massachusetts Department of Fish and Game by Ridley &amp; Associates, Inc. and Silvestrum Climate Associates. Using the available salt marsh area in MA and the range of salt marsh carbon removal rates provided in the report, the scale was calculated</a:t>
          </a: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r>
            <a:rPr lang="en-US" sz="1100" baseline="0">
              <a:solidFill>
                <a:schemeClr val="dk1"/>
              </a:solidFill>
              <a:effectLst/>
              <a:latin typeface="+mn-lt"/>
              <a:ea typeface="+mn-ea"/>
              <a:cs typeface="+mn-cs"/>
            </a:rPr>
            <a:t>Data:</a:t>
          </a:r>
          <a:endParaRPr lang="en-US">
            <a:effectLst/>
          </a:endParaRPr>
        </a:p>
        <a:p>
          <a:r>
            <a:rPr lang="en-US" sz="1100" baseline="0">
              <a:solidFill>
                <a:schemeClr val="dk1"/>
              </a:solidFill>
              <a:effectLst/>
              <a:latin typeface="+mn-lt"/>
              <a:ea typeface="+mn-ea"/>
              <a:cs typeface="+mn-cs"/>
            </a:rPr>
            <a:t>- the amount of salt marsh area in MA</a:t>
          </a:r>
        </a:p>
        <a:p>
          <a:r>
            <a:rPr lang="en-US" sz="1100" baseline="0">
              <a:solidFill>
                <a:schemeClr val="dk1"/>
              </a:solidFill>
              <a:effectLst/>
              <a:latin typeface="+mn-lt"/>
              <a:ea typeface="+mn-ea"/>
              <a:cs typeface="+mn-cs"/>
            </a:rPr>
            <a:t>- the carbon storage rate of salt marshes</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Assumptions:</a:t>
          </a:r>
          <a:endParaRPr lang="en-US">
            <a:effectLst/>
          </a:endParaRPr>
        </a:p>
        <a:p>
          <a:r>
            <a:rPr lang="en-US" sz="1100" baseline="0">
              <a:solidFill>
                <a:schemeClr val="dk1"/>
              </a:solidFill>
              <a:effectLst/>
              <a:latin typeface="+mn-lt"/>
              <a:ea typeface="+mn-ea"/>
              <a:cs typeface="+mn-cs"/>
            </a:rPr>
            <a:t>- all salt marsh area in MA is eligible to be restored</a:t>
          </a:r>
          <a:endParaRPr lang="en-US" sz="1100" b="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36</xdr:row>
      <xdr:rowOff>190499</xdr:rowOff>
    </xdr:from>
    <xdr:to>
      <xdr:col>19</xdr:col>
      <xdr:colOff>311150</xdr:colOff>
      <xdr:row>43</xdr:row>
      <xdr:rowOff>171450</xdr:rowOff>
    </xdr:to>
    <xdr:sp macro="" textlink="">
      <xdr:nvSpPr>
        <xdr:cNvPr id="58" name="TextBox 4">
          <a:extLst>
            <a:ext uri="{FF2B5EF4-FFF2-40B4-BE49-F238E27FC236}">
              <a16:creationId xmlns:a16="http://schemas.microsoft.com/office/drawing/2014/main" id="{78DD94D0-A53D-406B-BCC7-DB4B3229227A}"/>
            </a:ext>
          </a:extLst>
        </xdr:cNvPr>
        <xdr:cNvSpPr txBox="1"/>
      </xdr:nvSpPr>
      <xdr:spPr>
        <a:xfrm>
          <a:off x="12468225" y="6991349"/>
          <a:ext cx="5800725" cy="220980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r>
            <a:rPr lang="en-US" sz="1100" baseline="0"/>
            <a:t>Biomass direct storage annual CDR potential was calculated by assuming all biomass waste in MA across the forestry, agricultural, and wastewater industries are used. No purpose grown crops are included in the scale estimate.</a:t>
          </a:r>
        </a:p>
        <a:p>
          <a:endParaRPr lang="en-US" sz="1100" i="1" baseline="0">
            <a:solidFill>
              <a:schemeClr val="accent5"/>
            </a:solidFill>
            <a:effectLst/>
            <a:latin typeface="+mn-lt"/>
            <a:ea typeface="+mn-ea"/>
            <a:cs typeface="+mn-cs"/>
          </a:endParaRPr>
        </a:p>
        <a:p>
          <a:r>
            <a:rPr lang="en-US" sz="1100" baseline="0">
              <a:solidFill>
                <a:schemeClr val="dk1"/>
              </a:solidFill>
              <a:effectLst/>
              <a:latin typeface="+mn-lt"/>
              <a:ea typeface="+mn-ea"/>
              <a:cs typeface="+mn-cs"/>
            </a:rPr>
            <a:t>Data:</a:t>
          </a:r>
          <a:endParaRPr lang="en-US">
            <a:effectLst/>
          </a:endParaRPr>
        </a:p>
        <a:p>
          <a:r>
            <a:rPr lang="en-US" sz="1100" baseline="0">
              <a:solidFill>
                <a:schemeClr val="dk1"/>
              </a:solidFill>
              <a:effectLst/>
              <a:latin typeface="+mn-lt"/>
              <a:ea typeface="+mn-ea"/>
              <a:cs typeface="+mn-cs"/>
            </a:rPr>
            <a:t>- the amount of forestry waste, agricultural waste, and other wet wastes in MA . Wet waste is given in dry tons.</a:t>
          </a:r>
        </a:p>
        <a:p>
          <a:r>
            <a:rPr lang="en-US" sz="1100" baseline="0">
              <a:solidFill>
                <a:schemeClr val="dk1"/>
              </a:solidFill>
              <a:effectLst/>
              <a:latin typeface="+mn-lt"/>
              <a:ea typeface="+mn-ea"/>
              <a:cs typeface="+mn-cs"/>
            </a:rPr>
            <a:t>- the carbon storage rate of biomass</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Assumptions:</a:t>
          </a:r>
          <a:endParaRPr lang="en-US">
            <a:effectLst/>
          </a:endParaRPr>
        </a:p>
        <a:p>
          <a:r>
            <a:rPr lang="en-US" sz="1100" baseline="0">
              <a:solidFill>
                <a:schemeClr val="dk1"/>
              </a:solidFill>
              <a:effectLst/>
              <a:latin typeface="+mn-lt"/>
              <a:ea typeface="+mn-ea"/>
              <a:cs typeface="+mn-cs"/>
            </a:rPr>
            <a:t>- all forestry waste, agricultural waste, and other wet wastes in MA are used in biomass direct storage</a:t>
          </a:r>
        </a:p>
        <a:p>
          <a:r>
            <a:rPr lang="en-US" sz="1100" b="0" i="0" baseline="0">
              <a:solidFill>
                <a:schemeClr val="dk1"/>
              </a:solidFill>
              <a:effectLst/>
              <a:latin typeface="+mn-lt"/>
              <a:ea typeface="+mn-ea"/>
              <a:cs typeface="+mn-cs"/>
            </a:rPr>
            <a:t>- MA does not use purpose-grown crops in biomass direct storage</a:t>
          </a:r>
          <a:endParaRPr lang="en-US" sz="1100" b="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56</xdr:row>
      <xdr:rowOff>190499</xdr:rowOff>
    </xdr:from>
    <xdr:to>
      <xdr:col>19</xdr:col>
      <xdr:colOff>311150</xdr:colOff>
      <xdr:row>63</xdr:row>
      <xdr:rowOff>171450</xdr:rowOff>
    </xdr:to>
    <xdr:sp macro="" textlink="">
      <xdr:nvSpPr>
        <xdr:cNvPr id="6" name="TextBox 5">
          <a:extLst>
            <a:ext uri="{FF2B5EF4-FFF2-40B4-BE49-F238E27FC236}">
              <a16:creationId xmlns:a16="http://schemas.microsoft.com/office/drawing/2014/main" id="{6F1DC3A9-3494-4ED2-B1CD-15292165535E}"/>
            </a:ext>
          </a:extLst>
        </xdr:cNvPr>
        <xdr:cNvSpPr txBox="1"/>
      </xdr:nvSpPr>
      <xdr:spPr>
        <a:xfrm>
          <a:off x="13239750" y="9829799"/>
          <a:ext cx="5800725" cy="276225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r>
            <a:rPr lang="en-US" sz="1100" baseline="0"/>
            <a:t>Timber building prodcuts annual CDR potential was calculated by assuming all timber production in MA is used in building products. This calculation is based on the amount of timberland in MA and the carbon removal potential of timber.</a:t>
          </a:r>
        </a:p>
        <a:p>
          <a:endParaRPr lang="en-US" sz="1100" i="1" baseline="0">
            <a:solidFill>
              <a:schemeClr val="accent5"/>
            </a:solidFill>
            <a:effectLst/>
            <a:latin typeface="+mn-lt"/>
            <a:ea typeface="+mn-ea"/>
            <a:cs typeface="+mn-cs"/>
          </a:endParaRPr>
        </a:p>
        <a:p>
          <a:r>
            <a:rPr lang="en-US" sz="1100" baseline="0">
              <a:solidFill>
                <a:schemeClr val="dk1"/>
              </a:solidFill>
              <a:effectLst/>
              <a:latin typeface="+mn-lt"/>
              <a:ea typeface="+mn-ea"/>
              <a:cs typeface="+mn-cs"/>
            </a:rPr>
            <a:t>Data:</a:t>
          </a:r>
          <a:endParaRPr lang="en-US">
            <a:effectLst/>
          </a:endParaRPr>
        </a:p>
        <a:p>
          <a:r>
            <a:rPr lang="en-US" sz="1100" baseline="0">
              <a:solidFill>
                <a:schemeClr val="dk1"/>
              </a:solidFill>
              <a:effectLst/>
              <a:latin typeface="+mn-lt"/>
              <a:ea typeface="+mn-ea"/>
              <a:cs typeface="+mn-cs"/>
            </a:rPr>
            <a:t>- the amount of timberland in MA </a:t>
          </a:r>
        </a:p>
        <a:p>
          <a:r>
            <a:rPr lang="en-US" sz="1100" baseline="0">
              <a:solidFill>
                <a:schemeClr val="dk1"/>
              </a:solidFill>
              <a:effectLst/>
              <a:latin typeface="+mn-lt"/>
              <a:ea typeface="+mn-ea"/>
              <a:cs typeface="+mn-cs"/>
            </a:rPr>
            <a:t>- the carbon removal potential of timber</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Assumptions:</a:t>
          </a:r>
          <a:endParaRPr lang="en-US">
            <a:effectLst/>
          </a:endParaRPr>
        </a:p>
        <a:p>
          <a:r>
            <a:rPr lang="en-US" sz="1100" baseline="0">
              <a:solidFill>
                <a:schemeClr val="dk1"/>
              </a:solidFill>
              <a:effectLst/>
              <a:latin typeface="+mn-lt"/>
              <a:ea typeface="+mn-ea"/>
              <a:cs typeface="+mn-cs"/>
            </a:rPr>
            <a:t>- harvesting timber for building products operates at a sustainable "medium" rate of harvesting</a:t>
          </a:r>
        </a:p>
        <a:p>
          <a:r>
            <a:rPr lang="en-US" sz="1100" baseline="0">
              <a:solidFill>
                <a:schemeClr val="dk1"/>
              </a:solidFill>
              <a:effectLst/>
              <a:latin typeface="+mn-lt"/>
              <a:ea typeface="+mn-ea"/>
              <a:cs typeface="+mn-cs"/>
            </a:rPr>
            <a:t>- no meaningful changes to the amount of MA timberland since 2021</a:t>
          </a:r>
        </a:p>
        <a:p>
          <a:r>
            <a:rPr lang="en-US" sz="1100" b="0" i="0" baseline="0">
              <a:solidFill>
                <a:schemeClr val="dk1"/>
              </a:solidFill>
              <a:effectLst/>
              <a:latin typeface="+mn-lt"/>
              <a:ea typeface="+mn-ea"/>
              <a:cs typeface="+mn-cs"/>
            </a:rPr>
            <a:t>- all timber produced in MA is used in timber building products</a:t>
          </a:r>
          <a:endParaRPr lang="en-US" sz="1100" b="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66</xdr:row>
      <xdr:rowOff>190499</xdr:rowOff>
    </xdr:from>
    <xdr:to>
      <xdr:col>19</xdr:col>
      <xdr:colOff>311150</xdr:colOff>
      <xdr:row>73</xdr:row>
      <xdr:rowOff>171450</xdr:rowOff>
    </xdr:to>
    <xdr:sp macro="" textlink="">
      <xdr:nvSpPr>
        <xdr:cNvPr id="7" name="TextBox 6">
          <a:extLst>
            <a:ext uri="{FF2B5EF4-FFF2-40B4-BE49-F238E27FC236}">
              <a16:creationId xmlns:a16="http://schemas.microsoft.com/office/drawing/2014/main" id="{3D342352-9DA2-4A7C-BDCC-47089DE3A1D9}"/>
            </a:ext>
          </a:extLst>
        </xdr:cNvPr>
        <xdr:cNvSpPr txBox="1"/>
      </xdr:nvSpPr>
      <xdr:spPr>
        <a:xfrm>
          <a:off x="13315950" y="15420974"/>
          <a:ext cx="5800725" cy="2390776"/>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r>
            <a:rPr lang="en-US" sz="1100" baseline="0"/>
            <a:t>Other biomass building products annual CDR potential was calculated by </a:t>
          </a:r>
          <a:r>
            <a:rPr lang="en-US" sz="1100" baseline="0">
              <a:solidFill>
                <a:schemeClr val="dk1"/>
              </a:solidFill>
              <a:effectLst/>
              <a:latin typeface="+mn-lt"/>
              <a:ea typeface="+mn-ea"/>
              <a:cs typeface="+mn-cs"/>
            </a:rPr>
            <a:t>assuming all biomass waste in MA across the forestry and agricultural industries are used. No purpose grown crops are included in the scale estimate, though certain crops like hemp could be grown specifically for other biomass building products.</a:t>
          </a:r>
          <a:endParaRPr lang="en-US">
            <a:effectLst/>
          </a:endParaRPr>
        </a:p>
        <a:p>
          <a:endParaRPr lang="en-US" sz="1100" i="1" baseline="0">
            <a:solidFill>
              <a:schemeClr val="accent5"/>
            </a:solidFill>
            <a:effectLst/>
            <a:latin typeface="+mn-lt"/>
            <a:ea typeface="+mn-ea"/>
            <a:cs typeface="+mn-cs"/>
          </a:endParaRPr>
        </a:p>
        <a:p>
          <a:r>
            <a:rPr lang="en-US" sz="1100" baseline="0">
              <a:solidFill>
                <a:schemeClr val="dk1"/>
              </a:solidFill>
              <a:effectLst/>
              <a:latin typeface="+mn-lt"/>
              <a:ea typeface="+mn-ea"/>
              <a:cs typeface="+mn-cs"/>
            </a:rPr>
            <a:t>Data:</a:t>
          </a:r>
          <a:endParaRPr lang="en-US">
            <a:effectLst/>
          </a:endParaRPr>
        </a:p>
        <a:p>
          <a:r>
            <a:rPr lang="en-US" sz="1100" baseline="0">
              <a:solidFill>
                <a:schemeClr val="dk1"/>
              </a:solidFill>
              <a:effectLst/>
              <a:latin typeface="+mn-lt"/>
              <a:ea typeface="+mn-ea"/>
              <a:cs typeface="+mn-cs"/>
            </a:rPr>
            <a:t>- the amount of forestry waste and agricultural waste in MA </a:t>
          </a:r>
          <a:endParaRPr lang="en-US">
            <a:effectLst/>
          </a:endParaRPr>
        </a:p>
        <a:p>
          <a:r>
            <a:rPr lang="en-US" sz="1100" baseline="0">
              <a:solidFill>
                <a:schemeClr val="dk1"/>
              </a:solidFill>
              <a:effectLst/>
              <a:latin typeface="+mn-lt"/>
              <a:ea typeface="+mn-ea"/>
              <a:cs typeface="+mn-cs"/>
            </a:rPr>
            <a:t>- the carbon storage rate of biomass</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Assumptions:</a:t>
          </a:r>
          <a:endParaRPr lang="en-US">
            <a:effectLst/>
          </a:endParaRPr>
        </a:p>
        <a:p>
          <a:r>
            <a:rPr lang="en-US" sz="1100" baseline="0">
              <a:solidFill>
                <a:schemeClr val="dk1"/>
              </a:solidFill>
              <a:effectLst/>
              <a:latin typeface="+mn-lt"/>
              <a:ea typeface="+mn-ea"/>
              <a:cs typeface="+mn-cs"/>
            </a:rPr>
            <a:t>- all forestry waste and agricultural waste in MA are used in biomass direct storage</a:t>
          </a:r>
          <a:endParaRPr lang="en-US">
            <a:effectLst/>
          </a:endParaRPr>
        </a:p>
        <a:p>
          <a:r>
            <a:rPr lang="en-US" sz="1100" b="0" i="0" baseline="0">
              <a:solidFill>
                <a:schemeClr val="dk1"/>
              </a:solidFill>
              <a:effectLst/>
              <a:latin typeface="+mn-lt"/>
              <a:ea typeface="+mn-ea"/>
              <a:cs typeface="+mn-cs"/>
            </a:rPr>
            <a:t>- MA does not use purpose-grown crops in biomass building products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82</xdr:row>
      <xdr:rowOff>0</xdr:rowOff>
    </xdr:from>
    <xdr:to>
      <xdr:col>19</xdr:col>
      <xdr:colOff>311150</xdr:colOff>
      <xdr:row>87</xdr:row>
      <xdr:rowOff>409575</xdr:rowOff>
    </xdr:to>
    <xdr:sp macro="" textlink="">
      <xdr:nvSpPr>
        <xdr:cNvPr id="62" name="TextBox 7">
          <a:extLst>
            <a:ext uri="{FF2B5EF4-FFF2-40B4-BE49-F238E27FC236}">
              <a16:creationId xmlns:a16="http://schemas.microsoft.com/office/drawing/2014/main" id="{720F206A-78BD-47E2-B911-B0FB0D76D7D8}"/>
            </a:ext>
          </a:extLst>
        </xdr:cNvPr>
        <xdr:cNvSpPr txBox="1"/>
      </xdr:nvSpPr>
      <xdr:spPr>
        <a:xfrm>
          <a:off x="13315950" y="24784050"/>
          <a:ext cx="5797550" cy="244792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r>
            <a:rPr lang="en-US" sz="1100" baseline="0"/>
            <a:t>Pyrolysis (biochar) and storage annual CDR potential was calculated by </a:t>
          </a:r>
          <a:r>
            <a:rPr lang="en-US" sz="1100" baseline="0">
              <a:solidFill>
                <a:schemeClr val="dk1"/>
              </a:solidFill>
              <a:effectLst/>
              <a:latin typeface="+mn-lt"/>
              <a:ea typeface="+mn-ea"/>
              <a:cs typeface="+mn-cs"/>
            </a:rPr>
            <a:t>assuming all biomass waste in MA across the forestry, agricultural, and wastewater industries are used to create biochar. No purpose grown crops are included in the scale estimate.</a:t>
          </a:r>
        </a:p>
        <a:p>
          <a:endParaRPr lang="en-US" sz="1100" i="1" baseline="0">
            <a:solidFill>
              <a:schemeClr val="accent5"/>
            </a:solidFill>
            <a:effectLst/>
            <a:latin typeface="+mn-lt"/>
            <a:ea typeface="+mn-ea"/>
            <a:cs typeface="+mn-cs"/>
          </a:endParaRPr>
        </a:p>
        <a:p>
          <a:r>
            <a:rPr lang="en-US" sz="1100" baseline="0">
              <a:solidFill>
                <a:schemeClr val="dk1"/>
              </a:solidFill>
              <a:effectLst/>
              <a:latin typeface="+mn-lt"/>
              <a:ea typeface="+mn-ea"/>
              <a:cs typeface="+mn-cs"/>
            </a:rPr>
            <a:t>Data:</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the amount of forestry waste, agricultural, and other wet waste in MA. Wet waste is given in dry tons.</a:t>
          </a:r>
        </a:p>
        <a:p>
          <a:r>
            <a:rPr lang="en-US" sz="1100" baseline="0">
              <a:solidFill>
                <a:schemeClr val="dk1"/>
              </a:solidFill>
              <a:effectLst/>
              <a:latin typeface="+mn-lt"/>
              <a:ea typeface="+mn-ea"/>
              <a:cs typeface="+mn-cs"/>
            </a:rPr>
            <a:t>- the conversion rate of biomass to biochar </a:t>
          </a:r>
          <a:endParaRPr lang="en-US">
            <a:effectLst/>
          </a:endParaRPr>
        </a:p>
        <a:p>
          <a:r>
            <a:rPr lang="en-US" sz="1100" baseline="0">
              <a:solidFill>
                <a:schemeClr val="dk1"/>
              </a:solidFill>
              <a:effectLst/>
              <a:latin typeface="+mn-lt"/>
              <a:ea typeface="+mn-ea"/>
              <a:cs typeface="+mn-cs"/>
            </a:rPr>
            <a:t>- the carbon storage rate of biochar</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Assumptions:</a:t>
          </a:r>
          <a:endParaRPr lang="en-US">
            <a:effectLst/>
          </a:endParaRPr>
        </a:p>
        <a:p>
          <a:r>
            <a:rPr lang="en-US" sz="1100" baseline="0">
              <a:solidFill>
                <a:schemeClr val="dk1"/>
              </a:solidFill>
              <a:effectLst/>
              <a:latin typeface="+mn-lt"/>
              <a:ea typeface="+mn-ea"/>
              <a:cs typeface="+mn-cs"/>
            </a:rPr>
            <a:t>- all forestry waste, agricultural waste, and other wet waste in MA are used to create biochar</a:t>
          </a:r>
          <a:endParaRPr lang="en-US">
            <a:effectLst/>
          </a:endParaRPr>
        </a:p>
        <a:p>
          <a:r>
            <a:rPr lang="en-US" sz="1100" b="0" i="0" baseline="0">
              <a:solidFill>
                <a:schemeClr val="dk1"/>
              </a:solidFill>
              <a:effectLst/>
              <a:latin typeface="+mn-lt"/>
              <a:ea typeface="+mn-ea"/>
              <a:cs typeface="+mn-cs"/>
            </a:rPr>
            <a:t>- MA does not use purpose-grown crops to create biochar</a:t>
          </a:r>
        </a:p>
        <a:p>
          <a:r>
            <a:rPr lang="en-US" sz="1100" b="0" i="0" baseline="0">
              <a:solidFill>
                <a:schemeClr val="dk1"/>
              </a:solidFill>
              <a:effectLst/>
              <a:latin typeface="+mn-lt"/>
              <a:ea typeface="+mn-ea"/>
              <a:cs typeface="+mn-cs"/>
            </a:rPr>
            <a:t>- lab scale conversion efficiencies apply at scale</a:t>
          </a:r>
          <a:endParaRPr lang="en-US">
            <a:effectLst/>
          </a:endParaRPr>
        </a:p>
      </xdr:txBody>
    </xdr:sp>
    <xdr:clientData/>
  </xdr:twoCellAnchor>
  <xdr:twoCellAnchor>
    <xdr:from>
      <xdr:col>10</xdr:col>
      <xdr:colOff>0</xdr:colOff>
      <xdr:row>108</xdr:row>
      <xdr:rowOff>0</xdr:rowOff>
    </xdr:from>
    <xdr:to>
      <xdr:col>19</xdr:col>
      <xdr:colOff>311150</xdr:colOff>
      <xdr:row>113</xdr:row>
      <xdr:rowOff>361950</xdr:rowOff>
    </xdr:to>
    <xdr:sp macro="" textlink="">
      <xdr:nvSpPr>
        <xdr:cNvPr id="66" name="TextBox 8">
          <a:extLst>
            <a:ext uri="{FF2B5EF4-FFF2-40B4-BE49-F238E27FC236}">
              <a16:creationId xmlns:a16="http://schemas.microsoft.com/office/drawing/2014/main" id="{A95E27CA-0F3E-4FCE-BEC3-5129282524B5}"/>
            </a:ext>
          </a:extLst>
        </xdr:cNvPr>
        <xdr:cNvSpPr txBox="1"/>
      </xdr:nvSpPr>
      <xdr:spPr>
        <a:xfrm>
          <a:off x="13315950" y="35566350"/>
          <a:ext cx="5797550" cy="24003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r>
            <a:rPr lang="en-US" sz="1100" baseline="0"/>
            <a:t>Pyrolysis (bioliquid) and storage annual CDR potential was calculated by </a:t>
          </a:r>
          <a:r>
            <a:rPr lang="en-US" sz="1100" baseline="0">
              <a:solidFill>
                <a:schemeClr val="dk1"/>
              </a:solidFill>
              <a:effectLst/>
              <a:latin typeface="+mn-lt"/>
              <a:ea typeface="+mn-ea"/>
              <a:cs typeface="+mn-cs"/>
            </a:rPr>
            <a:t>assuming all biomass waste in MA across the forestry, agricultural, and wastewater industries are used to create bioliquid. No purpose grown crops are included in the scale estimate.</a:t>
          </a:r>
        </a:p>
        <a:p>
          <a:endParaRPr lang="en-US" sz="1100" i="1" baseline="0">
            <a:solidFill>
              <a:schemeClr val="accent5"/>
            </a:solidFill>
            <a:effectLst/>
            <a:latin typeface="+mn-lt"/>
            <a:ea typeface="+mn-ea"/>
            <a:cs typeface="+mn-cs"/>
          </a:endParaRPr>
        </a:p>
        <a:p>
          <a:r>
            <a:rPr lang="en-US" sz="1100" baseline="0">
              <a:solidFill>
                <a:schemeClr val="dk1"/>
              </a:solidFill>
              <a:effectLst/>
              <a:latin typeface="+mn-lt"/>
              <a:ea typeface="+mn-ea"/>
              <a:cs typeface="+mn-cs"/>
            </a:rPr>
            <a:t>Data:</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the amount of forestry waste, agricultural, and other wet waste in MA . Wet waste is given in dry tons.</a:t>
          </a:r>
          <a:endParaRPr lang="en-US">
            <a:effectLst/>
          </a:endParaRPr>
        </a:p>
        <a:p>
          <a:r>
            <a:rPr lang="en-US" sz="1100" baseline="0">
              <a:solidFill>
                <a:schemeClr val="dk1"/>
              </a:solidFill>
              <a:effectLst/>
              <a:latin typeface="+mn-lt"/>
              <a:ea typeface="+mn-ea"/>
              <a:cs typeface="+mn-cs"/>
            </a:rPr>
            <a:t>- the conversion rate of biomass to bioliquid </a:t>
          </a:r>
          <a:endParaRPr lang="en-US">
            <a:effectLst/>
          </a:endParaRPr>
        </a:p>
        <a:p>
          <a:r>
            <a:rPr lang="en-US" sz="1100" baseline="0">
              <a:solidFill>
                <a:schemeClr val="dk1"/>
              </a:solidFill>
              <a:effectLst/>
              <a:latin typeface="+mn-lt"/>
              <a:ea typeface="+mn-ea"/>
              <a:cs typeface="+mn-cs"/>
            </a:rPr>
            <a:t>- the carbon storage rate of bioliquid</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Assumptions:</a:t>
          </a:r>
          <a:endParaRPr lang="en-US">
            <a:effectLst/>
          </a:endParaRPr>
        </a:p>
        <a:p>
          <a:r>
            <a:rPr lang="en-US" sz="1100" baseline="0">
              <a:solidFill>
                <a:schemeClr val="dk1"/>
              </a:solidFill>
              <a:effectLst/>
              <a:latin typeface="+mn-lt"/>
              <a:ea typeface="+mn-ea"/>
              <a:cs typeface="+mn-cs"/>
            </a:rPr>
            <a:t>- all forestry waste, agricultural waste, and other wet waste in MA are used to create bioliquid</a:t>
          </a:r>
          <a:endParaRPr lang="en-US">
            <a:effectLst/>
          </a:endParaRPr>
        </a:p>
        <a:p>
          <a:r>
            <a:rPr lang="en-US" sz="1100" b="0" i="0" baseline="0">
              <a:solidFill>
                <a:schemeClr val="dk1"/>
              </a:solidFill>
              <a:effectLst/>
              <a:latin typeface="+mn-lt"/>
              <a:ea typeface="+mn-ea"/>
              <a:cs typeface="+mn-cs"/>
            </a:rPr>
            <a:t>- MA does not use purpose-grown crops to create bioliquid</a:t>
          </a:r>
        </a:p>
        <a:p>
          <a:r>
            <a:rPr lang="en-US" sz="1100" b="0" i="0" baseline="0">
              <a:solidFill>
                <a:schemeClr val="dk1"/>
              </a:solidFill>
              <a:effectLst/>
              <a:latin typeface="+mn-lt"/>
              <a:ea typeface="+mn-ea"/>
              <a:cs typeface="+mn-cs"/>
            </a:rPr>
            <a:t>- lab scale conversion efficiencies apply at scale</a:t>
          </a:r>
          <a:endParaRPr lang="en-US">
            <a:effectLst/>
          </a:endParaRPr>
        </a:p>
      </xdr:txBody>
    </xdr:sp>
    <xdr:clientData/>
  </xdr:twoCellAnchor>
  <xdr:twoCellAnchor>
    <xdr:from>
      <xdr:col>10</xdr:col>
      <xdr:colOff>0</xdr:colOff>
      <xdr:row>126</xdr:row>
      <xdr:rowOff>190499</xdr:rowOff>
    </xdr:from>
    <xdr:to>
      <xdr:col>19</xdr:col>
      <xdr:colOff>311150</xdr:colOff>
      <xdr:row>135</xdr:row>
      <xdr:rowOff>600075</xdr:rowOff>
    </xdr:to>
    <xdr:sp macro="" textlink="">
      <xdr:nvSpPr>
        <xdr:cNvPr id="10" name="TextBox 9">
          <a:extLst>
            <a:ext uri="{FF2B5EF4-FFF2-40B4-BE49-F238E27FC236}">
              <a16:creationId xmlns:a16="http://schemas.microsoft.com/office/drawing/2014/main" id="{8799010B-1DD6-40B0-B151-5368C6ED3BBD}"/>
            </a:ext>
          </a:extLst>
        </xdr:cNvPr>
        <xdr:cNvSpPr txBox="1"/>
      </xdr:nvSpPr>
      <xdr:spPr>
        <a:xfrm>
          <a:off x="13668375" y="43367324"/>
          <a:ext cx="5883275" cy="4276726"/>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r>
            <a:rPr lang="en-US" sz="1100" baseline="0"/>
            <a:t>Microalgae in ponds annual CDR potential was constrained by the amount of available land in MA that could be converted into microalgae ponds. The amount of available land was taken from the MA Forest Carbon Study's estimate of the available rural land in the state that could be converted to forests (Table 10), which is additional land in the state that does not include land that is suitable for agricultural use or is developed. It is assumed that this land could be converted into microalgae ponds instead of forests, since it is land identified by the state that could be converted for CDR purposes.</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Two methods of microalgae in pond cultivation were considered: microaglae cultivated in open (raceway) ponds and microalgae cultivated in photobioreactors, which can be oriented vertically or horizontally. Each of these set-ups have different implications for the algal production per ha of area.</a:t>
          </a:r>
        </a:p>
        <a:p>
          <a:endParaRPr lang="en-US" sz="1100" i="1" baseline="0">
            <a:solidFill>
              <a:schemeClr val="accent5"/>
            </a:solidFill>
            <a:effectLst/>
            <a:latin typeface="+mn-lt"/>
            <a:ea typeface="+mn-ea"/>
            <a:cs typeface="+mn-cs"/>
          </a:endParaRPr>
        </a:p>
        <a:p>
          <a:r>
            <a:rPr lang="en-US" sz="1100" baseline="0">
              <a:solidFill>
                <a:schemeClr val="dk1"/>
              </a:solidFill>
              <a:effectLst/>
              <a:latin typeface="+mn-lt"/>
              <a:ea typeface="+mn-ea"/>
              <a:cs typeface="+mn-cs"/>
            </a:rPr>
            <a:t>Data:</a:t>
          </a:r>
          <a:endParaRPr lang="en-US">
            <a:effectLst/>
          </a:endParaRPr>
        </a:p>
        <a:p>
          <a:r>
            <a:rPr lang="en-US" sz="1100" baseline="0">
              <a:solidFill>
                <a:schemeClr val="dk1"/>
              </a:solidFill>
              <a:effectLst/>
              <a:latin typeface="+mn-lt"/>
              <a:ea typeface="+mn-ea"/>
              <a:cs typeface="+mn-cs"/>
            </a:rPr>
            <a:t>- the amount of the available rural land in MA that could be converted to forests </a:t>
          </a:r>
          <a:endParaRPr lang="en-US">
            <a:effectLst/>
          </a:endParaRPr>
        </a:p>
        <a:p>
          <a:r>
            <a:rPr lang="en-US" sz="1100" baseline="0">
              <a:solidFill>
                <a:schemeClr val="dk1"/>
              </a:solidFill>
              <a:effectLst/>
              <a:latin typeface="+mn-lt"/>
              <a:ea typeface="+mn-ea"/>
              <a:cs typeface="+mn-cs"/>
            </a:rPr>
            <a:t>- the algal production rate of microalgae in open ponds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the algal production rate of microalgae in flat-panel photobioreactors</a:t>
          </a:r>
          <a:endParaRPr lang="en-US">
            <a:effectLst/>
          </a:endParaRPr>
        </a:p>
        <a:p>
          <a:r>
            <a:rPr lang="en-US" sz="1100" baseline="0">
              <a:solidFill>
                <a:schemeClr val="dk1"/>
              </a:solidFill>
              <a:effectLst/>
              <a:latin typeface="+mn-lt"/>
              <a:ea typeface="+mn-ea"/>
              <a:cs typeface="+mn-cs"/>
            </a:rPr>
            <a:t>- the carbon storage rate of biomass</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Assumptions:</a:t>
          </a:r>
          <a:endParaRPr lang="en-US">
            <a:effectLst/>
          </a:endParaRPr>
        </a:p>
        <a:p>
          <a:r>
            <a:rPr lang="en-US" sz="1100" baseline="0">
              <a:solidFill>
                <a:schemeClr val="dk1"/>
              </a:solidFill>
              <a:effectLst/>
              <a:latin typeface="+mn-lt"/>
              <a:ea typeface="+mn-ea"/>
              <a:cs typeface="+mn-cs"/>
            </a:rPr>
            <a:t>- all land that could be converted to forests could instead be converted to microalgae ponds</a:t>
          </a:r>
        </a:p>
        <a:p>
          <a:r>
            <a:rPr lang="en-US" sz="1100" baseline="0">
              <a:solidFill>
                <a:schemeClr val="dk1"/>
              </a:solidFill>
              <a:effectLst/>
              <a:latin typeface="+mn-lt"/>
              <a:ea typeface="+mn-ea"/>
              <a:cs typeface="+mn-cs"/>
            </a:rPr>
            <a:t>- microaglae in open ponds can only be cultivated 8 months out of the year, when MA temperatures would not cause the ponds to freeze</a:t>
          </a:r>
        </a:p>
        <a:p>
          <a:r>
            <a:rPr lang="en-US" sz="1100" baseline="0">
              <a:solidFill>
                <a:schemeClr val="dk1"/>
              </a:solidFill>
              <a:effectLst/>
              <a:latin typeface="+mn-lt"/>
              <a:ea typeface="+mn-ea"/>
              <a:cs typeface="+mn-cs"/>
            </a:rPr>
            <a:t>- microalgae in flat-panel photobioreactors can be operated year-round</a:t>
          </a:r>
          <a:endParaRPr lang="en-US">
            <a:effectLst/>
          </a:endParaRPr>
        </a:p>
      </xdr:txBody>
    </xdr:sp>
    <xdr:clientData/>
  </xdr:twoCellAnchor>
  <xdr:twoCellAnchor>
    <xdr:from>
      <xdr:col>10</xdr:col>
      <xdr:colOff>0</xdr:colOff>
      <xdr:row>146</xdr:row>
      <xdr:rowOff>0</xdr:rowOff>
    </xdr:from>
    <xdr:to>
      <xdr:col>19</xdr:col>
      <xdr:colOff>314325</xdr:colOff>
      <xdr:row>152</xdr:row>
      <xdr:rowOff>0</xdr:rowOff>
    </xdr:to>
    <xdr:sp macro="" textlink="">
      <xdr:nvSpPr>
        <xdr:cNvPr id="11" name="TextBox 10">
          <a:extLst>
            <a:ext uri="{FF2B5EF4-FFF2-40B4-BE49-F238E27FC236}">
              <a16:creationId xmlns:a16="http://schemas.microsoft.com/office/drawing/2014/main" id="{410A417B-CC30-44E5-8D80-4CD18C370331}"/>
            </a:ext>
          </a:extLst>
        </xdr:cNvPr>
        <xdr:cNvSpPr txBox="1"/>
      </xdr:nvSpPr>
      <xdr:spPr>
        <a:xfrm>
          <a:off x="13315950" y="46767750"/>
          <a:ext cx="5800725" cy="11049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r>
            <a:rPr lang="en-US" sz="1100">
              <a:solidFill>
                <a:schemeClr val="dk1"/>
              </a:solidFill>
              <a:effectLst/>
              <a:latin typeface="+mn-lt"/>
              <a:ea typeface="+mn-ea"/>
              <a:cs typeface="+mn-cs"/>
            </a:rPr>
            <a:t>Microalgae cultivation  in open water is too early-stage and has too many uncertainties to estimate the maximum potential deployment in Massachusetts.</a:t>
          </a:r>
          <a:endParaRPr lang="en-US">
            <a:effectLst/>
          </a:endParaRPr>
        </a:p>
      </xdr:txBody>
    </xdr:sp>
    <xdr:clientData/>
  </xdr:twoCellAnchor>
  <xdr:twoCellAnchor>
    <xdr:from>
      <xdr:col>10</xdr:col>
      <xdr:colOff>0</xdr:colOff>
      <xdr:row>154</xdr:row>
      <xdr:rowOff>190499</xdr:rowOff>
    </xdr:from>
    <xdr:to>
      <xdr:col>19</xdr:col>
      <xdr:colOff>311150</xdr:colOff>
      <xdr:row>164</xdr:row>
      <xdr:rowOff>76200</xdr:rowOff>
    </xdr:to>
    <xdr:sp macro="" textlink="">
      <xdr:nvSpPr>
        <xdr:cNvPr id="12" name="TextBox 11">
          <a:extLst>
            <a:ext uri="{FF2B5EF4-FFF2-40B4-BE49-F238E27FC236}">
              <a16:creationId xmlns:a16="http://schemas.microsoft.com/office/drawing/2014/main" id="{7F98732E-B5FA-4CBA-98E3-4CE678AE4F53}"/>
            </a:ext>
          </a:extLst>
        </xdr:cNvPr>
        <xdr:cNvSpPr txBox="1"/>
      </xdr:nvSpPr>
      <xdr:spPr>
        <a:xfrm>
          <a:off x="13668375" y="53511449"/>
          <a:ext cx="5883275" cy="321945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baseline="0"/>
            <a:t>Note: This calculation is a estimate of the maximum potential of macroalgae in open water that MA could deploy given available ocean area. This scale of deployment is highly unlikely  due to the uncertainty in the efficacy of the approach in MA waters (i.e., MA coastal waters are too shallow for secure storage) as well as the need for multiple permitting, legal, and governance issues to align (i.e., MA is allowed to transport algae out to the deep ocean and </a:t>
          </a:r>
          <a:r>
            <a:rPr lang="en-US" sz="1100" b="1" i="1" baseline="0">
              <a:solidFill>
                <a:schemeClr val="dk1"/>
              </a:solidFill>
              <a:effectLst/>
              <a:latin typeface="+mn-lt"/>
              <a:ea typeface="+mn-ea"/>
              <a:cs typeface="+mn-cs"/>
            </a:rPr>
            <a:t>MA is allowed to sink all the algae in the ocean). Because of these uncertainties, the scale is evaluated as unknown.</a:t>
          </a:r>
          <a:endParaRPr lang="en-US" sz="1100" b="1" i="1" baseline="0"/>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Explanation</a:t>
          </a:r>
          <a:r>
            <a:rPr lang="en-US" sz="1100" b="1" baseline="0">
              <a:solidFill>
                <a:schemeClr val="dk1"/>
              </a:solidFill>
              <a:effectLst/>
              <a:latin typeface="+mn-lt"/>
              <a:ea typeface="+mn-ea"/>
              <a:cs typeface="+mn-cs"/>
            </a:rPr>
            <a:t> and assumptions:</a:t>
          </a:r>
          <a:endParaRPr lang="en-US" sz="1100" baseline="0"/>
        </a:p>
        <a:p>
          <a:r>
            <a:rPr lang="en-US" sz="1100" baseline="0"/>
            <a:t>Macroalgae in open water annual CDR potential was constrained by the amount of available surface ocean area that MA has jurisdiction over, which is the state's territorial sea and coastal waters. </a:t>
          </a:r>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Data:</a:t>
          </a:r>
          <a:endParaRPr lang="en-US">
            <a:effectLst/>
          </a:endParaRPr>
        </a:p>
        <a:p>
          <a:r>
            <a:rPr lang="en-US" sz="1100" baseline="0">
              <a:solidFill>
                <a:schemeClr val="dk1"/>
              </a:solidFill>
              <a:effectLst/>
              <a:latin typeface="+mn-lt"/>
              <a:ea typeface="+mn-ea"/>
              <a:cs typeface="+mn-cs"/>
            </a:rPr>
            <a:t>- the ocean area in MA's territorial sea and coastal waters</a:t>
          </a:r>
          <a:endParaRPr lang="en-US">
            <a:effectLst/>
          </a:endParaRPr>
        </a:p>
        <a:p>
          <a:r>
            <a:rPr lang="en-US" sz="1100" baseline="0">
              <a:solidFill>
                <a:schemeClr val="dk1"/>
              </a:solidFill>
              <a:effectLst/>
              <a:latin typeface="+mn-lt"/>
              <a:ea typeface="+mn-ea"/>
              <a:cs typeface="+mn-cs"/>
            </a:rPr>
            <a:t>- the area needed for macroalgae per ton of CO2 removal</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Assumptions:</a:t>
          </a:r>
          <a:endParaRPr lang="en-US">
            <a:effectLst/>
          </a:endParaRPr>
        </a:p>
        <a:p>
          <a:r>
            <a:rPr lang="en-US" sz="1100" baseline="0">
              <a:solidFill>
                <a:schemeClr val="dk1"/>
              </a:solidFill>
              <a:effectLst/>
              <a:latin typeface="+mn-lt"/>
              <a:ea typeface="+mn-ea"/>
              <a:cs typeface="+mn-cs"/>
            </a:rPr>
            <a:t>- all of the ocean area that MA has jurisdiction over is converted to macroalgae in open water operations</a:t>
          </a:r>
          <a:endParaRPr lang="en-US">
            <a:effectLst/>
          </a:endParaRPr>
        </a:p>
      </xdr:txBody>
    </xdr:sp>
    <xdr:clientData/>
  </xdr:twoCellAnchor>
  <xdr:twoCellAnchor>
    <xdr:from>
      <xdr:col>10</xdr:col>
      <xdr:colOff>0</xdr:colOff>
      <xdr:row>168</xdr:row>
      <xdr:rowOff>1</xdr:rowOff>
    </xdr:from>
    <xdr:to>
      <xdr:col>19</xdr:col>
      <xdr:colOff>311150</xdr:colOff>
      <xdr:row>174</xdr:row>
      <xdr:rowOff>285750</xdr:rowOff>
    </xdr:to>
    <xdr:sp macro="" textlink="">
      <xdr:nvSpPr>
        <xdr:cNvPr id="205" name="TextBox 12">
          <a:extLst>
            <a:ext uri="{FF2B5EF4-FFF2-40B4-BE49-F238E27FC236}">
              <a16:creationId xmlns:a16="http://schemas.microsoft.com/office/drawing/2014/main" id="{DDF0C49C-0902-4205-9047-3C6200FA1125}"/>
            </a:ext>
          </a:extLst>
        </xdr:cNvPr>
        <xdr:cNvSpPr txBox="1"/>
      </xdr:nvSpPr>
      <xdr:spPr>
        <a:xfrm>
          <a:off x="13668375" y="57445276"/>
          <a:ext cx="5883275" cy="2876549"/>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Explanation</a:t>
          </a:r>
          <a:r>
            <a:rPr lang="en-US" sz="1100" b="1" baseline="0">
              <a:solidFill>
                <a:schemeClr val="dk1"/>
              </a:solidFill>
              <a:effectLst/>
              <a:latin typeface="+mn-lt"/>
              <a:ea typeface="+mn-ea"/>
              <a:cs typeface="+mn-cs"/>
            </a:rPr>
            <a:t> and assumptions:</a:t>
          </a:r>
          <a:endParaRPr lang="en-US">
            <a:effectLst/>
          </a:endParaRPr>
        </a:p>
        <a:p>
          <a:r>
            <a:rPr lang="en-US" sz="1100" baseline="0">
              <a:solidFill>
                <a:schemeClr val="dk1"/>
              </a:solidFill>
              <a:effectLst/>
              <a:latin typeface="+mn-lt"/>
              <a:ea typeface="+mn-ea"/>
              <a:cs typeface="+mn-cs"/>
            </a:rPr>
            <a:t>BECCS to electricity annual CDR potential was calculated by assuming all biomass waste in MA across the forestry, agricultural, and wastewater industries are used to in the BECCS to electricity process. No purpose grown crops are included in the scale estimate. The estimate of available waste biomass generated in state could include waste generated from other processes that use biomass, such as from paper and pulp mills or municipal solid waste; however, for the removals to count for MA, the biomass would have to from MA. Quantifying what fraction of biomass used in these facilities are grown in MA is out of scope for this estimate.</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Data:</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the amount of forestry waste, agricultural, and other wet waste in MA. Wet waste is given in dry tons.</a:t>
          </a:r>
          <a:endParaRPr lang="en-US">
            <a:effectLst/>
          </a:endParaRPr>
        </a:p>
        <a:p>
          <a:r>
            <a:rPr lang="en-US" sz="1100" baseline="0">
              <a:solidFill>
                <a:schemeClr val="dk1"/>
              </a:solidFill>
              <a:effectLst/>
              <a:latin typeface="+mn-lt"/>
              <a:ea typeface="+mn-ea"/>
              <a:cs typeface="+mn-cs"/>
            </a:rPr>
            <a:t>- the conversion rate of biomass to tCO2 in the BECCS to electricity process </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Assumptions:</a:t>
          </a:r>
          <a:endParaRPr lang="en-US">
            <a:effectLst/>
          </a:endParaRPr>
        </a:p>
        <a:p>
          <a:r>
            <a:rPr lang="en-US" sz="1100" baseline="0">
              <a:solidFill>
                <a:schemeClr val="dk1"/>
              </a:solidFill>
              <a:effectLst/>
              <a:latin typeface="+mn-lt"/>
              <a:ea typeface="+mn-ea"/>
              <a:cs typeface="+mn-cs"/>
            </a:rPr>
            <a:t>- all forestry waste, agricultural waste, and other wet waste in MA are used for BECCS to electricity</a:t>
          </a:r>
          <a:endParaRPr lang="en-US">
            <a:effectLst/>
          </a:endParaRPr>
        </a:p>
        <a:p>
          <a:r>
            <a:rPr lang="en-US" sz="1100" b="0" i="0" baseline="0">
              <a:solidFill>
                <a:schemeClr val="dk1"/>
              </a:solidFill>
              <a:effectLst/>
              <a:latin typeface="+mn-lt"/>
              <a:ea typeface="+mn-ea"/>
              <a:cs typeface="+mn-cs"/>
            </a:rPr>
            <a:t>- MA does not use purpose-grown crops to create biochar</a:t>
          </a:r>
          <a:endParaRPr lang="en-US">
            <a:effectLst/>
          </a:endParaRPr>
        </a:p>
      </xdr:txBody>
    </xdr:sp>
    <xdr:clientData/>
  </xdr:twoCellAnchor>
  <xdr:twoCellAnchor>
    <xdr:from>
      <xdr:col>10</xdr:col>
      <xdr:colOff>0</xdr:colOff>
      <xdr:row>185</xdr:row>
      <xdr:rowOff>0</xdr:rowOff>
    </xdr:from>
    <xdr:to>
      <xdr:col>19</xdr:col>
      <xdr:colOff>314325</xdr:colOff>
      <xdr:row>190</xdr:row>
      <xdr:rowOff>0</xdr:rowOff>
    </xdr:to>
    <xdr:sp macro="" textlink="">
      <xdr:nvSpPr>
        <xdr:cNvPr id="14" name="TextBox 13">
          <a:extLst>
            <a:ext uri="{FF2B5EF4-FFF2-40B4-BE49-F238E27FC236}">
              <a16:creationId xmlns:a16="http://schemas.microsoft.com/office/drawing/2014/main" id="{8E6493B7-E9AA-483E-AB25-A8396314FB5E}"/>
            </a:ext>
          </a:extLst>
        </xdr:cNvPr>
        <xdr:cNvSpPr txBox="1"/>
      </xdr:nvSpPr>
      <xdr:spPr>
        <a:xfrm>
          <a:off x="13315950" y="52054125"/>
          <a:ext cx="5797550" cy="24003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Explanation</a:t>
          </a:r>
          <a:r>
            <a:rPr lang="en-US" sz="1100" b="1" baseline="0">
              <a:solidFill>
                <a:schemeClr val="dk1"/>
              </a:solidFill>
              <a:effectLst/>
              <a:latin typeface="+mn-lt"/>
              <a:ea typeface="+mn-ea"/>
              <a:cs typeface="+mn-cs"/>
            </a:rPr>
            <a:t> and assumptions:</a:t>
          </a:r>
          <a:endParaRPr lang="en-US">
            <a:effectLst/>
          </a:endParaRPr>
        </a:p>
        <a:p>
          <a:r>
            <a:rPr lang="en-US" sz="1100" baseline="0">
              <a:solidFill>
                <a:schemeClr val="dk1"/>
              </a:solidFill>
              <a:effectLst/>
              <a:latin typeface="+mn-lt"/>
              <a:ea typeface="+mn-ea"/>
              <a:cs typeface="+mn-cs"/>
            </a:rPr>
            <a:t>BECCS to fuels annual CDR potential was calculated by assuming all biomass waste in MA across the forestry, agricultural, and wastewater industries are used to in the BECCS to fuels process. No purpose grown crops are included in the scale estimate.</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Factual data:</a:t>
          </a:r>
          <a:endParaRPr lang="en-US">
            <a:effectLst/>
          </a:endParaRPr>
        </a:p>
        <a:p>
          <a:r>
            <a:rPr lang="en-US" sz="1100" baseline="0">
              <a:solidFill>
                <a:schemeClr val="dk1"/>
              </a:solidFill>
              <a:effectLst/>
              <a:latin typeface="+mn-lt"/>
              <a:ea typeface="+mn-ea"/>
              <a:cs typeface="+mn-cs"/>
            </a:rPr>
            <a:t>- the amount of forestry waste, agricultural, and other wet waste in MA</a:t>
          </a:r>
          <a:endParaRPr lang="en-US">
            <a:effectLst/>
          </a:endParaRPr>
        </a:p>
        <a:p>
          <a:r>
            <a:rPr lang="en-US" sz="1100" baseline="0">
              <a:solidFill>
                <a:schemeClr val="dk1"/>
              </a:solidFill>
              <a:effectLst/>
              <a:latin typeface="+mn-lt"/>
              <a:ea typeface="+mn-ea"/>
              <a:cs typeface="+mn-cs"/>
            </a:rPr>
            <a:t>- the conversion rate of biomass to tCO2 in the BECCS process </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Assumptions:</a:t>
          </a:r>
          <a:endParaRPr lang="en-US">
            <a:effectLst/>
          </a:endParaRPr>
        </a:p>
        <a:p>
          <a:r>
            <a:rPr lang="en-US" sz="1100" baseline="0">
              <a:solidFill>
                <a:schemeClr val="dk1"/>
              </a:solidFill>
              <a:effectLst/>
              <a:latin typeface="+mn-lt"/>
              <a:ea typeface="+mn-ea"/>
              <a:cs typeface="+mn-cs"/>
            </a:rPr>
            <a:t>- all forestry waste, agricultural waste, and other wet waste in MA are used to create biochar</a:t>
          </a:r>
          <a:endParaRPr lang="en-US">
            <a:effectLst/>
          </a:endParaRPr>
        </a:p>
        <a:p>
          <a:r>
            <a:rPr lang="en-US" sz="1100" b="0" i="0" baseline="0">
              <a:solidFill>
                <a:schemeClr val="dk1"/>
              </a:solidFill>
              <a:effectLst/>
              <a:latin typeface="+mn-lt"/>
              <a:ea typeface="+mn-ea"/>
              <a:cs typeface="+mn-cs"/>
            </a:rPr>
            <a:t>- MA does not use purpose-grown crops to create biochar</a:t>
          </a:r>
          <a:endParaRPr lang="en-US">
            <a:effectLst/>
          </a:endParaRPr>
        </a:p>
      </xdr:txBody>
    </xdr:sp>
    <xdr:clientData/>
  </xdr:twoCellAnchor>
  <xdr:twoCellAnchor>
    <xdr:from>
      <xdr:col>10</xdr:col>
      <xdr:colOff>0</xdr:colOff>
      <xdr:row>202</xdr:row>
      <xdr:rowOff>0</xdr:rowOff>
    </xdr:from>
    <xdr:to>
      <xdr:col>19</xdr:col>
      <xdr:colOff>314325</xdr:colOff>
      <xdr:row>207</xdr:row>
      <xdr:rowOff>361950</xdr:rowOff>
    </xdr:to>
    <xdr:sp macro="" textlink="">
      <xdr:nvSpPr>
        <xdr:cNvPr id="15" name="TextBox 14">
          <a:extLst>
            <a:ext uri="{FF2B5EF4-FFF2-40B4-BE49-F238E27FC236}">
              <a16:creationId xmlns:a16="http://schemas.microsoft.com/office/drawing/2014/main" id="{942EBFC3-7D2E-42BA-A0F5-6711916DF63D}"/>
            </a:ext>
          </a:extLst>
        </xdr:cNvPr>
        <xdr:cNvSpPr txBox="1"/>
      </xdr:nvSpPr>
      <xdr:spPr>
        <a:xfrm>
          <a:off x="13315950" y="56911875"/>
          <a:ext cx="5797550" cy="24003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Explanation</a:t>
          </a:r>
          <a:r>
            <a:rPr lang="en-US" sz="1100" b="1" baseline="0">
              <a:solidFill>
                <a:schemeClr val="dk1"/>
              </a:solidFill>
              <a:effectLst/>
              <a:latin typeface="+mn-lt"/>
              <a:ea typeface="+mn-ea"/>
              <a:cs typeface="+mn-cs"/>
            </a:rPr>
            <a:t> and assumptions:</a:t>
          </a:r>
          <a:endParaRPr lang="en-US">
            <a:effectLst/>
          </a:endParaRPr>
        </a:p>
        <a:p>
          <a:r>
            <a:rPr lang="en-US" sz="1100" baseline="0">
              <a:solidFill>
                <a:schemeClr val="dk1"/>
              </a:solidFill>
              <a:effectLst/>
              <a:latin typeface="+mn-lt"/>
              <a:ea typeface="+mn-ea"/>
              <a:cs typeface="+mn-cs"/>
            </a:rPr>
            <a:t>Surficial mineralization annual CDR potential was calculated by estimating the amount of suitable feedstock of the state produces and assuming it all goes to surficial mineralization. Suitable feedstock consists of ultrmafic mine tailings (of which MA has none), steel slag (of which MA has none), C&amp;D (construction and demolition) waste, and coal ash.</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Data:</a:t>
          </a:r>
          <a:endParaRPr lang="en-US">
            <a:effectLst/>
          </a:endParaRPr>
        </a:p>
        <a:p>
          <a:r>
            <a:rPr lang="en-US" sz="1100" baseline="0">
              <a:solidFill>
                <a:schemeClr val="dk1"/>
              </a:solidFill>
              <a:effectLst/>
              <a:latin typeface="+mn-lt"/>
              <a:ea typeface="+mn-ea"/>
              <a:cs typeface="+mn-cs"/>
            </a:rPr>
            <a:t>- the amount of ultramafic mine tailings, steel slag, C&amp;D waste, and coal ash in MA</a:t>
          </a:r>
        </a:p>
        <a:p>
          <a:r>
            <a:rPr lang="en-US" sz="1100" baseline="0">
              <a:solidFill>
                <a:schemeClr val="dk1"/>
              </a:solidFill>
              <a:effectLst/>
              <a:latin typeface="+mn-lt"/>
              <a:ea typeface="+mn-ea"/>
              <a:cs typeface="+mn-cs"/>
            </a:rPr>
            <a:t>- brucite and wollastonite mineralization rate</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Assumptions: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all ultramafic mine tailings, steel slag, C&amp;D waste, and coal ash in MA are used for surficial mineralization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the total amount of C&amp;D waste processed by MA in 2024 is suitable for carbonation. In reality, this category of wastes includes other materials, like brick and wood, which are not as suitable for carbonation and is therefore an over-estimate of the C&amp;D waste available for carbonation in MA.</a:t>
          </a:r>
          <a:endParaRPr lang="en-US">
            <a:effectLst/>
          </a:endParaRPr>
        </a:p>
      </xdr:txBody>
    </xdr:sp>
    <xdr:clientData/>
  </xdr:twoCellAnchor>
  <xdr:twoCellAnchor>
    <xdr:from>
      <xdr:col>10</xdr:col>
      <xdr:colOff>0</xdr:colOff>
      <xdr:row>250</xdr:row>
      <xdr:rowOff>0</xdr:rowOff>
    </xdr:from>
    <xdr:to>
      <xdr:col>19</xdr:col>
      <xdr:colOff>314325</xdr:colOff>
      <xdr:row>255</xdr:row>
      <xdr:rowOff>361950</xdr:rowOff>
    </xdr:to>
    <xdr:sp macro="" textlink="">
      <xdr:nvSpPr>
        <xdr:cNvPr id="201" name="TextBox 16">
          <a:extLst>
            <a:ext uri="{FF2B5EF4-FFF2-40B4-BE49-F238E27FC236}">
              <a16:creationId xmlns:a16="http://schemas.microsoft.com/office/drawing/2014/main" id="{0879F3C9-13CF-44A7-B7CB-3AD479AE7312}"/>
            </a:ext>
          </a:extLst>
        </xdr:cNvPr>
        <xdr:cNvSpPr txBox="1"/>
      </xdr:nvSpPr>
      <xdr:spPr>
        <a:xfrm>
          <a:off x="13315950" y="72551925"/>
          <a:ext cx="5797550" cy="25812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Explanation</a:t>
          </a:r>
          <a:r>
            <a:rPr lang="en-US" sz="1100" b="1" baseline="0">
              <a:solidFill>
                <a:schemeClr val="dk1"/>
              </a:solidFill>
              <a:effectLst/>
              <a:latin typeface="+mn-lt"/>
              <a:ea typeface="+mn-ea"/>
              <a:cs typeface="+mn-cs"/>
            </a:rPr>
            <a:t> and assumptions:</a:t>
          </a:r>
          <a:endParaRPr lang="en-US">
            <a:effectLst/>
          </a:endParaRPr>
        </a:p>
        <a:p>
          <a:r>
            <a:rPr lang="en-US" sz="1100" baseline="0">
              <a:solidFill>
                <a:schemeClr val="dk1"/>
              </a:solidFill>
              <a:effectLst/>
              <a:latin typeface="+mn-lt"/>
              <a:ea typeface="+mn-ea"/>
              <a:cs typeface="+mn-cs"/>
            </a:rPr>
            <a:t>Coastal enhanced weathering (CEW) annual CDR potential was calculated by estimating the amount of available beach area in MA and assuming CEW is applied on all of it. Because MA could import alkaline minerals and the removal would still happen on MA land, application area is the constraining factor in this estimate.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Data:</a:t>
          </a:r>
          <a:endParaRPr lang="en-US">
            <a:effectLst/>
          </a:endParaRPr>
        </a:p>
        <a:p>
          <a:r>
            <a:rPr lang="en-US" sz="1100" baseline="0">
              <a:solidFill>
                <a:schemeClr val="dk1"/>
              </a:solidFill>
              <a:effectLst/>
              <a:latin typeface="+mn-lt"/>
              <a:ea typeface="+mn-ea"/>
              <a:cs typeface="+mn-cs"/>
            </a:rPr>
            <a:t>- the amount of coastline in MA</a:t>
          </a:r>
        </a:p>
        <a:p>
          <a:r>
            <a:rPr lang="en-US" sz="1100" baseline="0">
              <a:solidFill>
                <a:schemeClr val="dk1"/>
              </a:solidFill>
              <a:effectLst/>
              <a:latin typeface="+mn-lt"/>
              <a:ea typeface="+mn-ea"/>
              <a:cs typeface="+mn-cs"/>
            </a:rPr>
            <a:t>- the application rate of minerals in academic studies</a:t>
          </a:r>
        </a:p>
        <a:p>
          <a:r>
            <a:rPr lang="en-US" sz="1100" baseline="0">
              <a:solidFill>
                <a:schemeClr val="dk1"/>
              </a:solidFill>
              <a:effectLst/>
              <a:latin typeface="+mn-lt"/>
              <a:ea typeface="+mn-ea"/>
              <a:cs typeface="+mn-cs"/>
            </a:rPr>
            <a:t>- the mineralization rate of olivine</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Assumptions: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all beach area in MA is used for CEW</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shorelines are 0.06 miles wide</a:t>
          </a:r>
          <a:endParaRPr lang="en-US">
            <a:effectLst/>
          </a:endParaRPr>
        </a:p>
      </xdr:txBody>
    </xdr:sp>
    <xdr:clientData/>
  </xdr:twoCellAnchor>
  <xdr:twoCellAnchor>
    <xdr:from>
      <xdr:col>10</xdr:col>
      <xdr:colOff>0</xdr:colOff>
      <xdr:row>268</xdr:row>
      <xdr:rowOff>0</xdr:rowOff>
    </xdr:from>
    <xdr:to>
      <xdr:col>19</xdr:col>
      <xdr:colOff>314325</xdr:colOff>
      <xdr:row>272</xdr:row>
      <xdr:rowOff>361950</xdr:rowOff>
    </xdr:to>
    <xdr:sp macro="" textlink="">
      <xdr:nvSpPr>
        <xdr:cNvPr id="18" name="TextBox 17">
          <a:extLst>
            <a:ext uri="{FF2B5EF4-FFF2-40B4-BE49-F238E27FC236}">
              <a16:creationId xmlns:a16="http://schemas.microsoft.com/office/drawing/2014/main" id="{DFDD4CA3-D5D2-4598-BDB7-5A2873FE655E}"/>
            </a:ext>
          </a:extLst>
        </xdr:cNvPr>
        <xdr:cNvSpPr txBox="1"/>
      </xdr:nvSpPr>
      <xdr:spPr>
        <a:xfrm>
          <a:off x="13315950" y="77771625"/>
          <a:ext cx="5797550" cy="24765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Explanation</a:t>
          </a:r>
          <a:r>
            <a:rPr lang="en-US" sz="1100" b="1" baseline="0">
              <a:solidFill>
                <a:schemeClr val="dk1"/>
              </a:solidFill>
              <a:effectLst/>
              <a:latin typeface="+mn-lt"/>
              <a:ea typeface="+mn-ea"/>
              <a:cs typeface="+mn-cs"/>
            </a:rPr>
            <a:t> and assumptions:</a:t>
          </a:r>
          <a:endParaRPr lang="en-US">
            <a:effectLst/>
          </a:endParaRPr>
        </a:p>
        <a:p>
          <a:r>
            <a:rPr lang="en-US" sz="1100" baseline="0">
              <a:solidFill>
                <a:schemeClr val="dk1"/>
              </a:solidFill>
              <a:effectLst/>
              <a:latin typeface="+mn-lt"/>
              <a:ea typeface="+mn-ea"/>
              <a:cs typeface="+mn-cs"/>
            </a:rPr>
            <a:t>Mineral alkalinity enhancement (MAE) annual CDR potential was calculated by constraining the rate of alkalinity addition to prevent secondary carbonate precipitation. This estimate assumes that MA only adds alkalinity to the waters that it has jurisdiction over.</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Data:</a:t>
          </a:r>
          <a:endParaRPr lang="en-US">
            <a:effectLst/>
          </a:endParaRPr>
        </a:p>
        <a:p>
          <a:r>
            <a:rPr lang="en-US" sz="1100" baseline="0">
              <a:solidFill>
                <a:schemeClr val="dk1"/>
              </a:solidFill>
              <a:effectLst/>
              <a:latin typeface="+mn-lt"/>
              <a:ea typeface="+mn-ea"/>
              <a:cs typeface="+mn-cs"/>
            </a:rPr>
            <a:t>- the ocean area in MA's territorial sea and coastal waters</a:t>
          </a:r>
          <a:endParaRPr lang="en-US">
            <a:effectLst/>
          </a:endParaRPr>
        </a:p>
        <a:p>
          <a:r>
            <a:rPr lang="en-US" sz="1100" baseline="0">
              <a:solidFill>
                <a:schemeClr val="dk1"/>
              </a:solidFill>
              <a:effectLst/>
              <a:latin typeface="+mn-lt"/>
              <a:ea typeface="+mn-ea"/>
              <a:cs typeface="+mn-cs"/>
            </a:rPr>
            <a:t>- the alkalinity application rate that does not have a risk of carbonate precipitation</a:t>
          </a:r>
        </a:p>
        <a:p>
          <a:r>
            <a:rPr lang="en-US" sz="1100" baseline="0">
              <a:solidFill>
                <a:schemeClr val="dk1"/>
              </a:solidFill>
              <a:effectLst/>
              <a:latin typeface="+mn-lt"/>
              <a:ea typeface="+mn-ea"/>
              <a:cs typeface="+mn-cs"/>
            </a:rPr>
            <a:t>- the mole CO2 removed to mole alkalinity added ratio</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Assumptions: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all sea area under MA jursidiction can be used for MAE</a:t>
          </a:r>
        </a:p>
      </xdr:txBody>
    </xdr:sp>
    <xdr:clientData/>
  </xdr:twoCellAnchor>
  <xdr:twoCellAnchor>
    <xdr:from>
      <xdr:col>10</xdr:col>
      <xdr:colOff>0</xdr:colOff>
      <xdr:row>285</xdr:row>
      <xdr:rowOff>0</xdr:rowOff>
    </xdr:from>
    <xdr:to>
      <xdr:col>19</xdr:col>
      <xdr:colOff>314325</xdr:colOff>
      <xdr:row>295</xdr:row>
      <xdr:rowOff>152400</xdr:rowOff>
    </xdr:to>
    <xdr:sp macro="" textlink="">
      <xdr:nvSpPr>
        <xdr:cNvPr id="204" name="TextBox 18">
          <a:extLst>
            <a:ext uri="{FF2B5EF4-FFF2-40B4-BE49-F238E27FC236}">
              <a16:creationId xmlns:a16="http://schemas.microsoft.com/office/drawing/2014/main" id="{DF74D182-2B7C-4264-B605-B10A7D815B8A}"/>
            </a:ext>
          </a:extLst>
        </xdr:cNvPr>
        <xdr:cNvSpPr txBox="1"/>
      </xdr:nvSpPr>
      <xdr:spPr>
        <a:xfrm>
          <a:off x="13315950" y="90182700"/>
          <a:ext cx="5800725" cy="40576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Explanation</a:t>
          </a:r>
          <a:r>
            <a:rPr lang="en-US" sz="1100" b="1" baseline="0">
              <a:solidFill>
                <a:schemeClr val="dk1"/>
              </a:solidFill>
              <a:effectLst/>
              <a:latin typeface="+mn-lt"/>
              <a:ea typeface="+mn-ea"/>
              <a:cs typeface="+mn-cs"/>
            </a:rPr>
            <a:t> and assumptions: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CO2 stripping annual CDR potential was calculated by constraining the rate of base addition to prevent secondary carbonate precipitation. This estimate assumes that MA only adds base to the waters that it has jurisdiction over. For more details on this calculation, see Mineral alkalinity enhancement.</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An additional scale estimate was created using clean electricity as the constraining factor, but this estimate was greater than the scale potential if limited by the rate of base addition.</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scale potential of CO2 stripping will also depend on available CO2 storage, which in MA will likely be ex-situ mineralization.</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Data:</a:t>
          </a:r>
          <a:endParaRPr lang="en-US">
            <a:effectLst/>
          </a:endParaRPr>
        </a:p>
        <a:p>
          <a:r>
            <a:rPr lang="en-US" sz="1100" baseline="0">
              <a:solidFill>
                <a:schemeClr val="dk1"/>
              </a:solidFill>
              <a:effectLst/>
              <a:latin typeface="+mn-lt"/>
              <a:ea typeface="+mn-ea"/>
              <a:cs typeface="+mn-cs"/>
            </a:rPr>
            <a:t>- the ocean area in MA's territorial sea and coastal waters</a:t>
          </a:r>
          <a:endParaRPr lang="en-US">
            <a:effectLst/>
          </a:endParaRPr>
        </a:p>
        <a:p>
          <a:r>
            <a:rPr lang="en-US" sz="1100" baseline="0">
              <a:solidFill>
                <a:schemeClr val="dk1"/>
              </a:solidFill>
              <a:effectLst/>
              <a:latin typeface="+mn-lt"/>
              <a:ea typeface="+mn-ea"/>
              <a:cs typeface="+mn-cs"/>
            </a:rPr>
            <a:t>- the base addition rate does not have a risk of carbonate precipitation</a:t>
          </a:r>
        </a:p>
        <a:p>
          <a:r>
            <a:rPr lang="en-US" sz="1100" baseline="0">
              <a:solidFill>
                <a:schemeClr val="dk1"/>
              </a:solidFill>
              <a:effectLst/>
              <a:latin typeface="+mn-lt"/>
              <a:ea typeface="+mn-ea"/>
              <a:cs typeface="+mn-cs"/>
            </a:rPr>
            <a:t>- the mole CO2 removed to mole base added ratio</a:t>
          </a:r>
        </a:p>
        <a:p>
          <a:r>
            <a:rPr lang="en-US" sz="1100" baseline="0">
              <a:solidFill>
                <a:schemeClr val="dk1"/>
              </a:solidFill>
              <a:effectLst/>
              <a:latin typeface="+mn-lt"/>
              <a:ea typeface="+mn-ea"/>
              <a:cs typeface="+mn-cs"/>
            </a:rPr>
            <a:t>- the energy requirement for CO2 stripping</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Assumptions: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the future electricity demand in MA aligns with projections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all CO2 removed by CO2 stripping can be stored</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twoCellAnchor>
    <xdr:from>
      <xdr:col>10</xdr:col>
      <xdr:colOff>0</xdr:colOff>
      <xdr:row>299</xdr:row>
      <xdr:rowOff>0</xdr:rowOff>
    </xdr:from>
    <xdr:to>
      <xdr:col>19</xdr:col>
      <xdr:colOff>314325</xdr:colOff>
      <xdr:row>306</xdr:row>
      <xdr:rowOff>190500</xdr:rowOff>
    </xdr:to>
    <xdr:sp macro="" textlink="">
      <xdr:nvSpPr>
        <xdr:cNvPr id="202" name="TextBox 19">
          <a:extLst>
            <a:ext uri="{FF2B5EF4-FFF2-40B4-BE49-F238E27FC236}">
              <a16:creationId xmlns:a16="http://schemas.microsoft.com/office/drawing/2014/main" id="{4074DC24-C1F2-4B3B-835D-C0943CAA569D}"/>
            </a:ext>
          </a:extLst>
        </xdr:cNvPr>
        <xdr:cNvSpPr txBox="1"/>
      </xdr:nvSpPr>
      <xdr:spPr>
        <a:xfrm>
          <a:off x="13315950" y="90182700"/>
          <a:ext cx="5797550" cy="37242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Explanation</a:t>
          </a:r>
          <a:r>
            <a:rPr lang="en-US" sz="1100" b="1" baseline="0">
              <a:solidFill>
                <a:schemeClr val="dk1"/>
              </a:solidFill>
              <a:effectLst/>
              <a:latin typeface="+mn-lt"/>
              <a:ea typeface="+mn-ea"/>
              <a:cs typeface="+mn-cs"/>
            </a:rPr>
            <a:t> and assumptions: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Electrochemical alkalinity production (EAP) annual CDR potential was calculated by constraining the rate of alkalinity addition to prevent secondary carbonate precipitation.  This estimate assumes that MA only adds alkalinity to the waters that it has jurisdiction over. For more details on this calculation, see Mineral alkalinity enhancement.</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An additional scale estimate was created using clean electricity as the constraining factor, but this estimate was greater than the scale potential if limited by the rate of alkalinity addition.</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Data:</a:t>
          </a:r>
          <a:endParaRPr lang="en-US">
            <a:effectLst/>
          </a:endParaRPr>
        </a:p>
        <a:p>
          <a:r>
            <a:rPr lang="en-US" sz="1100" baseline="0">
              <a:solidFill>
                <a:schemeClr val="dk1"/>
              </a:solidFill>
              <a:effectLst/>
              <a:latin typeface="+mn-lt"/>
              <a:ea typeface="+mn-ea"/>
              <a:cs typeface="+mn-cs"/>
            </a:rPr>
            <a:t>- the ocean area in MA's territorial sea and coastal waters</a:t>
          </a:r>
          <a:endParaRPr lang="en-US">
            <a:effectLst/>
          </a:endParaRPr>
        </a:p>
        <a:p>
          <a:r>
            <a:rPr lang="en-US" sz="1100" baseline="0">
              <a:solidFill>
                <a:schemeClr val="dk1"/>
              </a:solidFill>
              <a:effectLst/>
              <a:latin typeface="+mn-lt"/>
              <a:ea typeface="+mn-ea"/>
              <a:cs typeface="+mn-cs"/>
            </a:rPr>
            <a:t>- the alkalinity application rate that does not have a risk of carbonate precipitation</a:t>
          </a:r>
        </a:p>
        <a:p>
          <a:r>
            <a:rPr lang="en-US" sz="1100" baseline="0">
              <a:solidFill>
                <a:schemeClr val="dk1"/>
              </a:solidFill>
              <a:effectLst/>
              <a:latin typeface="+mn-lt"/>
              <a:ea typeface="+mn-ea"/>
              <a:cs typeface="+mn-cs"/>
            </a:rPr>
            <a:t>- the mole CO2 removed to mole alkalinity added ratio</a:t>
          </a:r>
        </a:p>
        <a:p>
          <a:r>
            <a:rPr lang="en-US" sz="1100" baseline="0">
              <a:solidFill>
                <a:schemeClr val="dk1"/>
              </a:solidFill>
              <a:effectLst/>
              <a:latin typeface="+mn-lt"/>
              <a:ea typeface="+mn-ea"/>
              <a:cs typeface="+mn-cs"/>
            </a:rPr>
            <a:t>- the energy requirement for EAP</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Assumptions: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the future electricity demand in MA aligns with projections</a:t>
          </a:r>
          <a:endParaRPr lang="en-US">
            <a:effectLst/>
          </a:endParaRPr>
        </a:p>
      </xdr:txBody>
    </xdr:sp>
    <xdr:clientData/>
  </xdr:twoCellAnchor>
  <xdr:twoCellAnchor>
    <xdr:from>
      <xdr:col>10</xdr:col>
      <xdr:colOff>0</xdr:colOff>
      <xdr:row>313</xdr:row>
      <xdr:rowOff>0</xdr:rowOff>
    </xdr:from>
    <xdr:to>
      <xdr:col>19</xdr:col>
      <xdr:colOff>311150</xdr:colOff>
      <xdr:row>318</xdr:row>
      <xdr:rowOff>9525</xdr:rowOff>
    </xdr:to>
    <xdr:sp macro="" textlink="">
      <xdr:nvSpPr>
        <xdr:cNvPr id="21" name="TextBox 20">
          <a:extLst>
            <a:ext uri="{FF2B5EF4-FFF2-40B4-BE49-F238E27FC236}">
              <a16:creationId xmlns:a16="http://schemas.microsoft.com/office/drawing/2014/main" id="{E6A97DF3-494E-429A-87DB-C71FB11BBF3A}"/>
            </a:ext>
          </a:extLst>
        </xdr:cNvPr>
        <xdr:cNvSpPr txBox="1"/>
      </xdr:nvSpPr>
      <xdr:spPr>
        <a:xfrm>
          <a:off x="13315950" y="101374575"/>
          <a:ext cx="5797550" cy="28098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Explanation</a:t>
          </a:r>
          <a:r>
            <a:rPr lang="en-US" sz="1100" b="1" baseline="0">
              <a:solidFill>
                <a:schemeClr val="dk1"/>
              </a:solidFill>
              <a:effectLst/>
              <a:latin typeface="+mn-lt"/>
              <a:ea typeface="+mn-ea"/>
              <a:cs typeface="+mn-cs"/>
            </a:rPr>
            <a:t> and assumptions:</a:t>
          </a:r>
          <a:endParaRPr lang="en-US">
            <a:effectLst/>
          </a:endParaRPr>
        </a:p>
        <a:p>
          <a:r>
            <a:rPr lang="en-US" sz="1100" baseline="0">
              <a:solidFill>
                <a:schemeClr val="dk1"/>
              </a:solidFill>
              <a:effectLst/>
              <a:latin typeface="+mn-lt"/>
              <a:ea typeface="+mn-ea"/>
              <a:cs typeface="+mn-cs"/>
            </a:rPr>
            <a:t>Direct air capture (DAC) annual CDR potential was calculated by using clean electricity in MA as the constraining factor. The amount of available clean electricity is based on electricity demand projections and MA's climate goals.</a:t>
          </a:r>
        </a:p>
        <a:p>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The scale potential of CO2 stripping will also depend on available CO2 storage, which if done within MA would likely be ex-situ mineralization.</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Data:</a:t>
          </a:r>
          <a:endParaRPr lang="en-US">
            <a:effectLst/>
          </a:endParaRPr>
        </a:p>
        <a:p>
          <a:r>
            <a:rPr lang="en-US" sz="1100" baseline="0">
              <a:solidFill>
                <a:schemeClr val="dk1"/>
              </a:solidFill>
              <a:effectLst/>
              <a:latin typeface="+mn-lt"/>
              <a:ea typeface="+mn-ea"/>
              <a:cs typeface="+mn-cs"/>
            </a:rPr>
            <a:t>- the energy requirement for DAC</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Assumptions: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the future electricity demand in MA aligns with projections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- 15% of clean electricity can be dedicated to DAC</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all CO2 removed by DAC can be stored</a:t>
          </a:r>
          <a:endParaRPr lang="en-US">
            <a:effectLst/>
          </a:endParaRPr>
        </a:p>
      </xdr:txBody>
    </xdr:sp>
    <xdr:clientData/>
  </xdr:twoCellAnchor>
  <xdr:twoCellAnchor>
    <xdr:from>
      <xdr:col>10</xdr:col>
      <xdr:colOff>0</xdr:colOff>
      <xdr:row>325</xdr:row>
      <xdr:rowOff>0</xdr:rowOff>
    </xdr:from>
    <xdr:to>
      <xdr:col>19</xdr:col>
      <xdr:colOff>311150</xdr:colOff>
      <xdr:row>328</xdr:row>
      <xdr:rowOff>104775</xdr:rowOff>
    </xdr:to>
    <xdr:sp macro="" textlink="">
      <xdr:nvSpPr>
        <xdr:cNvPr id="22" name="TextBox 21">
          <a:extLst>
            <a:ext uri="{FF2B5EF4-FFF2-40B4-BE49-F238E27FC236}">
              <a16:creationId xmlns:a16="http://schemas.microsoft.com/office/drawing/2014/main" id="{1DDBCD71-3355-45A5-90C2-59A984D4F7B9}"/>
            </a:ext>
          </a:extLst>
        </xdr:cNvPr>
        <xdr:cNvSpPr txBox="1"/>
      </xdr:nvSpPr>
      <xdr:spPr>
        <a:xfrm>
          <a:off x="13315950" y="106613325"/>
          <a:ext cx="5797550" cy="6667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r>
            <a:rPr lang="en-US" sz="1100">
              <a:solidFill>
                <a:schemeClr val="dk1"/>
              </a:solidFill>
              <a:effectLst/>
              <a:latin typeface="+mn-lt"/>
              <a:ea typeface="+mn-ea"/>
              <a:cs typeface="+mn-cs"/>
            </a:rPr>
            <a:t>Because of the lack of known, suitable conventional geologic storage in MA, the scale potential estimate is zero.</a:t>
          </a:r>
          <a:endParaRPr lang="en-US">
            <a:effectLst/>
          </a:endParaRPr>
        </a:p>
      </xdr:txBody>
    </xdr:sp>
    <xdr:clientData/>
  </xdr:twoCellAnchor>
  <xdr:twoCellAnchor>
    <xdr:from>
      <xdr:col>10</xdr:col>
      <xdr:colOff>0</xdr:colOff>
      <xdr:row>334</xdr:row>
      <xdr:rowOff>1</xdr:rowOff>
    </xdr:from>
    <xdr:to>
      <xdr:col>19</xdr:col>
      <xdr:colOff>314325</xdr:colOff>
      <xdr:row>336</xdr:row>
      <xdr:rowOff>209550</xdr:rowOff>
    </xdr:to>
    <xdr:sp macro="" textlink="">
      <xdr:nvSpPr>
        <xdr:cNvPr id="23" name="TextBox 22">
          <a:extLst>
            <a:ext uri="{FF2B5EF4-FFF2-40B4-BE49-F238E27FC236}">
              <a16:creationId xmlns:a16="http://schemas.microsoft.com/office/drawing/2014/main" id="{F158CCB2-0AB6-430A-9D94-E90E0BD98A15}"/>
            </a:ext>
          </a:extLst>
        </xdr:cNvPr>
        <xdr:cNvSpPr txBox="1"/>
      </xdr:nvSpPr>
      <xdr:spPr>
        <a:xfrm>
          <a:off x="13315950" y="108327826"/>
          <a:ext cx="5800725" cy="58102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r>
            <a:rPr lang="en-US" sz="1100">
              <a:solidFill>
                <a:schemeClr val="dk1"/>
              </a:solidFill>
              <a:effectLst/>
              <a:latin typeface="+mn-lt"/>
              <a:ea typeface="+mn-ea"/>
              <a:cs typeface="+mn-cs"/>
            </a:rPr>
            <a:t>Because of the lack of known, suitable mineralization storage in MA, the scale potential estimate is zero.</a:t>
          </a:r>
          <a:endParaRPr lang="en-US">
            <a:effectLst/>
          </a:endParaRPr>
        </a:p>
      </xdr:txBody>
    </xdr:sp>
    <xdr:clientData/>
  </xdr:twoCellAnchor>
  <xdr:twoCellAnchor>
    <xdr:from>
      <xdr:col>10</xdr:col>
      <xdr:colOff>0</xdr:colOff>
      <xdr:row>340</xdr:row>
      <xdr:rowOff>0</xdr:rowOff>
    </xdr:from>
    <xdr:to>
      <xdr:col>19</xdr:col>
      <xdr:colOff>311150</xdr:colOff>
      <xdr:row>344</xdr:row>
      <xdr:rowOff>323850</xdr:rowOff>
    </xdr:to>
    <xdr:sp macro="" textlink="">
      <xdr:nvSpPr>
        <xdr:cNvPr id="24" name="TextBox 23">
          <a:extLst>
            <a:ext uri="{FF2B5EF4-FFF2-40B4-BE49-F238E27FC236}">
              <a16:creationId xmlns:a16="http://schemas.microsoft.com/office/drawing/2014/main" id="{45579524-980B-42E6-A5B0-E38520D1BC79}"/>
            </a:ext>
          </a:extLst>
        </xdr:cNvPr>
        <xdr:cNvSpPr txBox="1"/>
      </xdr:nvSpPr>
      <xdr:spPr>
        <a:xfrm>
          <a:off x="13315950" y="109680375"/>
          <a:ext cx="5797550" cy="20859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Explanation</a:t>
          </a:r>
          <a:r>
            <a:rPr lang="en-US" sz="1100" b="1" baseline="0">
              <a:solidFill>
                <a:schemeClr val="dk1"/>
              </a:solidFill>
              <a:effectLst/>
              <a:latin typeface="+mn-lt"/>
              <a:ea typeface="+mn-ea"/>
              <a:cs typeface="+mn-cs"/>
            </a:rPr>
            <a:t> and assumptions:</a:t>
          </a:r>
          <a:endParaRPr lang="en-US">
            <a:effectLst/>
          </a:endParaRPr>
        </a:p>
        <a:p>
          <a:r>
            <a:rPr lang="en-US" sz="1100" baseline="0">
              <a:solidFill>
                <a:schemeClr val="dk1"/>
              </a:solidFill>
              <a:effectLst/>
              <a:latin typeface="+mn-lt"/>
              <a:ea typeface="+mn-ea"/>
              <a:cs typeface="+mn-cs"/>
            </a:rPr>
            <a:t>Ex-situ mineralization annual CDR potential was calculated by assuming all aggregate currently productedin MA is used to store CO2.</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Data:</a:t>
          </a:r>
          <a:endParaRPr lang="en-US">
            <a:effectLst/>
          </a:endParaRPr>
        </a:p>
        <a:p>
          <a:r>
            <a:rPr lang="en-US" sz="1100" baseline="0">
              <a:solidFill>
                <a:schemeClr val="dk1"/>
              </a:solidFill>
              <a:effectLst/>
              <a:latin typeface="+mn-lt"/>
              <a:ea typeface="+mn-ea"/>
              <a:cs typeface="+mn-cs"/>
            </a:rPr>
            <a:t>- the amount of aggregate produced in MA</a:t>
          </a:r>
        </a:p>
        <a:p>
          <a:r>
            <a:rPr lang="en-US" sz="1100" baseline="0">
              <a:solidFill>
                <a:schemeClr val="dk1"/>
              </a:solidFill>
              <a:effectLst/>
              <a:latin typeface="+mn-lt"/>
              <a:ea typeface="+mn-ea"/>
              <a:cs typeface="+mn-cs"/>
            </a:rPr>
            <a:t>- the carbon storage capacity of aggregate</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Assumptions: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all aggregate production in produced by MA is used for ex-situ mineralization</a:t>
          </a:r>
          <a:endParaRPr lang="en-US">
            <a:effectLst/>
          </a:endParaRPr>
        </a:p>
      </xdr:txBody>
    </xdr:sp>
    <xdr:clientData/>
  </xdr:twoCellAnchor>
  <xdr:twoCellAnchor>
    <xdr:from>
      <xdr:col>10</xdr:col>
      <xdr:colOff>0</xdr:colOff>
      <xdr:row>185</xdr:row>
      <xdr:rowOff>0</xdr:rowOff>
    </xdr:from>
    <xdr:to>
      <xdr:col>19</xdr:col>
      <xdr:colOff>314325</xdr:colOff>
      <xdr:row>191</xdr:row>
      <xdr:rowOff>285750</xdr:rowOff>
    </xdr:to>
    <xdr:sp macro="" textlink="">
      <xdr:nvSpPr>
        <xdr:cNvPr id="206" name="TextBox 24">
          <a:extLst>
            <a:ext uri="{FF2B5EF4-FFF2-40B4-BE49-F238E27FC236}">
              <a16:creationId xmlns:a16="http://schemas.microsoft.com/office/drawing/2014/main" id="{8B9AF912-98A0-4057-A626-B601394F261D}"/>
            </a:ext>
          </a:extLst>
        </xdr:cNvPr>
        <xdr:cNvSpPr txBox="1"/>
      </xdr:nvSpPr>
      <xdr:spPr>
        <a:xfrm>
          <a:off x="13668375" y="65246250"/>
          <a:ext cx="5886450" cy="28765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Explanation</a:t>
          </a:r>
          <a:r>
            <a:rPr lang="en-US" sz="1100" b="1" baseline="0">
              <a:solidFill>
                <a:schemeClr val="dk1"/>
              </a:solidFill>
              <a:effectLst/>
              <a:latin typeface="+mn-lt"/>
              <a:ea typeface="+mn-ea"/>
              <a:cs typeface="+mn-cs"/>
            </a:rPr>
            <a:t> and assumptions: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BECCS to fuels annual CDR potential was calculated by assuming all biomass waste in MA across the forestry, agricultural, and wastewater industries are used to in the BECCS to fuels process. No purpose grown crops are included in the scale estimate. The estimate of available waste biomass generated in state could include waste generated from other processes that use biomass, such as from paper and pulp mills or municipal solid waste; however, for the removals to count for MA, the biomass would have to from MA. Quantifying what fraction of biomass used in these facilities are grown in MA is out of scope for this estimate.</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Data:</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the amount of forestry waste, agricultural, and other wet waste in MA. Wet waste is given in dry tons.</a:t>
          </a:r>
          <a:endParaRPr lang="en-US">
            <a:effectLst/>
          </a:endParaRPr>
        </a:p>
        <a:p>
          <a:r>
            <a:rPr lang="en-US" sz="1100" baseline="0">
              <a:solidFill>
                <a:schemeClr val="dk1"/>
              </a:solidFill>
              <a:effectLst/>
              <a:latin typeface="+mn-lt"/>
              <a:ea typeface="+mn-ea"/>
              <a:cs typeface="+mn-cs"/>
            </a:rPr>
            <a:t>- the conversion rate of biomass to tCO2 in the BECCS to electricity process </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Assumptions:</a:t>
          </a:r>
          <a:endParaRPr lang="en-US">
            <a:effectLst/>
          </a:endParaRPr>
        </a:p>
        <a:p>
          <a:r>
            <a:rPr lang="en-US" sz="1100" baseline="0">
              <a:solidFill>
                <a:schemeClr val="dk1"/>
              </a:solidFill>
              <a:effectLst/>
              <a:latin typeface="+mn-lt"/>
              <a:ea typeface="+mn-ea"/>
              <a:cs typeface="+mn-cs"/>
            </a:rPr>
            <a:t>- all forestry waste, agricultural waste, and other wet waste in MA are used for BECCS to fuels</a:t>
          </a:r>
          <a:endParaRPr lang="en-US">
            <a:effectLst/>
          </a:endParaRPr>
        </a:p>
        <a:p>
          <a:r>
            <a:rPr lang="en-US" sz="1100" b="0" i="0" baseline="0">
              <a:solidFill>
                <a:schemeClr val="dk1"/>
              </a:solidFill>
              <a:effectLst/>
              <a:latin typeface="+mn-lt"/>
              <a:ea typeface="+mn-ea"/>
              <a:cs typeface="+mn-cs"/>
            </a:rPr>
            <a:t>- MA does not use purpose-grown crops to create biochar</a:t>
          </a:r>
          <a:endParaRPr lang="en-US">
            <a:effectLst/>
          </a:endParaRPr>
        </a:p>
      </xdr:txBody>
    </xdr:sp>
    <xdr:clientData/>
  </xdr:twoCellAnchor>
  <xdr:twoCellAnchor>
    <xdr:from>
      <xdr:col>10</xdr:col>
      <xdr:colOff>0</xdr:colOff>
      <xdr:row>229</xdr:row>
      <xdr:rowOff>0</xdr:rowOff>
    </xdr:from>
    <xdr:to>
      <xdr:col>19</xdr:col>
      <xdr:colOff>314325</xdr:colOff>
      <xdr:row>236</xdr:row>
      <xdr:rowOff>228600</xdr:rowOff>
    </xdr:to>
    <xdr:sp macro="" textlink="">
      <xdr:nvSpPr>
        <xdr:cNvPr id="5" name="TextBox 4">
          <a:extLst>
            <a:ext uri="{FF2B5EF4-FFF2-40B4-BE49-F238E27FC236}">
              <a16:creationId xmlns:a16="http://schemas.microsoft.com/office/drawing/2014/main" id="{3F5A9075-B3B6-4A9E-BCC4-A97E24C6337E}"/>
            </a:ext>
          </a:extLst>
        </xdr:cNvPr>
        <xdr:cNvSpPr txBox="1"/>
      </xdr:nvSpPr>
      <xdr:spPr>
        <a:xfrm>
          <a:off x="13506450" y="83477100"/>
          <a:ext cx="5883275" cy="38385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Explanation</a:t>
          </a:r>
          <a:r>
            <a:rPr lang="en-US" sz="1100" b="1" baseline="0">
              <a:solidFill>
                <a:schemeClr val="dk1"/>
              </a:solidFill>
              <a:effectLst/>
              <a:latin typeface="+mn-lt"/>
              <a:ea typeface="+mn-ea"/>
              <a:cs typeface="+mn-cs"/>
            </a:rPr>
            <a:t> and assumptions:</a:t>
          </a:r>
          <a:endParaRPr lang="en-US">
            <a:effectLst/>
          </a:endParaRPr>
        </a:p>
        <a:p>
          <a:r>
            <a:rPr lang="en-US" sz="1100" baseline="0">
              <a:solidFill>
                <a:schemeClr val="dk1"/>
              </a:solidFill>
              <a:effectLst/>
              <a:latin typeface="+mn-lt"/>
              <a:ea typeface="+mn-ea"/>
              <a:cs typeface="+mn-cs"/>
            </a:rPr>
            <a:t>Terrestrial enhanced weathering (TEW) annual CDR potential was calculated by estimating the amount of available farmland and forested area in MA and assuming TEW of basalt/limestone is applied on all of it. Because MA could import alkaline minerals and the removal would still happen on MA land, land area is the constraining factor in this estimate.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Data:</a:t>
          </a:r>
          <a:endParaRPr lang="en-US">
            <a:effectLst/>
          </a:endParaRPr>
        </a:p>
        <a:p>
          <a:r>
            <a:rPr lang="en-US" sz="1100" baseline="0">
              <a:solidFill>
                <a:schemeClr val="dk1"/>
              </a:solidFill>
              <a:effectLst/>
              <a:latin typeface="+mn-lt"/>
              <a:ea typeface="+mn-ea"/>
              <a:cs typeface="+mn-cs"/>
            </a:rPr>
            <a:t>- the amount of farmland in MA</a:t>
          </a:r>
        </a:p>
        <a:p>
          <a:r>
            <a:rPr lang="en-US" sz="1100" baseline="0">
              <a:solidFill>
                <a:schemeClr val="dk1"/>
              </a:solidFill>
              <a:effectLst/>
              <a:latin typeface="+mn-lt"/>
              <a:ea typeface="+mn-ea"/>
              <a:cs typeface="+mn-cs"/>
            </a:rPr>
            <a:t>- the amount of forested area in MA</a:t>
          </a:r>
        </a:p>
        <a:p>
          <a:r>
            <a:rPr lang="en-US" sz="1100" baseline="0">
              <a:solidFill>
                <a:schemeClr val="dk1"/>
              </a:solidFill>
              <a:effectLst/>
              <a:latin typeface="+mn-lt"/>
              <a:ea typeface="+mn-ea"/>
              <a:cs typeface="+mn-cs"/>
            </a:rPr>
            <a:t>- the removal rate per hectare of basalt on US cropland in a field study</a:t>
          </a:r>
        </a:p>
        <a:p>
          <a:r>
            <a:rPr lang="en-US" sz="1100" baseline="0">
              <a:solidFill>
                <a:schemeClr val="dk1"/>
              </a:solidFill>
              <a:effectLst/>
              <a:latin typeface="+mn-lt"/>
              <a:ea typeface="+mn-ea"/>
              <a:cs typeface="+mn-cs"/>
            </a:rPr>
            <a:t>- the application rate suggested for liming in MA soils</a:t>
          </a:r>
        </a:p>
        <a:p>
          <a:r>
            <a:rPr lang="en-US" sz="1100" baseline="0">
              <a:solidFill>
                <a:schemeClr val="dk1"/>
              </a:solidFill>
              <a:effectLst/>
              <a:latin typeface="+mn-lt"/>
              <a:ea typeface="+mn-ea"/>
              <a:cs typeface="+mn-cs"/>
            </a:rPr>
            <a:t>- the low end of removal efficiency for enhanced weathering in soils</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Assumptions: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all farmland in MA is used for TEW</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all forested land in MA is used for TEW</a:t>
          </a:r>
        </a:p>
      </xdr:txBody>
    </xdr:sp>
    <xdr:clientData/>
  </xdr:twoCellAnchor>
  <xdr:twoCellAnchor>
    <xdr:from>
      <xdr:col>10</xdr:col>
      <xdr:colOff>0</xdr:colOff>
      <xdr:row>229</xdr:row>
      <xdr:rowOff>0</xdr:rowOff>
    </xdr:from>
    <xdr:to>
      <xdr:col>19</xdr:col>
      <xdr:colOff>314325</xdr:colOff>
      <xdr:row>236</xdr:row>
      <xdr:rowOff>361950</xdr:rowOff>
    </xdr:to>
    <xdr:sp macro="" textlink="">
      <xdr:nvSpPr>
        <xdr:cNvPr id="8" name="TextBox 7">
          <a:extLst>
            <a:ext uri="{FF2B5EF4-FFF2-40B4-BE49-F238E27FC236}">
              <a16:creationId xmlns:a16="http://schemas.microsoft.com/office/drawing/2014/main" id="{58EB46D6-0D03-47C7-BE15-CA50953B7A8C}"/>
            </a:ext>
          </a:extLst>
        </xdr:cNvPr>
        <xdr:cNvSpPr txBox="1"/>
      </xdr:nvSpPr>
      <xdr:spPr>
        <a:xfrm>
          <a:off x="13506450" y="128073150"/>
          <a:ext cx="5883275" cy="36861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Explanation</a:t>
          </a:r>
          <a:r>
            <a:rPr lang="en-US" sz="1100" b="1" baseline="0">
              <a:solidFill>
                <a:schemeClr val="dk1"/>
              </a:solidFill>
              <a:effectLst/>
              <a:latin typeface="+mn-lt"/>
              <a:ea typeface="+mn-ea"/>
              <a:cs typeface="+mn-cs"/>
            </a:rPr>
            <a:t> and assumptions:</a:t>
          </a:r>
          <a:endParaRPr lang="en-US">
            <a:effectLst/>
          </a:endParaRPr>
        </a:p>
        <a:p>
          <a:r>
            <a:rPr lang="en-US" sz="1100" baseline="0">
              <a:solidFill>
                <a:schemeClr val="dk1"/>
              </a:solidFill>
              <a:effectLst/>
              <a:latin typeface="+mn-lt"/>
              <a:ea typeface="+mn-ea"/>
              <a:cs typeface="+mn-cs"/>
            </a:rPr>
            <a:t>Terrestrial enhanced weathering (TEW) annual CDR potential was calculated by estimating the amount of available farmland and forested area in MA and assuming TEW is applied on all of it. Because MA could import alkaline minerals and the removal would still happen on MA land, available suitable land is the constraining factor in this estimate.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Data:</a:t>
          </a:r>
          <a:endParaRPr lang="en-US">
            <a:effectLst/>
          </a:endParaRPr>
        </a:p>
        <a:p>
          <a:r>
            <a:rPr lang="en-US" sz="1100" baseline="0">
              <a:solidFill>
                <a:schemeClr val="dk1"/>
              </a:solidFill>
              <a:effectLst/>
              <a:latin typeface="+mn-lt"/>
              <a:ea typeface="+mn-ea"/>
              <a:cs typeface="+mn-cs"/>
            </a:rPr>
            <a:t>- the amount of farmland in MA</a:t>
          </a:r>
        </a:p>
        <a:p>
          <a:r>
            <a:rPr lang="en-US" sz="1100" baseline="0">
              <a:solidFill>
                <a:schemeClr val="dk1"/>
              </a:solidFill>
              <a:effectLst/>
              <a:latin typeface="+mn-lt"/>
              <a:ea typeface="+mn-ea"/>
              <a:cs typeface="+mn-cs"/>
            </a:rPr>
            <a:t>- the amount of forested area in MA</a:t>
          </a:r>
        </a:p>
        <a:p>
          <a:r>
            <a:rPr lang="en-US" sz="1100" baseline="0">
              <a:solidFill>
                <a:schemeClr val="dk1"/>
              </a:solidFill>
              <a:effectLst/>
              <a:latin typeface="+mn-lt"/>
              <a:ea typeface="+mn-ea"/>
              <a:cs typeface="+mn-cs"/>
            </a:rPr>
            <a:t>- the application rate of basalt fines in a MA field trial</a:t>
          </a:r>
        </a:p>
        <a:p>
          <a:r>
            <a:rPr lang="en-US" sz="1100" baseline="0">
              <a:solidFill>
                <a:schemeClr val="dk1"/>
              </a:solidFill>
              <a:effectLst/>
              <a:latin typeface="+mn-lt"/>
              <a:ea typeface="+mn-ea"/>
              <a:cs typeface="+mn-cs"/>
            </a:rPr>
            <a:t>- the mineralization rate of alkaline materials</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Assumptions: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all farmland in MA is used for TEW</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all forested area in MA is used for TEW</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the application rate from a MA field trial for basalt applies to all feedstock and all suitable land (farmland and forested land)</a:t>
          </a:r>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14</xdr:row>
      <xdr:rowOff>0</xdr:rowOff>
    </xdr:from>
    <xdr:to>
      <xdr:col>19</xdr:col>
      <xdr:colOff>314325</xdr:colOff>
      <xdr:row>23</xdr:row>
      <xdr:rowOff>171450</xdr:rowOff>
    </xdr:to>
    <xdr:sp macro="" textlink="">
      <xdr:nvSpPr>
        <xdr:cNvPr id="2" name="TextBox 3">
          <a:extLst>
            <a:ext uri="{FF2B5EF4-FFF2-40B4-BE49-F238E27FC236}">
              <a16:creationId xmlns:a16="http://schemas.microsoft.com/office/drawing/2014/main" id="{AF3B8FDB-7C53-4847-9C0C-6397C3D4A04B}"/>
            </a:ext>
          </a:extLst>
        </xdr:cNvPr>
        <xdr:cNvSpPr txBox="1"/>
      </xdr:nvSpPr>
      <xdr:spPr>
        <a:xfrm>
          <a:off x="13315950" y="609600"/>
          <a:ext cx="5797550" cy="14668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The job creation potential of forests was calculated by using data on the jobs created for reforestation per million dollars invested and a range of forestry credit costs. The number of R&amp;D jobs was calculated by assuming a fixed percentage of jobs for a company are R&amp;D jobs.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Data:</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jobs per million dollar invested for reforestation</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percentage of employees that are R&amp;D for various company sizes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cost of a forestry credit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a:t>
          </a:r>
          <a:r>
            <a:rPr lang="en-US" sz="1100" i="0" baseline="0">
              <a:solidFill>
                <a:schemeClr val="dk1"/>
              </a:solidFill>
              <a:effectLst/>
              <a:latin typeface="+mn-lt"/>
              <a:ea typeface="+mn-ea"/>
              <a:cs typeface="+mn-cs"/>
            </a:rPr>
            <a:t>R&amp;D jobs was calculated by assuming a fixed percentage of jobs (see R&amp;D jobs section)</a:t>
          </a: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28</xdr:row>
      <xdr:rowOff>0</xdr:rowOff>
    </xdr:from>
    <xdr:to>
      <xdr:col>19</xdr:col>
      <xdr:colOff>311150</xdr:colOff>
      <xdr:row>40</xdr:row>
      <xdr:rowOff>176022</xdr:rowOff>
    </xdr:to>
    <xdr:sp macro="" textlink="">
      <xdr:nvSpPr>
        <xdr:cNvPr id="3" name="TextBox 3">
          <a:extLst>
            <a:ext uri="{FF2B5EF4-FFF2-40B4-BE49-F238E27FC236}">
              <a16:creationId xmlns:a16="http://schemas.microsoft.com/office/drawing/2014/main" id="{094E3E71-7586-4E9E-B688-5BADF4C4F28F}"/>
            </a:ext>
          </a:extLst>
        </xdr:cNvPr>
        <xdr:cNvSpPr txBox="1"/>
      </xdr:nvSpPr>
      <xdr:spPr>
        <a:xfrm>
          <a:off x="12411075" y="6819900"/>
          <a:ext cx="5797550" cy="400507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The job creation potential of agricultural soils is difficult to quantify due to additionality. For example, while soil practices would require farm labor to implement, they would likely be done by existing farmers and so no additional jobs would be created. Additional jobs could come from any additional labor needed to perform sampling and measurement, as well as any induced supply chain jobs from measurment and other equipment. Data on this is not widely available.</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As a proxy, the job creation estimates for terrestrial enhanced weathering (TEW) were used as a basis here (see TEW section below for more details). The MRV process of TEW, which creates O&amp;M jobs, is analogous to agricultural soils. However, because TEW O&amp;M jobs also include transportation of delivering mineral to farms, O&amp;M jobs created by agricultural soils was assumed to be 50% of O&amp;M jobs created by TEW.</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The number of R&amp;D jobs was calculated by assuming a fixed percentage of jobs for a company are R&amp;D jobs.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Data:</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jobs per Mtpa for O&amp;M jobs for TEW</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a:t>
          </a:r>
          <a:r>
            <a:rPr lang="en-US" sz="1100" i="0" baseline="0">
              <a:solidFill>
                <a:schemeClr val="dk1"/>
              </a:solidFill>
              <a:effectLst/>
              <a:latin typeface="+mn-lt"/>
              <a:ea typeface="+mn-ea"/>
              <a:cs typeface="+mn-cs"/>
            </a:rPr>
            <a:t>R&amp;D jobs was calculated by assuming a fixed percentage of jobs (see R&amp;D jobs section)</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O&amp;M jobs for agricultural soils are half of O&amp;M jobs created for TEW</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9</xdr:col>
      <xdr:colOff>600075</xdr:colOff>
      <xdr:row>2</xdr:row>
      <xdr:rowOff>180975</xdr:rowOff>
    </xdr:from>
    <xdr:to>
      <xdr:col>19</xdr:col>
      <xdr:colOff>314325</xdr:colOff>
      <xdr:row>10</xdr:row>
      <xdr:rowOff>161925</xdr:rowOff>
    </xdr:to>
    <xdr:sp macro="" textlink="">
      <xdr:nvSpPr>
        <xdr:cNvPr id="28" name="TextBox 4">
          <a:extLst>
            <a:ext uri="{FF2B5EF4-FFF2-40B4-BE49-F238E27FC236}">
              <a16:creationId xmlns:a16="http://schemas.microsoft.com/office/drawing/2014/main" id="{42C2643D-4AB4-4FC1-9EFB-C642B97FA415}"/>
            </a:ext>
            <a:ext uri="{147F2762-F138-4A5C-976F-8EAC2B608ADB}">
              <a16:predDERef xmlns:a16="http://schemas.microsoft.com/office/drawing/2014/main" pred="{094E3E71-7586-4E9E-B688-5BADF4C4F28F}"/>
            </a:ext>
          </a:extLst>
        </xdr:cNvPr>
        <xdr:cNvSpPr txBox="1"/>
      </xdr:nvSpPr>
      <xdr:spPr>
        <a:xfrm>
          <a:off x="12068175" y="590550"/>
          <a:ext cx="5810250" cy="183832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 on R&amp;D</a:t>
          </a:r>
          <a:r>
            <a:rPr lang="en-US" sz="1100" b="1" baseline="0"/>
            <a:t> job calculations: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Across all CDR approaches, </a:t>
          </a:r>
          <a:r>
            <a:rPr lang="en-US" sz="1100" i="0" baseline="0">
              <a:solidFill>
                <a:schemeClr val="dk1"/>
              </a:solidFill>
              <a:effectLst/>
              <a:latin typeface="+mn-lt"/>
              <a:ea typeface="+mn-ea"/>
              <a:cs typeface="+mn-cs"/>
            </a:rPr>
            <a:t>the number of R&amp;D jobs was calculated by assuming that a fixed percentage of jobs for a company are R&amp;D jobs. A low and high estimate are created by </a:t>
          </a:r>
          <a:r>
            <a:rPr lang="en-US" sz="1100" b="0" i="0" u="none" strike="noStrike">
              <a:solidFill>
                <a:schemeClr val="dk1"/>
              </a:solidFill>
              <a:effectLst/>
              <a:latin typeface="+mn-lt"/>
              <a:ea typeface="+mn-ea"/>
              <a:cs typeface="+mn-cs"/>
            </a:rPr>
            <a:t>assuming a large company (25,000 or more, of which 5% are R&amp;D)</a:t>
          </a:r>
          <a:r>
            <a:rPr lang="en-US">
              <a:effectLst/>
            </a:rPr>
            <a:t> </a:t>
          </a:r>
          <a:r>
            <a:rPr lang="en-US" sz="1100" b="0" i="0" u="none" strike="noStrike">
              <a:solidFill>
                <a:schemeClr val="dk1"/>
              </a:solidFill>
              <a:effectLst/>
              <a:latin typeface="+mn-lt"/>
              <a:ea typeface="+mn-ea"/>
              <a:cs typeface="+mn-cs"/>
            </a:rPr>
            <a:t>and</a:t>
          </a:r>
          <a:r>
            <a:rPr lang="en-US" sz="1100" b="0" i="0" u="none" strike="noStrike" baseline="0">
              <a:solidFill>
                <a:schemeClr val="dk1"/>
              </a:solidFill>
              <a:effectLst/>
              <a:latin typeface="+mn-lt"/>
              <a:ea typeface="+mn-ea"/>
              <a:cs typeface="+mn-cs"/>
            </a:rPr>
            <a:t> a</a:t>
          </a:r>
          <a:r>
            <a:rPr lang="en-US" sz="1100" b="0" i="0" u="none" strike="noStrike">
              <a:solidFill>
                <a:schemeClr val="dk1"/>
              </a:solidFill>
              <a:effectLst/>
              <a:latin typeface="+mn-lt"/>
              <a:ea typeface="+mn-ea"/>
              <a:cs typeface="+mn-cs"/>
            </a:rPr>
            <a:t>ssuming a small company (10-19 employees, of which 40% are R&amp;D),</a:t>
          </a:r>
          <a:r>
            <a:rPr lang="en-US" sz="1100" b="0" i="0" u="none" strike="noStrike" baseline="0">
              <a:solidFill>
                <a:schemeClr val="dk1"/>
              </a:solidFill>
              <a:effectLst/>
              <a:latin typeface="+mn-lt"/>
              <a:ea typeface="+mn-ea"/>
              <a:cs typeface="+mn-cs"/>
            </a:rPr>
            <a:t> percentages which are taken from an NSF report.</a:t>
          </a:r>
          <a:endParaRPr lang="en-US">
            <a:effectLst/>
          </a:endParaRPr>
        </a:p>
        <a:p>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With this method of calculation, a pathway’s R&amp;D jobs depend on the scale of deployment in Massachusetts. This may not necessarily be true, because R&amp;D jobs for a pathway can occur in Massachusetts even if deployment is happening globally. Research and development jobs may more likely be determined by the State’s investment and support for CDR innovation and commercialization.</a:t>
          </a:r>
        </a:p>
      </xdr:txBody>
    </xdr:sp>
    <xdr:clientData/>
  </xdr:twoCellAnchor>
  <xdr:twoCellAnchor>
    <xdr:from>
      <xdr:col>10</xdr:col>
      <xdr:colOff>0</xdr:colOff>
      <xdr:row>43</xdr:row>
      <xdr:rowOff>190499</xdr:rowOff>
    </xdr:from>
    <xdr:to>
      <xdr:col>19</xdr:col>
      <xdr:colOff>314325</xdr:colOff>
      <xdr:row>51</xdr:row>
      <xdr:rowOff>176021</xdr:rowOff>
    </xdr:to>
    <xdr:sp macro="" textlink="">
      <xdr:nvSpPr>
        <xdr:cNvPr id="6" name="TextBox 3">
          <a:extLst>
            <a:ext uri="{FF2B5EF4-FFF2-40B4-BE49-F238E27FC236}">
              <a16:creationId xmlns:a16="http://schemas.microsoft.com/office/drawing/2014/main" id="{A2A98E30-4524-42CB-A2F2-C28039BAB02D}"/>
            </a:ext>
          </a:extLst>
        </xdr:cNvPr>
        <xdr:cNvSpPr txBox="1"/>
      </xdr:nvSpPr>
      <xdr:spPr>
        <a:xfrm>
          <a:off x="12411075" y="11439524"/>
          <a:ext cx="5800725" cy="309067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pPr eaLnBrk="1" fontAlgn="auto" latinLnBrk="0" hangingPunct="1"/>
          <a:r>
            <a:rPr lang="en-US" sz="1100" i="0" baseline="0">
              <a:solidFill>
                <a:schemeClr val="dk1"/>
              </a:solidFill>
              <a:effectLst/>
              <a:latin typeface="+mn-lt"/>
              <a:ea typeface="+mn-ea"/>
              <a:cs typeface="+mn-cs"/>
            </a:rPr>
            <a:t>The job creation potential of salt marshes was calculated by using data on the jobs created for salt marsh restoration per million dollar invested and a range of salt marsh credit costs. The number of R&amp;D jobs was calculated by assuming a fixed percentage of jobs for a company are R&amp;D jobs.</a:t>
          </a:r>
          <a:endParaRPr lang="en-US">
            <a:effectLst/>
          </a:endParaRPr>
        </a:p>
        <a:p>
          <a:pPr eaLnBrk="1" fontAlgn="auto" latinLnBrk="0" hangingPunct="1"/>
          <a:endParaRPr lang="en-US" sz="1100" i="0" baseline="0">
            <a:solidFill>
              <a:schemeClr val="dk1"/>
            </a:solidFill>
            <a:effectLst/>
            <a:latin typeface="+mn-lt"/>
            <a:ea typeface="+mn-ea"/>
            <a:cs typeface="+mn-cs"/>
          </a:endParaRPr>
        </a:p>
        <a:p>
          <a:pPr eaLnBrk="1" fontAlgn="auto" latinLnBrk="0" hangingPunct="1"/>
          <a:r>
            <a:rPr lang="en-US" sz="1100" i="0" baseline="0">
              <a:solidFill>
                <a:schemeClr val="dk1"/>
              </a:solidFill>
              <a:effectLst/>
              <a:latin typeface="+mn-lt"/>
              <a:ea typeface="+mn-ea"/>
              <a:cs typeface="+mn-cs"/>
            </a:rPr>
            <a:t>Data:</a:t>
          </a:r>
          <a:endParaRPr lang="en-US">
            <a:effectLst/>
          </a:endParaRPr>
        </a:p>
        <a:p>
          <a:pPr eaLnBrk="1" fontAlgn="auto" latinLnBrk="0" hangingPunct="1"/>
          <a:r>
            <a:rPr lang="en-US" sz="1100" i="0" baseline="0">
              <a:solidFill>
                <a:schemeClr val="dk1"/>
              </a:solidFill>
              <a:effectLst/>
              <a:latin typeface="+mn-lt"/>
              <a:ea typeface="+mn-ea"/>
              <a:cs typeface="+mn-cs"/>
            </a:rPr>
            <a:t>- jobs per million dollars invested for salt marsh restoration</a:t>
          </a:r>
          <a:endParaRPr lang="en-US">
            <a:effectLst/>
          </a:endParaRPr>
        </a:p>
        <a:p>
          <a:pPr eaLnBrk="1" fontAlgn="auto" latinLnBrk="0" hangingPunct="1"/>
          <a:r>
            <a:rPr lang="en-US" sz="1100" i="0" baseline="0">
              <a:solidFill>
                <a:schemeClr val="dk1"/>
              </a:solidFill>
              <a:effectLst/>
              <a:latin typeface="+mn-lt"/>
              <a:ea typeface="+mn-ea"/>
              <a:cs typeface="+mn-cs"/>
            </a:rPr>
            <a:t>- percentage of employees that are R&amp;D for various company sizes</a:t>
          </a:r>
          <a:endParaRPr lang="en-US">
            <a:effectLst/>
          </a:endParaRPr>
        </a:p>
        <a:p>
          <a:pPr eaLnBrk="1" fontAlgn="auto" latinLnBrk="0" hangingPunct="1"/>
          <a:r>
            <a:rPr lang="en-US" sz="1100" i="0" baseline="0">
              <a:solidFill>
                <a:schemeClr val="dk1"/>
              </a:solidFill>
              <a:effectLst/>
              <a:latin typeface="+mn-lt"/>
              <a:ea typeface="+mn-ea"/>
              <a:cs typeface="+mn-cs"/>
            </a:rPr>
            <a:t>- cost of a salt marsh credit</a:t>
          </a:r>
          <a:endParaRPr lang="en-US">
            <a:effectLst/>
          </a:endParaRPr>
        </a:p>
        <a:p>
          <a:pPr eaLnBrk="1" fontAlgn="auto" latinLnBrk="0" hangingPunct="1"/>
          <a:endParaRPr lang="en-US" sz="1100" i="0" baseline="0">
            <a:solidFill>
              <a:schemeClr val="dk1"/>
            </a:solidFill>
            <a:effectLst/>
            <a:latin typeface="+mn-lt"/>
            <a:ea typeface="+mn-ea"/>
            <a:cs typeface="+mn-cs"/>
          </a:endParaRPr>
        </a:p>
        <a:p>
          <a:pPr eaLnBrk="1" fontAlgn="auto" latinLnBrk="0" hangingPunct="1"/>
          <a:r>
            <a:rPr lang="en-US" sz="1100" i="0" baseline="0">
              <a:solidFill>
                <a:schemeClr val="dk1"/>
              </a:solidFill>
              <a:effectLst/>
              <a:latin typeface="+mn-lt"/>
              <a:ea typeface="+mn-ea"/>
              <a:cs typeface="+mn-cs"/>
            </a:rPr>
            <a:t>Assumptions</a:t>
          </a:r>
          <a:endParaRPr lang="en-US">
            <a:effectLst/>
          </a:endParaRPr>
        </a:p>
        <a:p>
          <a:pPr eaLnBrk="1" fontAlgn="auto" latinLnBrk="0" hangingPunct="1"/>
          <a:r>
            <a:rPr lang="en-US" sz="1100" i="0" baseline="0">
              <a:solidFill>
                <a:schemeClr val="dk1"/>
              </a:solidFill>
              <a:effectLst/>
              <a:latin typeface="+mn-lt"/>
              <a:ea typeface="+mn-ea"/>
              <a:cs typeface="+mn-cs"/>
            </a:rPr>
            <a:t>- R&amp;D jobs was calculated by assuming a fixed percentage of jobs (see R&amp;D jobs section)</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58</xdr:row>
      <xdr:rowOff>190499</xdr:rowOff>
    </xdr:from>
    <xdr:to>
      <xdr:col>19</xdr:col>
      <xdr:colOff>314325</xdr:colOff>
      <xdr:row>66</xdr:row>
      <xdr:rowOff>176021</xdr:rowOff>
    </xdr:to>
    <xdr:sp macro="" textlink="">
      <xdr:nvSpPr>
        <xdr:cNvPr id="4" name="TextBox 3">
          <a:extLst>
            <a:ext uri="{FF2B5EF4-FFF2-40B4-BE49-F238E27FC236}">
              <a16:creationId xmlns:a16="http://schemas.microsoft.com/office/drawing/2014/main" id="{B0D87898-DCBF-417B-AF7A-1A2740E31435}"/>
            </a:ext>
          </a:extLst>
        </xdr:cNvPr>
        <xdr:cNvSpPr txBox="1"/>
      </xdr:nvSpPr>
      <xdr:spPr>
        <a:xfrm>
          <a:off x="12411075" y="11439524"/>
          <a:ext cx="5797550" cy="292239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pPr eaLnBrk="1" fontAlgn="auto" latinLnBrk="0" hangingPunct="1"/>
          <a:r>
            <a:rPr lang="en-US" sz="1100" i="0" baseline="0">
              <a:solidFill>
                <a:schemeClr val="dk1"/>
              </a:solidFill>
              <a:effectLst/>
              <a:latin typeface="+mn-lt"/>
              <a:ea typeface="+mn-ea"/>
              <a:cs typeface="+mn-cs"/>
            </a:rPr>
            <a:t>The job creation potential of biomass direct storage was taken from RMI internal modeling and company interviews. The number of R&amp;D jobs was calculated by assuming a fixed percentage of jobs for a company are R&amp;D jobs.</a:t>
          </a:r>
          <a:endParaRPr lang="en-US">
            <a:effectLst/>
          </a:endParaRPr>
        </a:p>
        <a:p>
          <a:pPr eaLnBrk="1" fontAlgn="auto" latinLnBrk="0" hangingPunct="1"/>
          <a:endParaRPr lang="en-US" sz="1100" i="0" baseline="0">
            <a:solidFill>
              <a:schemeClr val="dk1"/>
            </a:solidFill>
            <a:effectLst/>
            <a:latin typeface="+mn-lt"/>
            <a:ea typeface="+mn-ea"/>
            <a:cs typeface="+mn-cs"/>
          </a:endParaRPr>
        </a:p>
        <a:p>
          <a:pPr eaLnBrk="1" fontAlgn="auto" latinLnBrk="0" hangingPunct="1"/>
          <a:r>
            <a:rPr lang="en-US" sz="1100" i="0" baseline="0">
              <a:solidFill>
                <a:schemeClr val="dk1"/>
              </a:solidFill>
              <a:effectLst/>
              <a:latin typeface="+mn-lt"/>
              <a:ea typeface="+mn-ea"/>
              <a:cs typeface="+mn-cs"/>
            </a:rPr>
            <a:t>Data:</a:t>
          </a:r>
          <a:endParaRPr lang="en-US">
            <a:effectLst/>
          </a:endParaRPr>
        </a:p>
        <a:p>
          <a:pPr eaLnBrk="1" fontAlgn="auto" latinLnBrk="0" hangingPunct="1"/>
          <a:r>
            <a:rPr lang="en-US" sz="1100" i="0" baseline="0">
              <a:solidFill>
                <a:schemeClr val="dk1"/>
              </a:solidFill>
              <a:effectLst/>
              <a:latin typeface="+mn-lt"/>
              <a:ea typeface="+mn-ea"/>
              <a:cs typeface="+mn-cs"/>
            </a:rPr>
            <a:t>- jobs per Mtpa from company interviews</a:t>
          </a:r>
          <a:endParaRPr lang="en-US">
            <a:effectLst/>
          </a:endParaRPr>
        </a:p>
        <a:p>
          <a:pPr eaLnBrk="1" fontAlgn="auto" latinLnBrk="0" hangingPunct="1"/>
          <a:endParaRPr lang="en-US" sz="1100" i="0" baseline="0">
            <a:solidFill>
              <a:schemeClr val="dk1"/>
            </a:solidFill>
            <a:effectLst/>
            <a:latin typeface="+mn-lt"/>
            <a:ea typeface="+mn-ea"/>
            <a:cs typeface="+mn-cs"/>
          </a:endParaRPr>
        </a:p>
        <a:p>
          <a:pPr eaLnBrk="1" fontAlgn="auto" latinLnBrk="0" hangingPunct="1"/>
          <a:r>
            <a:rPr lang="en-US" sz="1100" i="0" baseline="0">
              <a:solidFill>
                <a:schemeClr val="dk1"/>
              </a:solidFill>
              <a:effectLst/>
              <a:latin typeface="+mn-lt"/>
              <a:ea typeface="+mn-ea"/>
              <a:cs typeface="+mn-cs"/>
            </a:rPr>
            <a:t>Assumptions</a:t>
          </a:r>
          <a:endParaRPr lang="en-US">
            <a:effectLst/>
          </a:endParaRPr>
        </a:p>
        <a:p>
          <a:pPr eaLnBrk="1" fontAlgn="auto" latinLnBrk="0" hangingPunct="1"/>
          <a:r>
            <a:rPr lang="en-US" sz="1100" i="0" baseline="0">
              <a:solidFill>
                <a:schemeClr val="dk1"/>
              </a:solidFill>
              <a:effectLst/>
              <a:latin typeface="+mn-lt"/>
              <a:ea typeface="+mn-ea"/>
              <a:cs typeface="+mn-cs"/>
            </a:rPr>
            <a:t>- R&amp;D jobs was calculated by assuming a fixed percentage of jobs (see R&amp;D jobs section)</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72</xdr:row>
      <xdr:rowOff>190499</xdr:rowOff>
    </xdr:from>
    <xdr:to>
      <xdr:col>19</xdr:col>
      <xdr:colOff>314325</xdr:colOff>
      <xdr:row>80</xdr:row>
      <xdr:rowOff>176021</xdr:rowOff>
    </xdr:to>
    <xdr:sp macro="" textlink="">
      <xdr:nvSpPr>
        <xdr:cNvPr id="7" name="TextBox 6">
          <a:extLst>
            <a:ext uri="{FF2B5EF4-FFF2-40B4-BE49-F238E27FC236}">
              <a16:creationId xmlns:a16="http://schemas.microsoft.com/office/drawing/2014/main" id="{4D4BEDE6-F064-43DC-8284-2FF3E36503A5}"/>
            </a:ext>
          </a:extLst>
        </xdr:cNvPr>
        <xdr:cNvSpPr txBox="1"/>
      </xdr:nvSpPr>
      <xdr:spPr>
        <a:xfrm>
          <a:off x="12411075" y="16040099"/>
          <a:ext cx="5797550" cy="273189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pPr eaLnBrk="1" fontAlgn="auto" latinLnBrk="0" hangingPunct="1"/>
          <a:r>
            <a:rPr lang="en-US" sz="1100" i="0" baseline="0">
              <a:solidFill>
                <a:schemeClr val="dk1"/>
              </a:solidFill>
              <a:effectLst/>
              <a:latin typeface="+mn-lt"/>
              <a:ea typeface="+mn-ea"/>
              <a:cs typeface="+mn-cs"/>
            </a:rPr>
            <a:t>The job creation potential of timber building products was calculated by using the number of jobs created per unit of timber and the amount of CO2 removed by unit of timber. The number of R&amp;D jobs was calculated by assuming a fixed percentage of jobs for a company are R&amp;D jobs.</a:t>
          </a:r>
          <a:endParaRPr lang="en-US">
            <a:effectLst/>
          </a:endParaRPr>
        </a:p>
        <a:p>
          <a:pPr eaLnBrk="1" fontAlgn="auto" latinLnBrk="0" hangingPunct="1"/>
          <a:endParaRPr lang="en-US" sz="1100" i="0" baseline="0">
            <a:solidFill>
              <a:schemeClr val="dk1"/>
            </a:solidFill>
            <a:effectLst/>
            <a:latin typeface="+mn-lt"/>
            <a:ea typeface="+mn-ea"/>
            <a:cs typeface="+mn-cs"/>
          </a:endParaRPr>
        </a:p>
        <a:p>
          <a:pPr eaLnBrk="1" fontAlgn="auto" latinLnBrk="0" hangingPunct="1"/>
          <a:r>
            <a:rPr lang="en-US" sz="1100" i="0" baseline="0">
              <a:solidFill>
                <a:schemeClr val="dk1"/>
              </a:solidFill>
              <a:effectLst/>
              <a:latin typeface="+mn-lt"/>
              <a:ea typeface="+mn-ea"/>
              <a:cs typeface="+mn-cs"/>
            </a:rPr>
            <a:t>Data:</a:t>
          </a:r>
          <a:endParaRPr lang="en-US">
            <a:effectLst/>
          </a:endParaRPr>
        </a:p>
        <a:p>
          <a:pPr eaLnBrk="1" fontAlgn="auto" latinLnBrk="0" hangingPunct="1"/>
          <a:r>
            <a:rPr lang="en-US" sz="1100" i="0" baseline="0">
              <a:solidFill>
                <a:schemeClr val="dk1"/>
              </a:solidFill>
              <a:effectLst/>
              <a:latin typeface="+mn-lt"/>
              <a:ea typeface="+mn-ea"/>
              <a:cs typeface="+mn-cs"/>
            </a:rPr>
            <a:t>- the amount of CO2 removed by unit of timber</a:t>
          </a:r>
        </a:p>
        <a:p>
          <a:pPr eaLnBrk="1" fontAlgn="auto" latinLnBrk="0" hangingPunct="1"/>
          <a:r>
            <a:rPr lang="en-US" sz="1100" i="0" baseline="0">
              <a:solidFill>
                <a:schemeClr val="dk1"/>
              </a:solidFill>
              <a:effectLst/>
              <a:latin typeface="+mn-lt"/>
              <a:ea typeface="+mn-ea"/>
              <a:cs typeface="+mn-cs"/>
            </a:rPr>
            <a:t>- the number of jobs created per unit of timber</a:t>
          </a:r>
        </a:p>
        <a:p>
          <a:pPr eaLnBrk="1" fontAlgn="auto" latinLnBrk="0" hangingPunct="1"/>
          <a:endParaRPr lang="en-US" sz="1100" i="0" baseline="0">
            <a:solidFill>
              <a:schemeClr val="dk1"/>
            </a:solidFill>
            <a:effectLst/>
            <a:latin typeface="+mn-lt"/>
            <a:ea typeface="+mn-ea"/>
            <a:cs typeface="+mn-cs"/>
          </a:endParaRPr>
        </a:p>
        <a:p>
          <a:pPr eaLnBrk="1" fontAlgn="auto" latinLnBrk="0" hangingPunct="1"/>
          <a:r>
            <a:rPr lang="en-US" sz="1100" i="0" baseline="0">
              <a:solidFill>
                <a:schemeClr val="dk1"/>
              </a:solidFill>
              <a:effectLst/>
              <a:latin typeface="+mn-lt"/>
              <a:ea typeface="+mn-ea"/>
              <a:cs typeface="+mn-cs"/>
            </a:rPr>
            <a:t>Assumptions</a:t>
          </a:r>
          <a:endParaRPr lang="en-US">
            <a:effectLst/>
          </a:endParaRPr>
        </a:p>
        <a:p>
          <a:pPr eaLnBrk="1" fontAlgn="auto" latinLnBrk="0" hangingPunct="1"/>
          <a:r>
            <a:rPr lang="en-US" sz="1100" i="0" baseline="0">
              <a:solidFill>
                <a:schemeClr val="dk1"/>
              </a:solidFill>
              <a:effectLst/>
              <a:latin typeface="+mn-lt"/>
              <a:ea typeface="+mn-ea"/>
              <a:cs typeface="+mn-cs"/>
            </a:rPr>
            <a:t>- R&amp;D jobs was calculated by assuming a fixed percentage of jobs (see R&amp;D jobs section)</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86</xdr:row>
      <xdr:rowOff>190499</xdr:rowOff>
    </xdr:from>
    <xdr:to>
      <xdr:col>19</xdr:col>
      <xdr:colOff>314325</xdr:colOff>
      <xdr:row>94</xdr:row>
      <xdr:rowOff>176021</xdr:rowOff>
    </xdr:to>
    <xdr:sp macro="" textlink="">
      <xdr:nvSpPr>
        <xdr:cNvPr id="8" name="TextBox 7">
          <a:extLst>
            <a:ext uri="{FF2B5EF4-FFF2-40B4-BE49-F238E27FC236}">
              <a16:creationId xmlns:a16="http://schemas.microsoft.com/office/drawing/2014/main" id="{FDDFB75F-4BC2-4C5F-96A7-513F2E51AB33}"/>
            </a:ext>
          </a:extLst>
        </xdr:cNvPr>
        <xdr:cNvSpPr txBox="1"/>
      </xdr:nvSpPr>
      <xdr:spPr>
        <a:xfrm>
          <a:off x="12525375" y="19935824"/>
          <a:ext cx="5797550" cy="236042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pPr eaLnBrk="1" fontAlgn="auto" latinLnBrk="0" hangingPunct="1"/>
          <a:r>
            <a:rPr lang="en-US" sz="1100" i="0" baseline="0">
              <a:solidFill>
                <a:schemeClr val="dk1"/>
              </a:solidFill>
              <a:effectLst/>
              <a:latin typeface="+mn-lt"/>
              <a:ea typeface="+mn-ea"/>
              <a:cs typeface="+mn-cs"/>
            </a:rPr>
            <a:t>The job creation potential of other biomass building products was calculated by dividing the jobs created into two categories of additional jobs: 1) jobs created by the manufacturing of the materials and 2) jobs created by the need to harvest biomass residues, which is assumed to be the same as the jobs needed for biomass direct storage. The number of R&amp;D jobs was calculated by assuming a fixed percentage of jobs for a company are R&amp;D jobs.</a:t>
          </a:r>
          <a:endParaRPr lang="en-US">
            <a:effectLst/>
          </a:endParaRPr>
        </a:p>
        <a:p>
          <a:pPr eaLnBrk="1" fontAlgn="auto" latinLnBrk="0" hangingPunct="1"/>
          <a:endParaRPr lang="en-US" sz="1100" i="0" baseline="0">
            <a:solidFill>
              <a:schemeClr val="dk1"/>
            </a:solidFill>
            <a:effectLst/>
            <a:latin typeface="+mn-lt"/>
            <a:ea typeface="+mn-ea"/>
            <a:cs typeface="+mn-cs"/>
          </a:endParaRPr>
        </a:p>
        <a:p>
          <a:pPr eaLnBrk="1" fontAlgn="auto" latinLnBrk="0" hangingPunct="1"/>
          <a:r>
            <a:rPr lang="en-US" sz="1100" i="0" baseline="0">
              <a:solidFill>
                <a:schemeClr val="dk1"/>
              </a:solidFill>
              <a:effectLst/>
              <a:latin typeface="+mn-lt"/>
              <a:ea typeface="+mn-ea"/>
              <a:cs typeface="+mn-cs"/>
            </a:rPr>
            <a:t>Data:</a:t>
          </a:r>
          <a:endParaRPr lang="en-US">
            <a:effectLst/>
          </a:endParaRPr>
        </a:p>
        <a:p>
          <a:pPr eaLnBrk="1" fontAlgn="auto" latinLnBrk="0" hangingPunct="1"/>
          <a:r>
            <a:rPr lang="en-US" sz="1100" i="0" baseline="0">
              <a:solidFill>
                <a:schemeClr val="dk1"/>
              </a:solidFill>
              <a:effectLst/>
              <a:latin typeface="+mn-lt"/>
              <a:ea typeface="+mn-ea"/>
              <a:cs typeface="+mn-cs"/>
            </a:rPr>
            <a:t>- the amount of CO2 removed by by biomass</a:t>
          </a:r>
        </a:p>
        <a:p>
          <a:pPr eaLnBrk="1" fontAlgn="auto" latinLnBrk="0" hangingPunct="1"/>
          <a:r>
            <a:rPr lang="en-US" sz="1100" i="0" baseline="0">
              <a:solidFill>
                <a:schemeClr val="dk1"/>
              </a:solidFill>
              <a:effectLst/>
              <a:latin typeface="+mn-lt"/>
              <a:ea typeface="+mn-ea"/>
              <a:cs typeface="+mn-cs"/>
            </a:rPr>
            <a:t>- the number of jobs created per unit of bio-based building product</a:t>
          </a:r>
        </a:p>
        <a:p>
          <a:pPr eaLnBrk="1" fontAlgn="auto" latinLnBrk="0" hangingPunct="1"/>
          <a:r>
            <a:rPr lang="en-US" sz="1100" i="0" baseline="0">
              <a:solidFill>
                <a:schemeClr val="dk1"/>
              </a:solidFill>
              <a:effectLst/>
              <a:latin typeface="+mn-lt"/>
              <a:ea typeface="+mn-ea"/>
              <a:cs typeface="+mn-cs"/>
            </a:rPr>
            <a:t>- the average bio-based product density</a:t>
          </a:r>
        </a:p>
        <a:p>
          <a:pPr eaLnBrk="1" fontAlgn="auto" latinLnBrk="0" hangingPunct="1"/>
          <a:endParaRPr lang="en-US" sz="1100" i="0" baseline="0">
            <a:solidFill>
              <a:schemeClr val="dk1"/>
            </a:solidFill>
            <a:effectLst/>
            <a:latin typeface="+mn-lt"/>
            <a:ea typeface="+mn-ea"/>
            <a:cs typeface="+mn-cs"/>
          </a:endParaRPr>
        </a:p>
        <a:p>
          <a:pPr eaLnBrk="1" fontAlgn="auto" latinLnBrk="0" hangingPunct="1"/>
          <a:r>
            <a:rPr lang="en-US" sz="1100" i="0" baseline="0">
              <a:solidFill>
                <a:schemeClr val="dk1"/>
              </a:solidFill>
              <a:effectLst/>
              <a:latin typeface="+mn-lt"/>
              <a:ea typeface="+mn-ea"/>
              <a:cs typeface="+mn-cs"/>
            </a:rPr>
            <a:t>Assumptions</a:t>
          </a:r>
          <a:endParaRPr lang="en-US">
            <a:effectLst/>
          </a:endParaRPr>
        </a:p>
        <a:p>
          <a:pPr eaLnBrk="1" fontAlgn="auto" latinLnBrk="0" hangingPunct="1"/>
          <a:r>
            <a:rPr lang="en-US" sz="1100" i="0" baseline="0">
              <a:solidFill>
                <a:schemeClr val="dk1"/>
              </a:solidFill>
              <a:effectLst/>
              <a:latin typeface="+mn-lt"/>
              <a:ea typeface="+mn-ea"/>
              <a:cs typeface="+mn-cs"/>
            </a:rPr>
            <a:t>- the jobs created for the harvesting of biomass waste and residues for biomass building products is the same as the jobs created for biomass direct storage</a:t>
          </a:r>
        </a:p>
        <a:p>
          <a:pPr eaLnBrk="1" fontAlgn="auto" latinLnBrk="0" hangingPunct="1"/>
          <a:r>
            <a:rPr lang="en-US" sz="1100" i="0" baseline="0">
              <a:solidFill>
                <a:schemeClr val="dk1"/>
              </a:solidFill>
              <a:effectLst/>
              <a:latin typeface="+mn-lt"/>
              <a:ea typeface="+mn-ea"/>
              <a:cs typeface="+mn-cs"/>
            </a:rPr>
            <a:t>- R&amp;D jobs was calculated by assuming a fixed percentage of jobs (see R&amp;D jobs section)</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102</xdr:row>
      <xdr:rowOff>0</xdr:rowOff>
    </xdr:from>
    <xdr:to>
      <xdr:col>19</xdr:col>
      <xdr:colOff>314325</xdr:colOff>
      <xdr:row>106</xdr:row>
      <xdr:rowOff>590550</xdr:rowOff>
    </xdr:to>
    <xdr:sp macro="" textlink="">
      <xdr:nvSpPr>
        <xdr:cNvPr id="9" name="TextBox 3">
          <a:extLst>
            <a:ext uri="{FF2B5EF4-FFF2-40B4-BE49-F238E27FC236}">
              <a16:creationId xmlns:a16="http://schemas.microsoft.com/office/drawing/2014/main" id="{AB063E18-9B32-4C54-9A5B-3F549C6FD1A2}"/>
            </a:ext>
          </a:extLst>
        </xdr:cNvPr>
        <xdr:cNvSpPr txBox="1"/>
      </xdr:nvSpPr>
      <xdr:spPr>
        <a:xfrm>
          <a:off x="12525375" y="29184600"/>
          <a:ext cx="5800725" cy="24288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The job creation potential of a</a:t>
          </a:r>
          <a:r>
            <a:rPr lang="en-US" sz="1100" i="0" baseline="0">
              <a:solidFill>
                <a:schemeClr val="dk1"/>
              </a:solidFill>
              <a:effectLst/>
              <a:latin typeface="+mn-lt"/>
              <a:ea typeface="+mn-ea"/>
              <a:cs typeface="+mn-cs"/>
            </a:rPr>
            <a:t>pyrolysis (biochar) and storage </a:t>
          </a:r>
          <a:r>
            <a:rPr lang="en-US" sz="1100" i="0" baseline="0">
              <a:solidFill>
                <a:sysClr val="windowText" lastClr="000000"/>
              </a:solidFill>
              <a:effectLst/>
              <a:latin typeface="+mn-lt"/>
              <a:ea typeface="+mn-ea"/>
              <a:cs typeface="+mn-cs"/>
            </a:rPr>
            <a:t>is calculated by assuming the job creation magnitude and types of jobs creation for pyrolysis (bioliquid) and storage are similar to the job creation profile of pyrolysis (biochar) and storage. The number of R&amp;D jobs was calculated by assuming a fixed percentage of jobs for a company are R&amp;D jobs.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Data:</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jobs per Mtpa for jobs for </a:t>
          </a:r>
          <a:r>
            <a:rPr lang="en-US" sz="1100" i="0" baseline="0">
              <a:solidFill>
                <a:schemeClr val="dk1"/>
              </a:solidFill>
              <a:effectLst/>
              <a:latin typeface="+mn-lt"/>
              <a:ea typeface="+mn-ea"/>
              <a:cs typeface="+mn-cs"/>
            </a:rPr>
            <a:t>pyrolysis (bioliquid) and storage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a:t>
          </a:r>
          <a:r>
            <a:rPr lang="en-US" sz="1100" i="0" baseline="0">
              <a:solidFill>
                <a:schemeClr val="dk1"/>
              </a:solidFill>
              <a:effectLst/>
              <a:latin typeface="+mn-lt"/>
              <a:ea typeface="+mn-ea"/>
              <a:cs typeface="+mn-cs"/>
            </a:rPr>
            <a:t>R&amp;D jobs was calculated by assuming a fixed percentage of jobs (see R&amp;D jobs section)</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job creation profile for biochar is the same as bioliquid</a:t>
          </a: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116</xdr:row>
      <xdr:rowOff>1</xdr:rowOff>
    </xdr:from>
    <xdr:to>
      <xdr:col>19</xdr:col>
      <xdr:colOff>311150</xdr:colOff>
      <xdr:row>120</xdr:row>
      <xdr:rowOff>333376</xdr:rowOff>
    </xdr:to>
    <xdr:sp macro="" textlink="">
      <xdr:nvSpPr>
        <xdr:cNvPr id="10" name="TextBox 3">
          <a:extLst>
            <a:ext uri="{FF2B5EF4-FFF2-40B4-BE49-F238E27FC236}">
              <a16:creationId xmlns:a16="http://schemas.microsoft.com/office/drawing/2014/main" id="{41E8493F-C32D-4C8F-BA6C-AF7DF8501074}"/>
            </a:ext>
          </a:extLst>
        </xdr:cNvPr>
        <xdr:cNvSpPr txBox="1"/>
      </xdr:nvSpPr>
      <xdr:spPr>
        <a:xfrm>
          <a:off x="12525375" y="33994726"/>
          <a:ext cx="5797550" cy="21717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The job creation potential of </a:t>
          </a:r>
          <a:r>
            <a:rPr lang="en-US" sz="1100" i="0" baseline="0">
              <a:solidFill>
                <a:schemeClr val="dk1"/>
              </a:solidFill>
              <a:effectLst/>
              <a:latin typeface="+mn-lt"/>
              <a:ea typeface="+mn-ea"/>
              <a:cs typeface="+mn-cs"/>
            </a:rPr>
            <a:t>pyrolysis (bioliquid) and storage </a:t>
          </a:r>
          <a:r>
            <a:rPr lang="en-US" sz="1100" i="0" baseline="0">
              <a:solidFill>
                <a:sysClr val="windowText" lastClr="000000"/>
              </a:solidFill>
              <a:effectLst/>
              <a:latin typeface="+mn-lt"/>
              <a:ea typeface="+mn-ea"/>
              <a:cs typeface="+mn-cs"/>
            </a:rPr>
            <a:t>is taken from an existing report by the Rhodium Group. The number of R&amp;D jobs was calculated by assuming a fixed percentage of jobs for a company are R&amp;D jobs.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Data:</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jobs per Mtpa for jobs for </a:t>
          </a:r>
          <a:r>
            <a:rPr lang="en-US" sz="1100" i="0" baseline="0">
              <a:solidFill>
                <a:schemeClr val="dk1"/>
              </a:solidFill>
              <a:effectLst/>
              <a:latin typeface="+mn-lt"/>
              <a:ea typeface="+mn-ea"/>
              <a:cs typeface="+mn-cs"/>
            </a:rPr>
            <a:t>pyrolysis (bioliquid) and storage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a:t>
          </a:r>
          <a:r>
            <a:rPr lang="en-US" sz="1100" i="0" baseline="0">
              <a:solidFill>
                <a:schemeClr val="dk1"/>
              </a:solidFill>
              <a:effectLst/>
              <a:latin typeface="+mn-lt"/>
              <a:ea typeface="+mn-ea"/>
              <a:cs typeface="+mn-cs"/>
            </a:rPr>
            <a:t>R&amp;D jobs was calculated by assuming a fixed percentage of jobs (see R&amp;D jobs section)</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144</xdr:row>
      <xdr:rowOff>0</xdr:rowOff>
    </xdr:from>
    <xdr:to>
      <xdr:col>19</xdr:col>
      <xdr:colOff>311150</xdr:colOff>
      <xdr:row>148</xdr:row>
      <xdr:rowOff>0</xdr:rowOff>
    </xdr:to>
    <xdr:sp macro="" textlink="">
      <xdr:nvSpPr>
        <xdr:cNvPr id="11" name="TextBox 10">
          <a:extLst>
            <a:ext uri="{FF2B5EF4-FFF2-40B4-BE49-F238E27FC236}">
              <a16:creationId xmlns:a16="http://schemas.microsoft.com/office/drawing/2014/main" id="{FD8A38BF-A0C8-42F3-B967-DD20C0B2358F}"/>
            </a:ext>
          </a:extLst>
        </xdr:cNvPr>
        <xdr:cNvSpPr txBox="1"/>
      </xdr:nvSpPr>
      <xdr:spPr>
        <a:xfrm>
          <a:off x="12525375" y="39528750"/>
          <a:ext cx="5797550" cy="7429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r>
            <a:rPr lang="en-US" sz="1100">
              <a:solidFill>
                <a:schemeClr val="dk1"/>
              </a:solidFill>
              <a:effectLst/>
              <a:latin typeface="+mn-lt"/>
              <a:ea typeface="+mn-ea"/>
              <a:cs typeface="+mn-cs"/>
            </a:rPr>
            <a:t>Microalgae cultivation  in open water is too early-stage and has too many uncertainties to estimate job creation potential in Massachusetts.</a:t>
          </a:r>
          <a:endParaRPr lang="en-US">
            <a:effectLst/>
          </a:endParaRPr>
        </a:p>
      </xdr:txBody>
    </xdr:sp>
    <xdr:clientData/>
  </xdr:twoCellAnchor>
  <xdr:twoCellAnchor>
    <xdr:from>
      <xdr:col>10</xdr:col>
      <xdr:colOff>0</xdr:colOff>
      <xdr:row>150</xdr:row>
      <xdr:rowOff>190499</xdr:rowOff>
    </xdr:from>
    <xdr:to>
      <xdr:col>19</xdr:col>
      <xdr:colOff>314325</xdr:colOff>
      <xdr:row>158</xdr:row>
      <xdr:rowOff>176021</xdr:rowOff>
    </xdr:to>
    <xdr:sp macro="" textlink="">
      <xdr:nvSpPr>
        <xdr:cNvPr id="12" name="TextBox 11">
          <a:extLst>
            <a:ext uri="{FF2B5EF4-FFF2-40B4-BE49-F238E27FC236}">
              <a16:creationId xmlns:a16="http://schemas.microsoft.com/office/drawing/2014/main" id="{5519E58A-8A27-4CBE-B000-7AA1AD17D235}"/>
            </a:ext>
          </a:extLst>
        </xdr:cNvPr>
        <xdr:cNvSpPr txBox="1"/>
      </xdr:nvSpPr>
      <xdr:spPr>
        <a:xfrm>
          <a:off x="12525375" y="16040099"/>
          <a:ext cx="5797550" cy="273189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pPr eaLnBrk="1" fontAlgn="auto" latinLnBrk="0" hangingPunct="1"/>
          <a:r>
            <a:rPr lang="en-US" sz="1100" i="0" baseline="0">
              <a:solidFill>
                <a:schemeClr val="dk1"/>
              </a:solidFill>
              <a:effectLst/>
              <a:latin typeface="+mn-lt"/>
              <a:ea typeface="+mn-ea"/>
              <a:cs typeface="+mn-cs"/>
            </a:rPr>
            <a:t>The job creation potential of macroalgae in open water was taken from RMI internal modeling and company interviews. The number of R&amp;D jobs was calculated by assuming a fixed percentage of jobs for a company are R&amp;D jobs.</a:t>
          </a:r>
          <a:endParaRPr lang="en-US">
            <a:effectLst/>
          </a:endParaRPr>
        </a:p>
        <a:p>
          <a:pPr eaLnBrk="1" fontAlgn="auto" latinLnBrk="0" hangingPunct="1"/>
          <a:endParaRPr lang="en-US" sz="1100" i="0" baseline="0">
            <a:solidFill>
              <a:schemeClr val="dk1"/>
            </a:solidFill>
            <a:effectLst/>
            <a:latin typeface="+mn-lt"/>
            <a:ea typeface="+mn-ea"/>
            <a:cs typeface="+mn-cs"/>
          </a:endParaRPr>
        </a:p>
        <a:p>
          <a:pPr eaLnBrk="1" fontAlgn="auto" latinLnBrk="0" hangingPunct="1"/>
          <a:r>
            <a:rPr lang="en-US" sz="1100" i="0" baseline="0">
              <a:solidFill>
                <a:schemeClr val="dk1"/>
              </a:solidFill>
              <a:effectLst/>
              <a:latin typeface="+mn-lt"/>
              <a:ea typeface="+mn-ea"/>
              <a:cs typeface="+mn-cs"/>
            </a:rPr>
            <a:t>Data:</a:t>
          </a:r>
          <a:endParaRPr lang="en-US">
            <a:effectLst/>
          </a:endParaRPr>
        </a:p>
        <a:p>
          <a:pPr eaLnBrk="1" fontAlgn="auto" latinLnBrk="0" hangingPunct="1"/>
          <a:r>
            <a:rPr lang="en-US" sz="1100" i="0" baseline="0">
              <a:solidFill>
                <a:schemeClr val="dk1"/>
              </a:solidFill>
              <a:effectLst/>
              <a:latin typeface="+mn-lt"/>
              <a:ea typeface="+mn-ea"/>
              <a:cs typeface="+mn-cs"/>
            </a:rPr>
            <a:t>- jobs per Mtpa from company interviews</a:t>
          </a:r>
          <a:endParaRPr lang="en-US">
            <a:effectLst/>
          </a:endParaRPr>
        </a:p>
        <a:p>
          <a:pPr eaLnBrk="1" fontAlgn="auto" latinLnBrk="0" hangingPunct="1"/>
          <a:endParaRPr lang="en-US" sz="1100" i="0" baseline="0">
            <a:solidFill>
              <a:schemeClr val="dk1"/>
            </a:solidFill>
            <a:effectLst/>
            <a:latin typeface="+mn-lt"/>
            <a:ea typeface="+mn-ea"/>
            <a:cs typeface="+mn-cs"/>
          </a:endParaRPr>
        </a:p>
        <a:p>
          <a:pPr eaLnBrk="1" fontAlgn="auto" latinLnBrk="0" hangingPunct="1"/>
          <a:r>
            <a:rPr lang="en-US" sz="1100" i="0" baseline="0">
              <a:solidFill>
                <a:schemeClr val="dk1"/>
              </a:solidFill>
              <a:effectLst/>
              <a:latin typeface="+mn-lt"/>
              <a:ea typeface="+mn-ea"/>
              <a:cs typeface="+mn-cs"/>
            </a:rPr>
            <a:t>Assumptions</a:t>
          </a:r>
          <a:endParaRPr lang="en-US">
            <a:effectLst/>
          </a:endParaRPr>
        </a:p>
        <a:p>
          <a:pPr eaLnBrk="1" fontAlgn="auto" latinLnBrk="0" hangingPunct="1"/>
          <a:r>
            <a:rPr lang="en-US" sz="1100" i="0" baseline="0">
              <a:solidFill>
                <a:schemeClr val="dk1"/>
              </a:solidFill>
              <a:effectLst/>
              <a:latin typeface="+mn-lt"/>
              <a:ea typeface="+mn-ea"/>
              <a:cs typeface="+mn-cs"/>
            </a:rPr>
            <a:t>- R&amp;D jobs was calculated by assuming a fixed percentage of jobs (see R&amp;D jobs section)</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165</xdr:row>
      <xdr:rowOff>1</xdr:rowOff>
    </xdr:from>
    <xdr:to>
      <xdr:col>19</xdr:col>
      <xdr:colOff>311150</xdr:colOff>
      <xdr:row>169</xdr:row>
      <xdr:rowOff>333376</xdr:rowOff>
    </xdr:to>
    <xdr:sp macro="" textlink="">
      <xdr:nvSpPr>
        <xdr:cNvPr id="13" name="TextBox 3">
          <a:extLst>
            <a:ext uri="{FF2B5EF4-FFF2-40B4-BE49-F238E27FC236}">
              <a16:creationId xmlns:a16="http://schemas.microsoft.com/office/drawing/2014/main" id="{5059CCDE-C721-476C-AB88-19CDC9984A5B}"/>
            </a:ext>
          </a:extLst>
        </xdr:cNvPr>
        <xdr:cNvSpPr txBox="1"/>
      </xdr:nvSpPr>
      <xdr:spPr>
        <a:xfrm>
          <a:off x="12525375" y="33994726"/>
          <a:ext cx="5800725" cy="216852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The job creation potential of BECCS to electricity is taken from an existing report by the Rhodium Group. The number of R&amp;D jobs was calculated by assuming a fixed percentage of jobs for a company are R&amp;D jobs.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Data:</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jobs per Mtpa for jobs for </a:t>
          </a:r>
          <a:r>
            <a:rPr lang="en-US" sz="1100" i="0" baseline="0">
              <a:solidFill>
                <a:schemeClr val="dk1"/>
              </a:solidFill>
              <a:effectLst/>
              <a:latin typeface="+mn-lt"/>
              <a:ea typeface="+mn-ea"/>
              <a:cs typeface="+mn-cs"/>
            </a:rPr>
            <a:t>BECCS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a:t>
          </a:r>
          <a:r>
            <a:rPr lang="en-US" sz="1100" i="0" baseline="0">
              <a:solidFill>
                <a:schemeClr val="dk1"/>
              </a:solidFill>
              <a:effectLst/>
              <a:latin typeface="+mn-lt"/>
              <a:ea typeface="+mn-ea"/>
              <a:cs typeface="+mn-cs"/>
            </a:rPr>
            <a:t>R&amp;D jobs was calculated by assuming a fixed percentage of jobs (see R&amp;D jobs section)</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179</xdr:row>
      <xdr:rowOff>1</xdr:rowOff>
    </xdr:from>
    <xdr:to>
      <xdr:col>19</xdr:col>
      <xdr:colOff>311150</xdr:colOff>
      <xdr:row>183</xdr:row>
      <xdr:rowOff>333376</xdr:rowOff>
    </xdr:to>
    <xdr:sp macro="" textlink="">
      <xdr:nvSpPr>
        <xdr:cNvPr id="14" name="TextBox 3">
          <a:extLst>
            <a:ext uri="{FF2B5EF4-FFF2-40B4-BE49-F238E27FC236}">
              <a16:creationId xmlns:a16="http://schemas.microsoft.com/office/drawing/2014/main" id="{6A4B5F05-B3AB-4625-96A0-93DD5D013637}"/>
            </a:ext>
          </a:extLst>
        </xdr:cNvPr>
        <xdr:cNvSpPr txBox="1"/>
      </xdr:nvSpPr>
      <xdr:spPr>
        <a:xfrm>
          <a:off x="12525375" y="44777026"/>
          <a:ext cx="5800725" cy="216852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The job creation potential of BECCS to fuels is taken from an existing report by the Rhodium Group. The number of R&amp;D jobs was calculated by assuming a fixed percentage of jobs for a company are R&amp;D jobs.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Data:</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jobs per Mtpa for jobs for </a:t>
          </a:r>
          <a:r>
            <a:rPr lang="en-US" sz="1100" i="0" baseline="0">
              <a:solidFill>
                <a:schemeClr val="dk1"/>
              </a:solidFill>
              <a:effectLst/>
              <a:latin typeface="+mn-lt"/>
              <a:ea typeface="+mn-ea"/>
              <a:cs typeface="+mn-cs"/>
            </a:rPr>
            <a:t>BECCS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a:t>
          </a:r>
          <a:r>
            <a:rPr lang="en-US" sz="1100" i="0" baseline="0">
              <a:solidFill>
                <a:schemeClr val="dk1"/>
              </a:solidFill>
              <a:effectLst/>
              <a:latin typeface="+mn-lt"/>
              <a:ea typeface="+mn-ea"/>
              <a:cs typeface="+mn-cs"/>
            </a:rPr>
            <a:t>R&amp;D jobs was calculated by assuming a fixed percentage of jobs (see R&amp;D jobs section)</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193</xdr:row>
      <xdr:rowOff>1</xdr:rowOff>
    </xdr:from>
    <xdr:to>
      <xdr:col>19</xdr:col>
      <xdr:colOff>314325</xdr:colOff>
      <xdr:row>198</xdr:row>
      <xdr:rowOff>28575</xdr:rowOff>
    </xdr:to>
    <xdr:sp macro="" textlink="">
      <xdr:nvSpPr>
        <xdr:cNvPr id="15" name="TextBox 3">
          <a:extLst>
            <a:ext uri="{FF2B5EF4-FFF2-40B4-BE49-F238E27FC236}">
              <a16:creationId xmlns:a16="http://schemas.microsoft.com/office/drawing/2014/main" id="{04062927-FD08-4510-9EB7-0FAD6BBE4B87}"/>
            </a:ext>
          </a:extLst>
        </xdr:cNvPr>
        <xdr:cNvSpPr txBox="1"/>
      </xdr:nvSpPr>
      <xdr:spPr>
        <a:xfrm>
          <a:off x="12525375" y="54397276"/>
          <a:ext cx="5800725" cy="2571749"/>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The job creation potential of surficial mineralization is taken from an existing report by the Rhodium Group, </a:t>
          </a:r>
          <a:r>
            <a:rPr lang="en-US" sz="1100">
              <a:solidFill>
                <a:schemeClr val="dk1"/>
              </a:solidFill>
              <a:effectLst/>
              <a:latin typeface="+mn-lt"/>
              <a:ea typeface="+mn-ea"/>
              <a:cs typeface="+mn-cs"/>
            </a:rPr>
            <a:t>assuming a similar job creation profile as terrestrial enhanced weathering. Making this assumption implies that the surficial mineralization process will include operators using industrial equipment to spread out alkaline minerals and to measure and monitor CO</a:t>
          </a:r>
          <a:r>
            <a:rPr lang="en-US" sz="1100" baseline="-25000">
              <a:solidFill>
                <a:schemeClr val="dk1"/>
              </a:solidFill>
              <a:effectLst/>
              <a:latin typeface="+mn-lt"/>
              <a:ea typeface="+mn-ea"/>
              <a:cs typeface="+mn-cs"/>
            </a:rPr>
            <a:t>2</a:t>
          </a:r>
          <a:r>
            <a:rPr lang="en-US" sz="1100">
              <a:solidFill>
                <a:schemeClr val="dk1"/>
              </a:solidFill>
              <a:effectLst/>
              <a:latin typeface="+mn-lt"/>
              <a:ea typeface="+mn-ea"/>
              <a:cs typeface="+mn-cs"/>
            </a:rPr>
            <a:t> uptake. </a:t>
          </a:r>
          <a:r>
            <a:rPr lang="en-US" sz="1100" i="0" baseline="0">
              <a:solidFill>
                <a:sysClr val="windowText" lastClr="000000"/>
              </a:solidFill>
              <a:effectLst/>
              <a:latin typeface="+mn-lt"/>
              <a:ea typeface="+mn-ea"/>
              <a:cs typeface="+mn-cs"/>
            </a:rPr>
            <a:t>The number of R&amp;D jobs was calculated by assuming a fixed percentage of jobs for a company are R&amp;D jobs.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Data:</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jobs per Mtpa for jobs for </a:t>
          </a:r>
          <a:r>
            <a:rPr lang="en-US" sz="1100" i="0" baseline="0">
              <a:solidFill>
                <a:schemeClr val="dk1"/>
              </a:solidFill>
              <a:effectLst/>
              <a:latin typeface="+mn-lt"/>
              <a:ea typeface="+mn-ea"/>
              <a:cs typeface="+mn-cs"/>
            </a:rPr>
            <a:t>terrestrial enhanced weathering</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a:t>
          </a:r>
          <a:r>
            <a:rPr lang="en-US" sz="1100" i="0" baseline="0">
              <a:solidFill>
                <a:schemeClr val="dk1"/>
              </a:solidFill>
              <a:effectLst/>
              <a:latin typeface="+mn-lt"/>
              <a:ea typeface="+mn-ea"/>
              <a:cs typeface="+mn-cs"/>
            </a:rPr>
            <a:t>R&amp;D jobs was calculated by assuming a fixed percentage of jobs (see R&amp;D jobs section)</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chemeClr val="dk1"/>
              </a:solidFill>
              <a:effectLst/>
              <a:latin typeface="+mn-lt"/>
              <a:ea typeface="+mn-ea"/>
              <a:cs typeface="+mn-cs"/>
            </a:rPr>
            <a:t>- </a:t>
          </a:r>
          <a:r>
            <a:rPr lang="en-US" sz="1100">
              <a:solidFill>
                <a:schemeClr val="dk1"/>
              </a:solidFill>
              <a:effectLst/>
              <a:latin typeface="+mn-lt"/>
              <a:ea typeface="+mn-ea"/>
              <a:cs typeface="+mn-cs"/>
            </a:rPr>
            <a:t>the surficial mineralization process will include operators using industrial equipment to spread out alkaline minerals and to measure and monitor CO</a:t>
          </a:r>
          <a:r>
            <a:rPr lang="en-US" sz="1100" baseline="-25000">
              <a:solidFill>
                <a:schemeClr val="dk1"/>
              </a:solidFill>
              <a:effectLst/>
              <a:latin typeface="+mn-lt"/>
              <a:ea typeface="+mn-ea"/>
              <a:cs typeface="+mn-cs"/>
            </a:rPr>
            <a:t>2</a:t>
          </a:r>
          <a:r>
            <a:rPr lang="en-US" sz="1100">
              <a:solidFill>
                <a:schemeClr val="dk1"/>
              </a:solidFill>
              <a:effectLst/>
              <a:latin typeface="+mn-lt"/>
              <a:ea typeface="+mn-ea"/>
              <a:cs typeface="+mn-cs"/>
            </a:rPr>
            <a:t> uptake</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207</xdr:row>
      <xdr:rowOff>0</xdr:rowOff>
    </xdr:from>
    <xdr:to>
      <xdr:col>19</xdr:col>
      <xdr:colOff>311150</xdr:colOff>
      <xdr:row>212</xdr:row>
      <xdr:rowOff>85724</xdr:rowOff>
    </xdr:to>
    <xdr:sp macro="" textlink="">
      <xdr:nvSpPr>
        <xdr:cNvPr id="16" name="TextBox 3">
          <a:extLst>
            <a:ext uri="{FF2B5EF4-FFF2-40B4-BE49-F238E27FC236}">
              <a16:creationId xmlns:a16="http://schemas.microsoft.com/office/drawing/2014/main" id="{D6379F91-6303-4ABB-83CA-EF99F2ADB479}"/>
            </a:ext>
          </a:extLst>
        </xdr:cNvPr>
        <xdr:cNvSpPr txBox="1"/>
      </xdr:nvSpPr>
      <xdr:spPr>
        <a:xfrm>
          <a:off x="12525375" y="59207400"/>
          <a:ext cx="5797550" cy="2628899"/>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The job creation potential of terrestrial enhanced weathering is taken from an existing report by the Rhodium Group. The number of R&amp;D jobs was calculated by assuming a fixed percentage of jobs for a company are R&amp;D jobs.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Data:</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jobs per Mtpa for jobs for </a:t>
          </a:r>
          <a:r>
            <a:rPr lang="en-US" sz="1100" i="0" baseline="0">
              <a:solidFill>
                <a:schemeClr val="dk1"/>
              </a:solidFill>
              <a:effectLst/>
              <a:latin typeface="+mn-lt"/>
              <a:ea typeface="+mn-ea"/>
              <a:cs typeface="+mn-cs"/>
            </a:rPr>
            <a:t>terrestrial enhanced weathering</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a:t>
          </a:r>
          <a:r>
            <a:rPr lang="en-US" sz="1100" i="0" baseline="0">
              <a:solidFill>
                <a:schemeClr val="dk1"/>
              </a:solidFill>
              <a:effectLst/>
              <a:latin typeface="+mn-lt"/>
              <a:ea typeface="+mn-ea"/>
              <a:cs typeface="+mn-cs"/>
            </a:rPr>
            <a:t>R&amp;D jobs was calculated by assuming a fixed percentage of jobs (see R&amp;D jobs section)</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221</xdr:row>
      <xdr:rowOff>1</xdr:rowOff>
    </xdr:from>
    <xdr:to>
      <xdr:col>19</xdr:col>
      <xdr:colOff>314325</xdr:colOff>
      <xdr:row>226</xdr:row>
      <xdr:rowOff>28575</xdr:rowOff>
    </xdr:to>
    <xdr:sp macro="" textlink="">
      <xdr:nvSpPr>
        <xdr:cNvPr id="17" name="TextBox 3">
          <a:extLst>
            <a:ext uri="{FF2B5EF4-FFF2-40B4-BE49-F238E27FC236}">
              <a16:creationId xmlns:a16="http://schemas.microsoft.com/office/drawing/2014/main" id="{ABC4AEC9-900E-4530-967E-B7F6C5336858}"/>
            </a:ext>
          </a:extLst>
        </xdr:cNvPr>
        <xdr:cNvSpPr txBox="1"/>
      </xdr:nvSpPr>
      <xdr:spPr>
        <a:xfrm>
          <a:off x="12525375" y="54397276"/>
          <a:ext cx="5797550" cy="256857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The job creation potential of coastal enhanced weathering is taken from an existing report by the Rhodium Group, </a:t>
          </a:r>
          <a:r>
            <a:rPr lang="en-US" sz="1100">
              <a:solidFill>
                <a:schemeClr val="dk1"/>
              </a:solidFill>
              <a:effectLst/>
              <a:latin typeface="+mn-lt"/>
              <a:ea typeface="+mn-ea"/>
              <a:cs typeface="+mn-cs"/>
            </a:rPr>
            <a:t>assuming a similar job creation profile as terrestrial enhanced weathering. </a:t>
          </a:r>
          <a:r>
            <a:rPr lang="en-US" sz="1100" i="0" baseline="0">
              <a:solidFill>
                <a:sysClr val="windowText" lastClr="000000"/>
              </a:solidFill>
              <a:effectLst/>
              <a:latin typeface="+mn-lt"/>
              <a:ea typeface="+mn-ea"/>
              <a:cs typeface="+mn-cs"/>
            </a:rPr>
            <a:t>The number of R&amp;D jobs was calculated by assuming a fixed percentage of jobs for a company are R&amp;D jobs.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Data:</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jobs per Mtpa for jobs for </a:t>
          </a:r>
          <a:r>
            <a:rPr lang="en-US" sz="1100" i="0" baseline="0">
              <a:solidFill>
                <a:schemeClr val="dk1"/>
              </a:solidFill>
              <a:effectLst/>
              <a:latin typeface="+mn-lt"/>
              <a:ea typeface="+mn-ea"/>
              <a:cs typeface="+mn-cs"/>
            </a:rPr>
            <a:t>terrestrial enhanced weathering</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a:t>
          </a:r>
          <a:r>
            <a:rPr lang="en-US" sz="1100" i="0" baseline="0">
              <a:solidFill>
                <a:schemeClr val="dk1"/>
              </a:solidFill>
              <a:effectLst/>
              <a:latin typeface="+mn-lt"/>
              <a:ea typeface="+mn-ea"/>
              <a:cs typeface="+mn-cs"/>
            </a:rPr>
            <a:t>R&amp;D jobs was calculated by assuming a fixed percentage of jobs (see R&amp;D jobs section)</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chemeClr val="dk1"/>
              </a:solidFill>
              <a:effectLst/>
              <a:latin typeface="+mn-lt"/>
              <a:ea typeface="+mn-ea"/>
              <a:cs typeface="+mn-cs"/>
            </a:rPr>
            <a:t>- </a:t>
          </a:r>
          <a:r>
            <a:rPr lang="en-US" sz="1100">
              <a:solidFill>
                <a:schemeClr val="dk1"/>
              </a:solidFill>
              <a:effectLst/>
              <a:latin typeface="+mn-lt"/>
              <a:ea typeface="+mn-ea"/>
              <a:cs typeface="+mn-cs"/>
            </a:rPr>
            <a:t>the coastal enhanced weathering process creates a similar job profile to terrestrial</a:t>
          </a:r>
          <a:r>
            <a:rPr lang="en-US" sz="1100" baseline="0">
              <a:solidFill>
                <a:schemeClr val="dk1"/>
              </a:solidFill>
              <a:effectLst/>
              <a:latin typeface="+mn-lt"/>
              <a:ea typeface="+mn-ea"/>
              <a:cs typeface="+mn-cs"/>
            </a:rPr>
            <a:t> enhanced weathering</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235</xdr:row>
      <xdr:rowOff>0</xdr:rowOff>
    </xdr:from>
    <xdr:to>
      <xdr:col>19</xdr:col>
      <xdr:colOff>311150</xdr:colOff>
      <xdr:row>240</xdr:row>
      <xdr:rowOff>85724</xdr:rowOff>
    </xdr:to>
    <xdr:sp macro="" textlink="">
      <xdr:nvSpPr>
        <xdr:cNvPr id="18" name="TextBox 3">
          <a:extLst>
            <a:ext uri="{FF2B5EF4-FFF2-40B4-BE49-F238E27FC236}">
              <a16:creationId xmlns:a16="http://schemas.microsoft.com/office/drawing/2014/main" id="{17C86CB5-9698-4BFA-9F48-56A703768D30}"/>
            </a:ext>
          </a:extLst>
        </xdr:cNvPr>
        <xdr:cNvSpPr txBox="1"/>
      </xdr:nvSpPr>
      <xdr:spPr>
        <a:xfrm>
          <a:off x="12525375" y="59207400"/>
          <a:ext cx="5800725" cy="263207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The job creation potential of mineral alkalinity enhancement is taken from an existing report by the Rhodium Group, where it is referred to as part of OAE. The number of R&amp;D jobs was calculated by assuming a fixed percentage of jobs for a company are R&amp;D jobs.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Data:</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jobs per Mtpa for jobs for ocean alkalinity enhancement</a:t>
          </a:r>
          <a:endParaRPr lang="en-US" sz="110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a:t>
          </a:r>
          <a:r>
            <a:rPr lang="en-US" sz="1100" i="0" baseline="0">
              <a:solidFill>
                <a:schemeClr val="dk1"/>
              </a:solidFill>
              <a:effectLst/>
              <a:latin typeface="+mn-lt"/>
              <a:ea typeface="+mn-ea"/>
              <a:cs typeface="+mn-cs"/>
            </a:rPr>
            <a:t>R&amp;D jobs was calculated by assuming a fixed percentage of jobs (see R&amp;D jobs section)</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249</xdr:row>
      <xdr:rowOff>0</xdr:rowOff>
    </xdr:from>
    <xdr:to>
      <xdr:col>19</xdr:col>
      <xdr:colOff>311150</xdr:colOff>
      <xdr:row>254</xdr:row>
      <xdr:rowOff>85724</xdr:rowOff>
    </xdr:to>
    <xdr:sp macro="" textlink="">
      <xdr:nvSpPr>
        <xdr:cNvPr id="19" name="TextBox 3">
          <a:extLst>
            <a:ext uri="{FF2B5EF4-FFF2-40B4-BE49-F238E27FC236}">
              <a16:creationId xmlns:a16="http://schemas.microsoft.com/office/drawing/2014/main" id="{9E0055A9-1A50-4B7C-ADD6-EC2BD7E96685}"/>
            </a:ext>
          </a:extLst>
        </xdr:cNvPr>
        <xdr:cNvSpPr txBox="1"/>
      </xdr:nvSpPr>
      <xdr:spPr>
        <a:xfrm>
          <a:off x="12525375" y="68827650"/>
          <a:ext cx="5800725" cy="263207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The job creation potential of CO2 stripping is taken from an existing report by the Rhodium Group, where it is referred to as DOC. The number of R&amp;D jobs was calculated by assuming a fixed percentage of jobs for a company are R&amp;D jobs.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Data:</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jobs per Mtpa for jobs for DOC</a:t>
          </a:r>
          <a:endParaRPr lang="en-US" sz="110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a:t>
          </a:r>
          <a:r>
            <a:rPr lang="en-US" sz="1100" i="0" baseline="0">
              <a:solidFill>
                <a:schemeClr val="dk1"/>
              </a:solidFill>
              <a:effectLst/>
              <a:latin typeface="+mn-lt"/>
              <a:ea typeface="+mn-ea"/>
              <a:cs typeface="+mn-cs"/>
            </a:rPr>
            <a:t>R&amp;D jobs was calculated by assuming a fixed percentage of jobs (see R&amp;D jobs section)</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263</xdr:row>
      <xdr:rowOff>0</xdr:rowOff>
    </xdr:from>
    <xdr:to>
      <xdr:col>19</xdr:col>
      <xdr:colOff>311150</xdr:colOff>
      <xdr:row>268</xdr:row>
      <xdr:rowOff>85724</xdr:rowOff>
    </xdr:to>
    <xdr:sp macro="" textlink="">
      <xdr:nvSpPr>
        <xdr:cNvPr id="20" name="TextBox 3">
          <a:extLst>
            <a:ext uri="{FF2B5EF4-FFF2-40B4-BE49-F238E27FC236}">
              <a16:creationId xmlns:a16="http://schemas.microsoft.com/office/drawing/2014/main" id="{7B575619-C6FD-402B-884A-F4B7CA4FECD5}"/>
            </a:ext>
          </a:extLst>
        </xdr:cNvPr>
        <xdr:cNvSpPr txBox="1"/>
      </xdr:nvSpPr>
      <xdr:spPr>
        <a:xfrm>
          <a:off x="12525375" y="68827650"/>
          <a:ext cx="5800725" cy="263207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The job creation potential of electrochemical alkalinity production is taken from an existing report by the Rhodium Group, where it is referred to as part of OAE. The number of R&amp;D jobs was calculated by assuming a fixed percentage of jobs for a company are R&amp;D jobs.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Data:</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jobs per Mtpa for jobs for ocean alkalinity enhancement</a:t>
          </a:r>
          <a:endParaRPr lang="en-US" sz="110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a:t>
          </a:r>
          <a:r>
            <a:rPr lang="en-US" sz="1100" i="0" baseline="0">
              <a:solidFill>
                <a:schemeClr val="dk1"/>
              </a:solidFill>
              <a:effectLst/>
              <a:latin typeface="+mn-lt"/>
              <a:ea typeface="+mn-ea"/>
              <a:cs typeface="+mn-cs"/>
            </a:rPr>
            <a:t>R&amp;D jobs was calculated by assuming a fixed percentage of jobs (see R&amp;D jobs section)</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277</xdr:row>
      <xdr:rowOff>0</xdr:rowOff>
    </xdr:from>
    <xdr:to>
      <xdr:col>19</xdr:col>
      <xdr:colOff>314325</xdr:colOff>
      <xdr:row>281</xdr:row>
      <xdr:rowOff>209550</xdr:rowOff>
    </xdr:to>
    <xdr:sp macro="" textlink="">
      <xdr:nvSpPr>
        <xdr:cNvPr id="21" name="TextBox 3">
          <a:extLst>
            <a:ext uri="{FF2B5EF4-FFF2-40B4-BE49-F238E27FC236}">
              <a16:creationId xmlns:a16="http://schemas.microsoft.com/office/drawing/2014/main" id="{D7DBB08C-34FF-426F-AA22-DC08373B17C8}"/>
            </a:ext>
          </a:extLst>
        </xdr:cNvPr>
        <xdr:cNvSpPr txBox="1"/>
      </xdr:nvSpPr>
      <xdr:spPr>
        <a:xfrm>
          <a:off x="12525375" y="83258025"/>
          <a:ext cx="5800725" cy="20478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The job creation potential of direct air capture (DAC) is taken from an existing report by the Rhodium Group. The number of R&amp;D jobs was calculated by assuming a fixed percentage of jobs for a company are R&amp;D jobs.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Data:</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jobs per Mtpa for jobs for DAC</a:t>
          </a:r>
          <a:endParaRPr lang="en-US" sz="110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a:t>
          </a:r>
          <a:r>
            <a:rPr lang="en-US" sz="1100" i="0" baseline="0">
              <a:solidFill>
                <a:schemeClr val="dk1"/>
              </a:solidFill>
              <a:effectLst/>
              <a:latin typeface="+mn-lt"/>
              <a:ea typeface="+mn-ea"/>
              <a:cs typeface="+mn-cs"/>
            </a:rPr>
            <a:t>R&amp;D jobs was calculated by assuming a fixed percentage of jobs (see R&amp;D jobs section)</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291</xdr:row>
      <xdr:rowOff>0</xdr:rowOff>
    </xdr:from>
    <xdr:to>
      <xdr:col>19</xdr:col>
      <xdr:colOff>311150</xdr:colOff>
      <xdr:row>295</xdr:row>
      <xdr:rowOff>542926</xdr:rowOff>
    </xdr:to>
    <xdr:sp macro="" textlink="">
      <xdr:nvSpPr>
        <xdr:cNvPr id="22" name="TextBox 21">
          <a:extLst>
            <a:ext uri="{FF2B5EF4-FFF2-40B4-BE49-F238E27FC236}">
              <a16:creationId xmlns:a16="http://schemas.microsoft.com/office/drawing/2014/main" id="{7FFFE9F4-F564-4432-B77C-78592A81B558}"/>
            </a:ext>
          </a:extLst>
        </xdr:cNvPr>
        <xdr:cNvSpPr txBox="1"/>
      </xdr:nvSpPr>
      <xdr:spPr>
        <a:xfrm>
          <a:off x="12525375" y="88068150"/>
          <a:ext cx="5797550" cy="2028826"/>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pPr eaLnBrk="1" fontAlgn="auto" latinLnBrk="0" hangingPunct="1"/>
          <a:r>
            <a:rPr lang="en-US" sz="1100" i="0" baseline="0">
              <a:solidFill>
                <a:schemeClr val="dk1"/>
              </a:solidFill>
              <a:effectLst/>
              <a:latin typeface="+mn-lt"/>
              <a:ea typeface="+mn-ea"/>
              <a:cs typeface="+mn-cs"/>
            </a:rPr>
            <a:t>The job creation potential of conventional CO2 storage was taken from RMI internal modeling and company interviews. The number of R&amp;D jobs was calculated by assuming a fixed percentage of jobs for a company are R&amp;D jobs.</a:t>
          </a:r>
          <a:endParaRPr lang="en-US">
            <a:effectLst/>
          </a:endParaRPr>
        </a:p>
        <a:p>
          <a:pPr eaLnBrk="1" fontAlgn="auto" latinLnBrk="0" hangingPunct="1"/>
          <a:endParaRPr lang="en-US" sz="1100" i="0" baseline="0">
            <a:solidFill>
              <a:schemeClr val="dk1"/>
            </a:solidFill>
            <a:effectLst/>
            <a:latin typeface="+mn-lt"/>
            <a:ea typeface="+mn-ea"/>
            <a:cs typeface="+mn-cs"/>
          </a:endParaRPr>
        </a:p>
        <a:p>
          <a:pPr eaLnBrk="1" fontAlgn="auto" latinLnBrk="0" hangingPunct="1"/>
          <a:r>
            <a:rPr lang="en-US" sz="1100" i="0" baseline="0">
              <a:solidFill>
                <a:schemeClr val="dk1"/>
              </a:solidFill>
              <a:effectLst/>
              <a:latin typeface="+mn-lt"/>
              <a:ea typeface="+mn-ea"/>
              <a:cs typeface="+mn-cs"/>
            </a:rPr>
            <a:t>Data:</a:t>
          </a:r>
          <a:endParaRPr lang="en-US">
            <a:effectLst/>
          </a:endParaRPr>
        </a:p>
        <a:p>
          <a:pPr eaLnBrk="1" fontAlgn="auto" latinLnBrk="0" hangingPunct="1"/>
          <a:r>
            <a:rPr lang="en-US" sz="1100" i="0" baseline="0">
              <a:solidFill>
                <a:schemeClr val="dk1"/>
              </a:solidFill>
              <a:effectLst/>
              <a:latin typeface="+mn-lt"/>
              <a:ea typeface="+mn-ea"/>
              <a:cs typeface="+mn-cs"/>
            </a:rPr>
            <a:t>- jobs per Mtpa from company interviews</a:t>
          </a:r>
          <a:endParaRPr lang="en-US">
            <a:effectLst/>
          </a:endParaRPr>
        </a:p>
        <a:p>
          <a:pPr eaLnBrk="1" fontAlgn="auto" latinLnBrk="0" hangingPunct="1"/>
          <a:endParaRPr lang="en-US" sz="1100" i="0" baseline="0">
            <a:solidFill>
              <a:schemeClr val="dk1"/>
            </a:solidFill>
            <a:effectLst/>
            <a:latin typeface="+mn-lt"/>
            <a:ea typeface="+mn-ea"/>
            <a:cs typeface="+mn-cs"/>
          </a:endParaRPr>
        </a:p>
        <a:p>
          <a:pPr eaLnBrk="1" fontAlgn="auto" latinLnBrk="0" hangingPunct="1"/>
          <a:r>
            <a:rPr lang="en-US" sz="1100" i="0" baseline="0">
              <a:solidFill>
                <a:schemeClr val="dk1"/>
              </a:solidFill>
              <a:effectLst/>
              <a:latin typeface="+mn-lt"/>
              <a:ea typeface="+mn-ea"/>
              <a:cs typeface="+mn-cs"/>
            </a:rPr>
            <a:t>Assumptions</a:t>
          </a:r>
          <a:endParaRPr lang="en-US">
            <a:effectLst/>
          </a:endParaRPr>
        </a:p>
        <a:p>
          <a:pPr eaLnBrk="1" fontAlgn="auto" latinLnBrk="0" hangingPunct="1"/>
          <a:r>
            <a:rPr lang="en-US" sz="1100" i="0" baseline="0">
              <a:solidFill>
                <a:schemeClr val="dk1"/>
              </a:solidFill>
              <a:effectLst/>
              <a:latin typeface="+mn-lt"/>
              <a:ea typeface="+mn-ea"/>
              <a:cs typeface="+mn-cs"/>
            </a:rPr>
            <a:t>- R&amp;D jobs was calculated by assuming a fixed percentage of jobs (see R&amp;D jobs section)</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304</xdr:row>
      <xdr:rowOff>190499</xdr:rowOff>
    </xdr:from>
    <xdr:to>
      <xdr:col>19</xdr:col>
      <xdr:colOff>311150</xdr:colOff>
      <xdr:row>309</xdr:row>
      <xdr:rowOff>495300</xdr:rowOff>
    </xdr:to>
    <xdr:sp macro="" textlink="">
      <xdr:nvSpPr>
        <xdr:cNvPr id="23" name="TextBox 22">
          <a:extLst>
            <a:ext uri="{FF2B5EF4-FFF2-40B4-BE49-F238E27FC236}">
              <a16:creationId xmlns:a16="http://schemas.microsoft.com/office/drawing/2014/main" id="{AC031DB4-A47A-4DB9-898A-43257E7740AB}"/>
            </a:ext>
          </a:extLst>
        </xdr:cNvPr>
        <xdr:cNvSpPr txBox="1"/>
      </xdr:nvSpPr>
      <xdr:spPr>
        <a:xfrm>
          <a:off x="12525375" y="91963874"/>
          <a:ext cx="5797550" cy="198120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pPr eaLnBrk="1" fontAlgn="auto" latinLnBrk="0" hangingPunct="1"/>
          <a:r>
            <a:rPr lang="en-US" sz="1100" i="0" baseline="0">
              <a:solidFill>
                <a:schemeClr val="dk1"/>
              </a:solidFill>
              <a:effectLst/>
              <a:latin typeface="+mn-lt"/>
              <a:ea typeface="+mn-ea"/>
              <a:cs typeface="+mn-cs"/>
            </a:rPr>
            <a:t>The job creation potential of in-situ mineralization was taken from RMI internal modeling and company interviews. The number of R&amp;D jobs was calculated by assuming a fixed percentage of jobs for a company are R&amp;D jobs.</a:t>
          </a:r>
          <a:endParaRPr lang="en-US">
            <a:effectLst/>
          </a:endParaRPr>
        </a:p>
        <a:p>
          <a:pPr eaLnBrk="1" fontAlgn="auto" latinLnBrk="0" hangingPunct="1"/>
          <a:endParaRPr lang="en-US" sz="1100" i="0" baseline="0">
            <a:solidFill>
              <a:schemeClr val="dk1"/>
            </a:solidFill>
            <a:effectLst/>
            <a:latin typeface="+mn-lt"/>
            <a:ea typeface="+mn-ea"/>
            <a:cs typeface="+mn-cs"/>
          </a:endParaRPr>
        </a:p>
        <a:p>
          <a:pPr eaLnBrk="1" fontAlgn="auto" latinLnBrk="0" hangingPunct="1"/>
          <a:r>
            <a:rPr lang="en-US" sz="1100" i="0" baseline="0">
              <a:solidFill>
                <a:schemeClr val="dk1"/>
              </a:solidFill>
              <a:effectLst/>
              <a:latin typeface="+mn-lt"/>
              <a:ea typeface="+mn-ea"/>
              <a:cs typeface="+mn-cs"/>
            </a:rPr>
            <a:t>Data:</a:t>
          </a:r>
          <a:endParaRPr lang="en-US">
            <a:effectLst/>
          </a:endParaRPr>
        </a:p>
        <a:p>
          <a:pPr eaLnBrk="1" fontAlgn="auto" latinLnBrk="0" hangingPunct="1"/>
          <a:r>
            <a:rPr lang="en-US" sz="1100" i="0" baseline="0">
              <a:solidFill>
                <a:schemeClr val="dk1"/>
              </a:solidFill>
              <a:effectLst/>
              <a:latin typeface="+mn-lt"/>
              <a:ea typeface="+mn-ea"/>
              <a:cs typeface="+mn-cs"/>
            </a:rPr>
            <a:t>- jobs per Mtpa from company interviews</a:t>
          </a:r>
          <a:endParaRPr lang="en-US">
            <a:effectLst/>
          </a:endParaRPr>
        </a:p>
        <a:p>
          <a:pPr eaLnBrk="1" fontAlgn="auto" latinLnBrk="0" hangingPunct="1"/>
          <a:endParaRPr lang="en-US" sz="1100" i="0" baseline="0">
            <a:solidFill>
              <a:schemeClr val="dk1"/>
            </a:solidFill>
            <a:effectLst/>
            <a:latin typeface="+mn-lt"/>
            <a:ea typeface="+mn-ea"/>
            <a:cs typeface="+mn-cs"/>
          </a:endParaRPr>
        </a:p>
        <a:p>
          <a:pPr eaLnBrk="1" fontAlgn="auto" latinLnBrk="0" hangingPunct="1"/>
          <a:r>
            <a:rPr lang="en-US" sz="1100" i="0" baseline="0">
              <a:solidFill>
                <a:schemeClr val="dk1"/>
              </a:solidFill>
              <a:effectLst/>
              <a:latin typeface="+mn-lt"/>
              <a:ea typeface="+mn-ea"/>
              <a:cs typeface="+mn-cs"/>
            </a:rPr>
            <a:t>Assumptions</a:t>
          </a:r>
          <a:endParaRPr lang="en-US">
            <a:effectLst/>
          </a:endParaRPr>
        </a:p>
        <a:p>
          <a:pPr eaLnBrk="1" fontAlgn="auto" latinLnBrk="0" hangingPunct="1"/>
          <a:r>
            <a:rPr lang="en-US" sz="1100" i="0" baseline="0">
              <a:solidFill>
                <a:schemeClr val="dk1"/>
              </a:solidFill>
              <a:effectLst/>
              <a:latin typeface="+mn-lt"/>
              <a:ea typeface="+mn-ea"/>
              <a:cs typeface="+mn-cs"/>
            </a:rPr>
            <a:t>- R&amp;D jobs was calculated by assuming a fixed percentage of jobs (see R&amp;D jobs section)</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319</xdr:row>
      <xdr:rowOff>0</xdr:rowOff>
    </xdr:from>
    <xdr:to>
      <xdr:col>19</xdr:col>
      <xdr:colOff>311150</xdr:colOff>
      <xdr:row>324</xdr:row>
      <xdr:rowOff>85724</xdr:rowOff>
    </xdr:to>
    <xdr:sp macro="" textlink="">
      <xdr:nvSpPr>
        <xdr:cNvPr id="24" name="TextBox 3">
          <a:extLst>
            <a:ext uri="{FF2B5EF4-FFF2-40B4-BE49-F238E27FC236}">
              <a16:creationId xmlns:a16="http://schemas.microsoft.com/office/drawing/2014/main" id="{F331B0ED-03BB-444E-8B05-D1D261946AAE}"/>
            </a:ext>
          </a:extLst>
        </xdr:cNvPr>
        <xdr:cNvSpPr txBox="1"/>
      </xdr:nvSpPr>
      <xdr:spPr>
        <a:xfrm>
          <a:off x="12525375" y="83258025"/>
          <a:ext cx="5800725" cy="263207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The job creation potential of ex-situ mineralization is taken from an existing report by the Rhodium Group, assuming a similar job creation profile to DAC. This assumption is based on viewing both DAC and ex-situ mineralization facilities as plants that take in CO2 and return a product. The number of R&amp;D jobs was calculated by assuming a fixed percentage of jobs for a company are R&amp;D jobs.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Data:</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jobs per Mtpa for jobs for DAC</a:t>
          </a:r>
          <a:endParaRPr lang="en-US" sz="110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ysClr val="windowText" lastClr="000000"/>
              </a:solidFill>
              <a:effectLst/>
              <a:latin typeface="+mn-lt"/>
              <a:ea typeface="+mn-ea"/>
              <a:cs typeface="+mn-cs"/>
            </a:rPr>
            <a:t>- </a:t>
          </a:r>
          <a:r>
            <a:rPr lang="en-US" sz="1100" i="0" baseline="0">
              <a:solidFill>
                <a:schemeClr val="dk1"/>
              </a:solidFill>
              <a:effectLst/>
              <a:latin typeface="+mn-lt"/>
              <a:ea typeface="+mn-ea"/>
              <a:cs typeface="+mn-cs"/>
            </a:rPr>
            <a:t>R&amp;D jobs was calculated by assuming a fixed percentage of jobs (see R&amp;D jobs section)</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twoCellAnchor>
    <xdr:from>
      <xdr:col>10</xdr:col>
      <xdr:colOff>0</xdr:colOff>
      <xdr:row>129</xdr:row>
      <xdr:rowOff>190499</xdr:rowOff>
    </xdr:from>
    <xdr:to>
      <xdr:col>19</xdr:col>
      <xdr:colOff>311150</xdr:colOff>
      <xdr:row>134</xdr:row>
      <xdr:rowOff>666750</xdr:rowOff>
    </xdr:to>
    <xdr:sp macro="" textlink="">
      <xdr:nvSpPr>
        <xdr:cNvPr id="26" name="TextBox 25">
          <a:extLst>
            <a:ext uri="{FF2B5EF4-FFF2-40B4-BE49-F238E27FC236}">
              <a16:creationId xmlns:a16="http://schemas.microsoft.com/office/drawing/2014/main" id="{D2B2ACDE-4148-453C-9BC5-2C6F945E40F0}"/>
            </a:ext>
          </a:extLst>
        </xdr:cNvPr>
        <xdr:cNvSpPr txBox="1"/>
      </xdr:nvSpPr>
      <xdr:spPr>
        <a:xfrm>
          <a:off x="12592050" y="38804849"/>
          <a:ext cx="5797550" cy="2695576"/>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a:t>
          </a:r>
          <a:r>
            <a:rPr lang="en-US" sz="1100" b="1" baseline="0"/>
            <a:t> and assumptions:</a:t>
          </a:r>
        </a:p>
        <a:p>
          <a:pPr eaLnBrk="1" fontAlgn="auto" latinLnBrk="0" hangingPunct="1"/>
          <a:r>
            <a:rPr lang="en-US" sz="1100" i="0" baseline="0">
              <a:solidFill>
                <a:schemeClr val="dk1"/>
              </a:solidFill>
              <a:effectLst/>
              <a:latin typeface="+mn-lt"/>
              <a:ea typeface="+mn-ea"/>
              <a:cs typeface="+mn-cs"/>
            </a:rPr>
            <a:t>The job creation potential of microalgae in open water was based on modeling done by NREl for open raceway ponds, which estimates the employees needed for 5,000 acres of pond area divided into 10 acre ponds. Using conversions of the pond area to algal production, the number of jobs can be calcualated. The number of R&amp;D jobs was calculated by assuming a fixed percentage of jobs for a company are R&amp;D jobs.</a:t>
          </a:r>
          <a:endParaRPr lang="en-US">
            <a:effectLst/>
          </a:endParaRPr>
        </a:p>
        <a:p>
          <a:pPr eaLnBrk="1" fontAlgn="auto" latinLnBrk="0" hangingPunct="1"/>
          <a:endParaRPr lang="en-US" sz="1100" i="0" baseline="0">
            <a:solidFill>
              <a:schemeClr val="dk1"/>
            </a:solidFill>
            <a:effectLst/>
            <a:latin typeface="+mn-lt"/>
            <a:ea typeface="+mn-ea"/>
            <a:cs typeface="+mn-cs"/>
          </a:endParaRPr>
        </a:p>
        <a:p>
          <a:pPr eaLnBrk="1" fontAlgn="auto" latinLnBrk="0" hangingPunct="1"/>
          <a:r>
            <a:rPr lang="en-US" sz="1100" i="0" baseline="0">
              <a:solidFill>
                <a:schemeClr val="dk1"/>
              </a:solidFill>
              <a:effectLst/>
              <a:latin typeface="+mn-lt"/>
              <a:ea typeface="+mn-ea"/>
              <a:cs typeface="+mn-cs"/>
            </a:rPr>
            <a:t>Data:</a:t>
          </a:r>
          <a:endParaRPr lang="en-US">
            <a:effectLst/>
          </a:endParaRPr>
        </a:p>
        <a:p>
          <a:pPr eaLnBrk="1" fontAlgn="auto" latinLnBrk="0" hangingPunct="1"/>
          <a:r>
            <a:rPr lang="en-US" sz="1100" i="0" baseline="0">
              <a:solidFill>
                <a:schemeClr val="dk1"/>
              </a:solidFill>
              <a:effectLst/>
              <a:latin typeface="+mn-lt"/>
              <a:ea typeface="+mn-ea"/>
              <a:cs typeface="+mn-cs"/>
            </a:rPr>
            <a:t>- jobs per acre of pond area</a:t>
          </a:r>
        </a:p>
        <a:p>
          <a:pPr eaLnBrk="1" fontAlgn="auto" latinLnBrk="0" hangingPunct="1"/>
          <a:r>
            <a:rPr lang="en-US" sz="1100" i="0" baseline="0">
              <a:solidFill>
                <a:schemeClr val="dk1"/>
              </a:solidFill>
              <a:effectLst/>
              <a:latin typeface="+mn-lt"/>
              <a:ea typeface="+mn-ea"/>
              <a:cs typeface="+mn-cs"/>
            </a:rPr>
            <a:t>- biomass conversion efficiencies</a:t>
          </a:r>
          <a:endParaRPr lang="en-US">
            <a:effectLst/>
          </a:endParaRPr>
        </a:p>
        <a:p>
          <a:pPr eaLnBrk="1" fontAlgn="auto" latinLnBrk="0" hangingPunct="1"/>
          <a:endParaRPr lang="en-US" sz="1100" i="0" baseline="0">
            <a:solidFill>
              <a:schemeClr val="dk1"/>
            </a:solidFill>
            <a:effectLst/>
            <a:latin typeface="+mn-lt"/>
            <a:ea typeface="+mn-ea"/>
            <a:cs typeface="+mn-cs"/>
          </a:endParaRPr>
        </a:p>
        <a:p>
          <a:pPr eaLnBrk="1" fontAlgn="auto" latinLnBrk="0" hangingPunct="1"/>
          <a:r>
            <a:rPr lang="en-US" sz="1100" i="0" baseline="0">
              <a:solidFill>
                <a:schemeClr val="dk1"/>
              </a:solidFill>
              <a:effectLst/>
              <a:latin typeface="+mn-lt"/>
              <a:ea typeface="+mn-ea"/>
              <a:cs typeface="+mn-cs"/>
            </a:rPr>
            <a:t>Assumptions</a:t>
          </a:r>
          <a:endParaRPr lang="en-US">
            <a:effectLst/>
          </a:endParaRPr>
        </a:p>
        <a:p>
          <a:pPr eaLnBrk="1" fontAlgn="auto" latinLnBrk="0" hangingPunct="1"/>
          <a:r>
            <a:rPr lang="en-US" sz="1100" i="0" baseline="0">
              <a:solidFill>
                <a:schemeClr val="dk1"/>
              </a:solidFill>
              <a:effectLst/>
              <a:latin typeface="+mn-lt"/>
              <a:ea typeface="+mn-ea"/>
              <a:cs typeface="+mn-cs"/>
            </a:rPr>
            <a:t>- the jobs per acre NREL modeling holds true for microalgae in ponds facilities in MA</a:t>
          </a:r>
        </a:p>
        <a:p>
          <a:pPr eaLnBrk="1" fontAlgn="auto" latinLnBrk="0" hangingPunct="1"/>
          <a:r>
            <a:rPr lang="en-US" sz="1100" i="0" baseline="0">
              <a:solidFill>
                <a:schemeClr val="dk1"/>
              </a:solidFill>
              <a:effectLst/>
              <a:latin typeface="+mn-lt"/>
              <a:ea typeface="+mn-ea"/>
              <a:cs typeface="+mn-cs"/>
            </a:rPr>
            <a:t>- R&amp;D jobs was calculated by assuming a fixed percentage of jobs (see R&amp;D jobs section)</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baseline="0">
            <a:solidFill>
              <a:schemeClr val="accent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1">
            <a:solidFill>
              <a:schemeClr val="accent5"/>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6" Type="http://schemas.openxmlformats.org/officeDocument/2006/relationships/hyperlink" Target="https://www.sciencedirect.com/science/article/pii/S0165237025000579" TargetMode="External"/><Relationship Id="rId21" Type="http://schemas.openxmlformats.org/officeDocument/2006/relationships/hyperlink" Target="https://link.springer.com/content/pdf/10.1007/s13399-025-06680-9.pdf" TargetMode="External"/><Relationship Id="rId42" Type="http://schemas.openxmlformats.org/officeDocument/2006/relationships/hyperlink" Target="https://www.census.gov/geographies/reference-files/2010/geo/state-area.html" TargetMode="External"/><Relationship Id="rId47" Type="http://schemas.openxmlformats.org/officeDocument/2006/relationships/hyperlink" Target="https://bioenergykdf.ornl.gov/bt23-forestry-download?f%5B0%5D=bt23_forestry_scenario_name%3Anear-term" TargetMode="External"/><Relationship Id="rId63" Type="http://schemas.openxmlformats.org/officeDocument/2006/relationships/hyperlink" Target="https://carbonplan.org/research/oae-efficiency?region=17" TargetMode="External"/><Relationship Id="rId68" Type="http://schemas.openxmlformats.org/officeDocument/2006/relationships/hyperlink" Target="https://rmi.org/wp-content/uploads/dlm_uploads/2023/11/applied_innovation_roadmap_CDR.pdf" TargetMode="External"/><Relationship Id="rId84" Type="http://schemas.openxmlformats.org/officeDocument/2006/relationships/hyperlink" Target="https://bioenergykdf.ornl.gov/bt23-wastes-download?f%5B0%5D=bt23_subclass_facet%3AOther%20wet%20waste" TargetMode="External"/><Relationship Id="rId89" Type="http://schemas.openxmlformats.org/officeDocument/2006/relationships/hyperlink" Target="https://www.nationalacademies.org/projects/DELS-OSB-20-02" TargetMode="External"/><Relationship Id="rId112" Type="http://schemas.openxmlformats.org/officeDocument/2006/relationships/hyperlink" Target="https://www.ipcc-nggip.iges.or.jp/public/2006gl/pdf/4_Volume4/V4_04_Ch4_Forest_Land.pdf" TargetMode="External"/><Relationship Id="rId16" Type="http://schemas.openxmlformats.org/officeDocument/2006/relationships/hyperlink" Target="https://bioenergykdf.ornl.gov/bt23-agricultural-download?f%5B0%5D=bt23_agricultural_scenario_facet%3Anear-term" TargetMode="External"/><Relationship Id="rId107" Type="http://schemas.openxmlformats.org/officeDocument/2006/relationships/hyperlink" Target="https://www.frontiersin.org/journals/climate/articles/10.3389/fclim.2022.879133/full" TargetMode="External"/><Relationship Id="rId11" Type="http://schemas.openxmlformats.org/officeDocument/2006/relationships/hyperlink" Target="https://www.pnas.org/doi/10.1073/pnas.2217695120" TargetMode="External"/><Relationship Id="rId32" Type="http://schemas.openxmlformats.org/officeDocument/2006/relationships/hyperlink" Target="https://bioenergykdf.ornl.gov/bt23-agricultural-download?f%5B0%5D=bt23_agricultural_scenario_facet%3Anear-term" TargetMode="External"/><Relationship Id="rId37" Type="http://schemas.openxmlformats.org/officeDocument/2006/relationships/hyperlink" Target="https://charmindustrial.com/blog/modular-pyrolysis-massive-impact" TargetMode="External"/><Relationship Id="rId53" Type="http://schemas.openxmlformats.org/officeDocument/2006/relationships/hyperlink" Target="https://earthjustice.org/wp-content/uploads/ma-coal-ash-factsheet-0412.pdf" TargetMode="External"/><Relationship Id="rId58" Type="http://schemas.openxmlformats.org/officeDocument/2006/relationships/hyperlink" Target="https://nap.nationalacademies.org/catalog/25259/negative-emissions-technologies-and-reliable-sequestration-a-research-agenda" TargetMode="External"/><Relationship Id="rId74" Type="http://schemas.openxmlformats.org/officeDocument/2006/relationships/hyperlink" Target="https://www.mass.gov/info-details/massachusetts-clean-energy-and-climate-plan-for-2050" TargetMode="External"/><Relationship Id="rId79" Type="http://schemas.openxmlformats.org/officeDocument/2006/relationships/hyperlink" Target="https://www.weather.gov/wrh/Climate?wfo=box" TargetMode="External"/><Relationship Id="rId102" Type="http://schemas.openxmlformats.org/officeDocument/2006/relationships/hyperlink" Target="https://www.mass.gov/info-details/agricultural-resources-facts-and-statistics" TargetMode="External"/><Relationship Id="rId5" Type="http://schemas.openxmlformats.org/officeDocument/2006/relationships/hyperlink" Target="https://pubs.rsc.org/en/content/articlepdf/2016/em/c6em00386a" TargetMode="External"/><Relationship Id="rId90" Type="http://schemas.openxmlformats.org/officeDocument/2006/relationships/hyperlink" Target="https://www.nationalacademies.org/projects/DELS-OSB-20-02" TargetMode="External"/><Relationship Id="rId95" Type="http://schemas.openxmlformats.org/officeDocument/2006/relationships/hyperlink" Target="https://www.pnas.org/doi/10.1073/pnas.2217695120" TargetMode="External"/><Relationship Id="rId22" Type="http://schemas.openxmlformats.org/officeDocument/2006/relationships/hyperlink" Target="https://link.springer.com/content/pdf/10.1007/s13399-025-06680-9.pdf" TargetMode="External"/><Relationship Id="rId27" Type="http://schemas.openxmlformats.org/officeDocument/2006/relationships/hyperlink" Target="https://bioenergykdf.ornl.gov/bt23-wastes-download?f%5B0%5D=bt23_subclass_facet%3AOther%20wet%20waste" TargetMode="External"/><Relationship Id="rId43" Type="http://schemas.openxmlformats.org/officeDocument/2006/relationships/hyperlink" Target="https://nap.nationalacademies.org/catalog/26278/a-research-strategy-for-ocean-based-carbon-dioxide-removal-and-sequestration" TargetMode="External"/><Relationship Id="rId48" Type="http://schemas.openxmlformats.org/officeDocument/2006/relationships/hyperlink" Target="https://bioenergykdf.ornl.gov/bt23-agricultural-download?f%5B0%5D=bt23_agricultural_scenario_facet%3Anear-term" TargetMode="External"/><Relationship Id="rId64" Type="http://schemas.openxmlformats.org/officeDocument/2006/relationships/hyperlink" Target="https://www.nature.com/articles/s41558-024-02179-9.epdf?sharing_token=LgDF4VdJvkifRzIuQy5nT9RgN0jAjWel9jnR3ZoTv0ML06qtsGAXcI3ncw2VKMdvNBF8yc3ykUNvQP2YZSZZg3VEb8eJNbnayufBxkZ0cVTHRB4myOJv4osBgWv1OPyMNfRCLYPLT3MancsjfEhCqWMLGD_VUA_LXbALrR9640c%3D" TargetMode="External"/><Relationship Id="rId69" Type="http://schemas.openxmlformats.org/officeDocument/2006/relationships/hyperlink" Target="https://www.eia.gov/state/print.php?sid=MA" TargetMode="External"/><Relationship Id="rId113" Type="http://schemas.openxmlformats.org/officeDocument/2006/relationships/hyperlink" Target="https://www.ipcc-nggip.iges.or.jp/public/2006gl/pdf/4_Volume4/V4_04_Ch4_Forest_Land.pdf" TargetMode="External"/><Relationship Id="rId80" Type="http://schemas.openxmlformats.org/officeDocument/2006/relationships/hyperlink" Target="https://docs.nrel.gov/docs/fy19osti/72716.pdf" TargetMode="External"/><Relationship Id="rId85" Type="http://schemas.openxmlformats.org/officeDocument/2006/relationships/hyperlink" Target="https://bioenergykdf.ornl.gov/bt23-forestry-download?f%5B0%5D=bt23_forestry_scenario_name%3Anear-term" TargetMode="External"/><Relationship Id="rId12" Type="http://schemas.openxmlformats.org/officeDocument/2006/relationships/hyperlink" Target="https://cbmjournal.biomedcentral.com/articles/10.1186/s13021-022-00202-0" TargetMode="External"/><Relationship Id="rId17" Type="http://schemas.openxmlformats.org/officeDocument/2006/relationships/hyperlink" Target="https://www.pnas.org/doi/10.1073/pnas.2217695120" TargetMode="External"/><Relationship Id="rId33" Type="http://schemas.openxmlformats.org/officeDocument/2006/relationships/hyperlink" Target="https://www.sciencedirect.com/science/article/abs/pii/S0165237020302023" TargetMode="External"/><Relationship Id="rId38" Type="http://schemas.openxmlformats.org/officeDocument/2006/relationships/hyperlink" Target="https://www.mass.gov/doc/forest-carbon-study-report-2025/download" TargetMode="External"/><Relationship Id="rId59" Type="http://schemas.openxmlformats.org/officeDocument/2006/relationships/hyperlink" Target="https://pubs.acs.org/doi/10.1021/acs.est.2c08633" TargetMode="External"/><Relationship Id="rId103" Type="http://schemas.openxmlformats.org/officeDocument/2006/relationships/hyperlink" Target="https://www.mdpi.com/2077-0472/15/1/52?utm_source=chatgpt.com" TargetMode="External"/><Relationship Id="rId108" Type="http://schemas.openxmlformats.org/officeDocument/2006/relationships/hyperlink" Target="https://www.frontiersin.org/journals/climate/articles/10.3389/fclim.2022.879133/full" TargetMode="External"/><Relationship Id="rId54" Type="http://schemas.openxmlformats.org/officeDocument/2006/relationships/hyperlink" Target="https://www.epa.gov/coal-combustion-residuals/list-publicly-accessible-internet-sites-hosting-ccr-management-compliance" TargetMode="External"/><Relationship Id="rId70" Type="http://schemas.openxmlformats.org/officeDocument/2006/relationships/hyperlink" Target="https://www.mass.gov/info-details/massachusetts-clean-energy-and-climate-plan-for-2050" TargetMode="External"/><Relationship Id="rId75" Type="http://schemas.openxmlformats.org/officeDocument/2006/relationships/hyperlink" Target="https://rmi.org/wp-content/uploads/dlm_uploads/2023/11/applied_innovation_roadmap_CDR.pdf" TargetMode="External"/><Relationship Id="rId91" Type="http://schemas.openxmlformats.org/officeDocument/2006/relationships/hyperlink" Target="https://link.springer.com/content/pdf/10.1007/s13399-025-06680-9.pdf" TargetMode="External"/><Relationship Id="rId96" Type="http://schemas.openxmlformats.org/officeDocument/2006/relationships/hyperlink" Target="https://link.springer.com/content/pdf/10.1007/s13399-025-06680-9.pdf" TargetMode="External"/><Relationship Id="rId1" Type="http://schemas.openxmlformats.org/officeDocument/2006/relationships/hyperlink" Target="https://www.mass.gov/doc/forest-carbon-study-executive-summary-2025/download" TargetMode="External"/><Relationship Id="rId6" Type="http://schemas.openxmlformats.org/officeDocument/2006/relationships/hyperlink" Target="https://ag.purdue.edu/commercialag/ageconomybarometer/farmers-remain-cautiously-optimistic-about-agricultural-economy/" TargetMode="External"/><Relationship Id="rId15" Type="http://schemas.openxmlformats.org/officeDocument/2006/relationships/hyperlink" Target="https://bioenergykdf.ornl.gov/bt23-forestry-download?f%5B0%5D=bt23_forestry_scenario_name%3Anear-term" TargetMode="External"/><Relationship Id="rId23" Type="http://schemas.openxmlformats.org/officeDocument/2006/relationships/hyperlink" Target="https://biochar-international.org/wp-content/uploads/2023/12/Biochar-Carbon-Credit-Analysis-BF-Reports-2022-compressed.pdf?utm_source=chatgpt.com" TargetMode="External"/><Relationship Id="rId28" Type="http://schemas.openxmlformats.org/officeDocument/2006/relationships/hyperlink" Target="https://bioenergykdf.ornl.gov/bt23-forestry-download?f%5B0%5D=bt23_forestry_scenario_name%3Anear-term" TargetMode="External"/><Relationship Id="rId36" Type="http://schemas.openxmlformats.org/officeDocument/2006/relationships/hyperlink" Target="https://charmindustrial.com/blog/modular-pyrolysis-massive-impact" TargetMode="External"/><Relationship Id="rId49" Type="http://schemas.openxmlformats.org/officeDocument/2006/relationships/hyperlink" Target="https://www.sciencedirect.com/science/article/pii/S0009254120301674" TargetMode="External"/><Relationship Id="rId57" Type="http://schemas.openxmlformats.org/officeDocument/2006/relationships/hyperlink" Target="https://www.ce.memphis.edu/1112/notes/project_2/PCA_manual/Chap03.pdf" TargetMode="External"/><Relationship Id="rId106" Type="http://schemas.openxmlformats.org/officeDocument/2006/relationships/hyperlink" Target="https://www.pnas.org/doi/epdf/10.1073/pnas.2319436121" TargetMode="External"/><Relationship Id="rId114" Type="http://schemas.openxmlformats.org/officeDocument/2006/relationships/hyperlink" Target="https://www.mass.gov/info-details/massachusetts-coastal-erosion-commission" TargetMode="External"/><Relationship Id="rId10" Type="http://schemas.openxmlformats.org/officeDocument/2006/relationships/hyperlink" Target="https://www.pnas.org/doi/10.1073/pnas.2217695120" TargetMode="External"/><Relationship Id="rId31" Type="http://schemas.openxmlformats.org/officeDocument/2006/relationships/hyperlink" Target="https://bioenergykdf.ornl.gov/bt23-forestry-download?f%5B0%5D=bt23_forestry_scenario_name%3Anear-term" TargetMode="External"/><Relationship Id="rId44" Type="http://schemas.openxmlformats.org/officeDocument/2006/relationships/hyperlink" Target="https://www.unitconverters.net/area/square-mile-to-square-kilometer.htm" TargetMode="External"/><Relationship Id="rId52" Type="http://schemas.openxmlformats.org/officeDocument/2006/relationships/hyperlink" Target="https://www.mass.gov/doc/2024-annual-cd-report-summary-data/download" TargetMode="External"/><Relationship Id="rId60" Type="http://schemas.openxmlformats.org/officeDocument/2006/relationships/hyperlink" Target="https://pubs.acs.org/doi/10.1021/acs.est.2c08633" TargetMode="External"/><Relationship Id="rId65" Type="http://schemas.openxmlformats.org/officeDocument/2006/relationships/hyperlink" Target="https://carbonplan.org/research/oae-efficiency-explainer" TargetMode="External"/><Relationship Id="rId73" Type="http://schemas.openxmlformats.org/officeDocument/2006/relationships/hyperlink" Target="https://www.eia.gov/state/print.php?sid=MA" TargetMode="External"/><Relationship Id="rId78" Type="http://schemas.openxmlformats.org/officeDocument/2006/relationships/hyperlink" Target="https://www.mass.gov/doc/forest-carbon-study-executive-summary-2025/download" TargetMode="External"/><Relationship Id="rId81" Type="http://schemas.openxmlformats.org/officeDocument/2006/relationships/hyperlink" Target="https://docs.nrel.gov/docs/fy19osti/72716.pdf" TargetMode="External"/><Relationship Id="rId86" Type="http://schemas.openxmlformats.org/officeDocument/2006/relationships/hyperlink" Target="https://bioenergykdf.ornl.gov/bt23-agricultural-download?f%5B0%5D=bt23_agricultural_scenario_facet%3Anear-term" TargetMode="External"/><Relationship Id="rId94" Type="http://schemas.openxmlformats.org/officeDocument/2006/relationships/hyperlink" Target="https://www.pnas.org/doi/10.1073/pnas.2217695120" TargetMode="External"/><Relationship Id="rId99" Type="http://schemas.openxmlformats.org/officeDocument/2006/relationships/hyperlink" Target="https://www.pnas.org/doi/10.1073/pnas.2217695120" TargetMode="External"/><Relationship Id="rId101" Type="http://schemas.openxmlformats.org/officeDocument/2006/relationships/hyperlink" Target="https://link.springer.com/content/pdf/10.1007/s13399-025-06680-9.pdf" TargetMode="External"/><Relationship Id="rId4" Type="http://schemas.openxmlformats.org/officeDocument/2006/relationships/hyperlink" Target="https://pubs.rsc.org/en/content/articlepdf/2016/em/c6em00386a" TargetMode="External"/><Relationship Id="rId9" Type="http://schemas.openxmlformats.org/officeDocument/2006/relationships/hyperlink" Target="https://bioenergykdf.ornl.gov/bt23-wastes-download?f%5B0%5D=bt23_subclass_facet%3AOther%20wet%20waste" TargetMode="External"/><Relationship Id="rId13" Type="http://schemas.openxmlformats.org/officeDocument/2006/relationships/hyperlink" Target="https://www.fs.usda.gov/nrs/pubs/ru/ru_fs369.pdf" TargetMode="External"/><Relationship Id="rId18" Type="http://schemas.openxmlformats.org/officeDocument/2006/relationships/hyperlink" Target="https://www.pnas.org/doi/10.1073/pnas.2217695120" TargetMode="External"/><Relationship Id="rId39" Type="http://schemas.openxmlformats.org/officeDocument/2006/relationships/hyperlink" Target="https://www.pnas.org/doi/10.1073/pnas.2217695120" TargetMode="External"/><Relationship Id="rId109" Type="http://schemas.openxmlformats.org/officeDocument/2006/relationships/hyperlink" Target="https://www.sciencedirect.com/science/article/pii/S0301479725033110" TargetMode="External"/><Relationship Id="rId34" Type="http://schemas.openxmlformats.org/officeDocument/2006/relationships/hyperlink" Target="https://www.sciencedirect.com/science/article/abs/pii/S0165237020302023" TargetMode="External"/><Relationship Id="rId50" Type="http://schemas.openxmlformats.org/officeDocument/2006/relationships/hyperlink" Target="https://www.usgs.gov/centers/national-minerals-information-center/mineral-industry-massachusetts" TargetMode="External"/><Relationship Id="rId55" Type="http://schemas.openxmlformats.org/officeDocument/2006/relationships/hyperlink" Target="https://www.epa.gov/coal-combustion-residuals/list-publicly-accessible-internet-sites-hosting-ccr-management-compliance" TargetMode="External"/><Relationship Id="rId76" Type="http://schemas.openxmlformats.org/officeDocument/2006/relationships/hyperlink" Target="https://www.blueplanetsystems.com/" TargetMode="External"/><Relationship Id="rId97" Type="http://schemas.openxmlformats.org/officeDocument/2006/relationships/hyperlink" Target="https://link.springer.com/content/pdf/10.1007/s13399-025-06680-9.pdf" TargetMode="External"/><Relationship Id="rId104" Type="http://schemas.openxmlformats.org/officeDocument/2006/relationships/hyperlink" Target="https://www.nature.com/articles/s41586-024-08429-2" TargetMode="External"/><Relationship Id="rId7" Type="http://schemas.openxmlformats.org/officeDocument/2006/relationships/hyperlink" Target="https://bioenergykdf.ornl.gov/bt23-forestry-download?f%5B0%5D=bt23_forestry_scenario_name%3Anear-term" TargetMode="External"/><Relationship Id="rId71" Type="http://schemas.openxmlformats.org/officeDocument/2006/relationships/hyperlink" Target="https://rmi.org/wp-content/uploads/dlm_uploads/2023/11/applied_innovation_roadmap_CDR.pdf" TargetMode="External"/><Relationship Id="rId92" Type="http://schemas.openxmlformats.org/officeDocument/2006/relationships/hyperlink" Target="https://link.springer.com/content/pdf/10.1007/s13399-025-06680-9.pdf" TargetMode="External"/><Relationship Id="rId2" Type="http://schemas.openxmlformats.org/officeDocument/2006/relationships/hyperlink" Target="https://www.mass.gov/doc/forest-carbon-study-executive-summary-2025/download" TargetMode="External"/><Relationship Id="rId29" Type="http://schemas.openxmlformats.org/officeDocument/2006/relationships/hyperlink" Target="https://bioenergykdf.ornl.gov/bt23-agricultural-download?f%5B0%5D=bt23_agricultural_scenario_facet%3Anear-term" TargetMode="External"/><Relationship Id="rId24" Type="http://schemas.openxmlformats.org/officeDocument/2006/relationships/hyperlink" Target="https://biochar-international.org/wp-content/uploads/2023/12/Biochar-Carbon-Credit-Analysis-BF-Reports-2022-compressed.pdf?utm_source=chatgpt.com" TargetMode="External"/><Relationship Id="rId40" Type="http://schemas.openxmlformats.org/officeDocument/2006/relationships/hyperlink" Target="https://www.pnas.org/doi/10.1073/pnas.2217695120" TargetMode="External"/><Relationship Id="rId45" Type="http://schemas.openxmlformats.org/officeDocument/2006/relationships/hyperlink" Target="https://www2.census.gov/geo/pdfs/reference/GARM/Ch15GARM.pdf" TargetMode="External"/><Relationship Id="rId66" Type="http://schemas.openxmlformats.org/officeDocument/2006/relationships/hyperlink" Target="https://www.eia.gov/state/print.php?sid=MA" TargetMode="External"/><Relationship Id="rId87" Type="http://schemas.openxmlformats.org/officeDocument/2006/relationships/hyperlink" Target="https://www.cell.com/iscience/fulltext/S2589-0042(21)00733-1?_returnURL=https%3A%2F%2Flinkinghub.elsevier.com%2Fretrieve%2Fpii%2FS2589004221007331%3Fshowall%3Dtrue" TargetMode="External"/><Relationship Id="rId110" Type="http://schemas.openxmlformats.org/officeDocument/2006/relationships/hyperlink" Target="https://www.ipcc-nggip.iges.or.jp/public/2006gl/pdf/4_Volume4/V4_04_Ch4_Forest_Land.pdf" TargetMode="External"/><Relationship Id="rId115" Type="http://schemas.openxmlformats.org/officeDocument/2006/relationships/hyperlink" Target="https://www.mass.gov/info-details/massachusetts-coastal-erosion-commission" TargetMode="External"/><Relationship Id="rId61" Type="http://schemas.openxmlformats.org/officeDocument/2006/relationships/hyperlink" Target="https://www.census.gov/geographies/reference-files/2010/geo/state-area.html" TargetMode="External"/><Relationship Id="rId82" Type="http://schemas.openxmlformats.org/officeDocument/2006/relationships/hyperlink" Target="https://pubs.rsc.org/en/content/articlelanding/2022/ee/d2ee01021f" TargetMode="External"/><Relationship Id="rId19" Type="http://schemas.openxmlformats.org/officeDocument/2006/relationships/hyperlink" Target="https://www.fpl.fs.usda.gov/documnts/pdf2020/fpl_2020_sahoo001.pdf" TargetMode="External"/><Relationship Id="rId14" Type="http://schemas.openxmlformats.org/officeDocument/2006/relationships/hyperlink" Target="https://www.unitconverters.net/area/acres-to-hectare.htm" TargetMode="External"/><Relationship Id="rId30" Type="http://schemas.openxmlformats.org/officeDocument/2006/relationships/hyperlink" Target="https://bioenergykdf.ornl.gov/bt23-wastes-download?f%5B0%5D=bt23_subclass_facet%3AOther%20wet%20waste" TargetMode="External"/><Relationship Id="rId35" Type="http://schemas.openxmlformats.org/officeDocument/2006/relationships/hyperlink" Target="https://www.sciencedirect.com/science/article/abs/pii/S0306261917307596" TargetMode="External"/><Relationship Id="rId56" Type="http://schemas.openxmlformats.org/officeDocument/2006/relationships/hyperlink" Target="https://www.engie-na.com/wp-content/uploads/Mt-Tom-CCR-Initial-Inspection-Report.pdf" TargetMode="External"/><Relationship Id="rId77" Type="http://schemas.openxmlformats.org/officeDocument/2006/relationships/hyperlink" Target="https://www.usgs.gov/media/files/usgs-aggregates-time-series-data-state-type-and-end-use" TargetMode="External"/><Relationship Id="rId100" Type="http://schemas.openxmlformats.org/officeDocument/2006/relationships/hyperlink" Target="https://link.springer.com/content/pdf/10.1007/s13399-025-06680-9.pdf" TargetMode="External"/><Relationship Id="rId105" Type="http://schemas.openxmlformats.org/officeDocument/2006/relationships/hyperlink" Target="https://www.fs.usda.gov/nrs/pubs/ru/ru_fs369.pdf" TargetMode="External"/><Relationship Id="rId8" Type="http://schemas.openxmlformats.org/officeDocument/2006/relationships/hyperlink" Target="https://bioenergykdf.ornl.gov/bt23-forestry-download?f%5B0%5D=bt23_forestry_scenario_name%3Anear-term" TargetMode="External"/><Relationship Id="rId51" Type="http://schemas.openxmlformats.org/officeDocument/2006/relationships/hyperlink" Target="https://nationalslag.org/slag-availability/" TargetMode="External"/><Relationship Id="rId72" Type="http://schemas.openxmlformats.org/officeDocument/2006/relationships/hyperlink" Target="https://rmi.org/wp-content/uploads/dlm_uploads/2023/11/applied_innovation_roadmap_CDR.pdf" TargetMode="External"/><Relationship Id="rId93" Type="http://schemas.openxmlformats.org/officeDocument/2006/relationships/hyperlink" Target="https://www.sciencedirect.com/science/article/pii/S0009254120301674" TargetMode="External"/><Relationship Id="rId98" Type="http://schemas.openxmlformats.org/officeDocument/2006/relationships/hyperlink" Target="https://www.pnas.org/doi/10.1073/pnas.2217695120" TargetMode="External"/><Relationship Id="rId3" Type="http://schemas.openxmlformats.org/officeDocument/2006/relationships/hyperlink" Target="https://www.mass.gov/info-details/agricultural-resources-facts-and-statistics" TargetMode="External"/><Relationship Id="rId25" Type="http://schemas.openxmlformats.org/officeDocument/2006/relationships/hyperlink" Target="https://www.sciencedirect.com/science/article/pii/S0165237025000579" TargetMode="External"/><Relationship Id="rId46" Type="http://schemas.openxmlformats.org/officeDocument/2006/relationships/hyperlink" Target="https://bioenergykdf.ornl.gov/bt23-wastes-download?f%5B0%5D=bt23_subclass_facet%3AOther%20wet%20waste" TargetMode="External"/><Relationship Id="rId67" Type="http://schemas.openxmlformats.org/officeDocument/2006/relationships/hyperlink" Target="https://www.mass.gov/info-details/massachusetts-clean-energy-and-climate-plan-for-2050" TargetMode="External"/><Relationship Id="rId116" Type="http://schemas.openxmlformats.org/officeDocument/2006/relationships/drawing" Target="../drawings/drawing1.xml"/><Relationship Id="rId20" Type="http://schemas.openxmlformats.org/officeDocument/2006/relationships/hyperlink" Target="https://www.fpl.fs.usda.gov/documnts/pdf2020/fpl_2020_sahoo001.pdf" TargetMode="External"/><Relationship Id="rId41" Type="http://schemas.openxmlformats.org/officeDocument/2006/relationships/hyperlink" Target="https://docs.nrel.gov/docs/fy21osti/79931.pdf" TargetMode="External"/><Relationship Id="rId62" Type="http://schemas.openxmlformats.org/officeDocument/2006/relationships/hyperlink" Target="https://bg.copernicus.org/articles/20/27/2023/" TargetMode="External"/><Relationship Id="rId83" Type="http://schemas.openxmlformats.org/officeDocument/2006/relationships/hyperlink" Target="https://pubs.rsc.org/en/content/articlelanding/2022/ee/d2ee01021f" TargetMode="External"/><Relationship Id="rId88" Type="http://schemas.openxmlformats.org/officeDocument/2006/relationships/hyperlink" Target="https://www.cell.com/iscience/fulltext/S2589-0042(21)00733-1?_returnURL=https%3A%2F%2Flinkinghub.elsevier.com%2Fretrieve%2Fpii%2FS2589004221007331%3Fshowall%3Dtrue" TargetMode="External"/><Relationship Id="rId111" Type="http://schemas.openxmlformats.org/officeDocument/2006/relationships/hyperlink" Target="https://www.ipcc-nggip.iges.or.jp/public/2006gl/pdf/4_Volume4/V4_04_Ch4_Forest_Land.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rmi.org/insight/scaling-technological-greenhouse-gas-removal-a-global-roadmap-to-2050/" TargetMode="External"/><Relationship Id="rId21" Type="http://schemas.openxmlformats.org/officeDocument/2006/relationships/hyperlink" Target="https://a-us.storyblok.com/f/1020427/x/fd2f5080ab/the-benefits-of-innovation-an-assessment-of-the-economic-opportunities-of-highly-durable-carbon-dioxide-removal.pdf" TargetMode="External"/><Relationship Id="rId42" Type="http://schemas.openxmlformats.org/officeDocument/2006/relationships/hyperlink" Target="https://a-us.storyblok.com/f/1020427/x/fd2f5080ab/the-benefits-of-innovation-an-assessment-of-the-economic-opportunities-of-highly-durable-carbon-dioxide-removal.pdf" TargetMode="External"/><Relationship Id="rId47" Type="http://schemas.openxmlformats.org/officeDocument/2006/relationships/hyperlink" Target="https://a-us.storyblok.com/f/1020427/x/fd2f5080ab/the-benefits-of-innovation-an-assessment-of-the-economic-opportunities-of-highly-durable-carbon-dioxide-removal.pdf" TargetMode="External"/><Relationship Id="rId63" Type="http://schemas.openxmlformats.org/officeDocument/2006/relationships/hyperlink" Target="https://rmi.org/insight/scaling-technological-greenhouse-gas-removal-a-global-roadmap-to-2050/" TargetMode="External"/><Relationship Id="rId68" Type="http://schemas.openxmlformats.org/officeDocument/2006/relationships/hyperlink" Target="https://a-us.storyblok.com/f/1020427/x/fd2f5080ab/the-benefits-of-innovation-an-assessment-of-the-economic-opportunities-of-highly-durable-carbon-dioxide-removal.pdf" TargetMode="External"/><Relationship Id="rId16" Type="http://schemas.openxmlformats.org/officeDocument/2006/relationships/hyperlink" Target="https://www.pnas.org/doi/10.1073/pnas.2217695120" TargetMode="External"/><Relationship Id="rId11" Type="http://schemas.openxmlformats.org/officeDocument/2006/relationships/hyperlink" Target="https://rmi.org/insight/scaling-technological-greenhouse-gas-removal-a-global-roadmap-to-2050/" TargetMode="External"/><Relationship Id="rId24" Type="http://schemas.openxmlformats.org/officeDocument/2006/relationships/hyperlink" Target="https://a-us.storyblok.com/f/1020427/x/fd2f5080ab/the-benefits-of-innovation-an-assessment-of-the-economic-opportunities-of-highly-durable-carbon-dioxide-removal.pdf" TargetMode="External"/><Relationship Id="rId32" Type="http://schemas.openxmlformats.org/officeDocument/2006/relationships/hyperlink" Target="https://a-us.storyblok.com/f/1020427/x/fd2f5080ab/the-benefits-of-innovation-an-assessment-of-the-economic-opportunities-of-highly-durable-carbon-dioxide-removal.pdf" TargetMode="External"/><Relationship Id="rId37" Type="http://schemas.openxmlformats.org/officeDocument/2006/relationships/hyperlink" Target="https://a-us.storyblok.com/f/1020427/x/fd2f5080ab/the-benefits-of-innovation-an-assessment-of-the-economic-opportunities-of-highly-durable-carbon-dioxide-removal.pdf" TargetMode="External"/><Relationship Id="rId40" Type="http://schemas.openxmlformats.org/officeDocument/2006/relationships/hyperlink" Target="https://a-us.storyblok.com/f/1020427/x/fd2f5080ab/the-benefits-of-innovation-an-assessment-of-the-economic-opportunities-of-highly-durable-carbon-dioxide-removal.pdf" TargetMode="External"/><Relationship Id="rId45" Type="http://schemas.openxmlformats.org/officeDocument/2006/relationships/hyperlink" Target="https://a-us.storyblok.com/f/1020427/x/fd2f5080ab/the-benefits-of-innovation-an-assessment-of-the-economic-opportunities-of-highly-durable-carbon-dioxide-removal.pdf" TargetMode="External"/><Relationship Id="rId53" Type="http://schemas.openxmlformats.org/officeDocument/2006/relationships/hyperlink" Target="https://a-us.storyblok.com/f/1020427/x/fd2f5080ab/the-benefits-of-innovation-an-assessment-of-the-economic-opportunities-of-highly-durable-carbon-dioxide-removal.pdf" TargetMode="External"/><Relationship Id="rId58" Type="http://schemas.openxmlformats.org/officeDocument/2006/relationships/hyperlink" Target="https://a-us.storyblok.com/f/1020427/x/fd2f5080ab/the-benefits-of-innovation-an-assessment-of-the-economic-opportunities-of-highly-durable-carbon-dioxide-removal.pdf" TargetMode="External"/><Relationship Id="rId66" Type="http://schemas.openxmlformats.org/officeDocument/2006/relationships/hyperlink" Target="https://rmi.org/insight/scaling-technological-greenhouse-gas-removal-a-global-roadmap-to-2050/" TargetMode="External"/><Relationship Id="rId74" Type="http://schemas.openxmlformats.org/officeDocument/2006/relationships/hyperlink" Target="https://www.noaa.gov/reports/noaa-coastal-management-habitat-restoration-investments" TargetMode="External"/><Relationship Id="rId5" Type="http://schemas.openxmlformats.org/officeDocument/2006/relationships/hyperlink" Target="https://assets.publishing.service.gov.uk/media/68f8d27a0794bb80118bb764/independent-review-of-ggr.pdf" TargetMode="External"/><Relationship Id="rId61" Type="http://schemas.openxmlformats.org/officeDocument/2006/relationships/hyperlink" Target="https://a-us.storyblok.com/f/1020427/x/fd2f5080ab/the-benefits-of-innovation-an-assessment-of-the-economic-opportunities-of-highly-durable-carbon-dioxide-removal.pdf" TargetMode="External"/><Relationship Id="rId19" Type="http://schemas.openxmlformats.org/officeDocument/2006/relationships/hyperlink" Target="https://a-us.storyblok.com/f/1020427/x/fd2f5080ab/the-benefits-of-innovation-an-assessment-of-the-economic-opportunities-of-highly-durable-carbon-dioxide-removal.pdf" TargetMode="External"/><Relationship Id="rId14" Type="http://schemas.openxmlformats.org/officeDocument/2006/relationships/hyperlink" Target="https://bber.umt.edu/pubs/forest/workforce/JournalForestryJul2016.pdf" TargetMode="External"/><Relationship Id="rId22" Type="http://schemas.openxmlformats.org/officeDocument/2006/relationships/hyperlink" Target="https://a-us.storyblok.com/f/1020427/x/fd2f5080ab/the-benefits-of-innovation-an-assessment-of-the-economic-opportunities-of-highly-durable-carbon-dioxide-removal.pdf" TargetMode="External"/><Relationship Id="rId27" Type="http://schemas.openxmlformats.org/officeDocument/2006/relationships/hyperlink" Target="https://a-us.storyblok.com/f/1020427/x/fd2f5080ab/the-benefits-of-innovation-an-assessment-of-the-economic-opportunities-of-highly-durable-carbon-dioxide-removal.pdf" TargetMode="External"/><Relationship Id="rId30" Type="http://schemas.openxmlformats.org/officeDocument/2006/relationships/hyperlink" Target="https://a-us.storyblok.com/f/1020427/x/fd2f5080ab/the-benefits-of-innovation-an-assessment-of-the-economic-opportunities-of-highly-durable-carbon-dioxide-removal.pdf" TargetMode="External"/><Relationship Id="rId35" Type="http://schemas.openxmlformats.org/officeDocument/2006/relationships/hyperlink" Target="https://a-us.storyblok.com/f/1020427/x/fd2f5080ab/the-benefits-of-innovation-an-assessment-of-the-economic-opportunities-of-highly-durable-carbon-dioxide-removal.pdf" TargetMode="External"/><Relationship Id="rId43" Type="http://schemas.openxmlformats.org/officeDocument/2006/relationships/hyperlink" Target="https://a-us.storyblok.com/f/1020427/x/fd2f5080ab/the-benefits-of-innovation-an-assessment-of-the-economic-opportunities-of-highly-durable-carbon-dioxide-removal.pdf" TargetMode="External"/><Relationship Id="rId48" Type="http://schemas.openxmlformats.org/officeDocument/2006/relationships/hyperlink" Target="https://a-us.storyblok.com/f/1020427/x/fd2f5080ab/the-benefits-of-innovation-an-assessment-of-the-economic-opportunities-of-highly-durable-carbon-dioxide-removal.pdf" TargetMode="External"/><Relationship Id="rId56" Type="http://schemas.openxmlformats.org/officeDocument/2006/relationships/hyperlink" Target="https://a-us.storyblok.com/f/1020427/x/fd2f5080ab/the-benefits-of-innovation-an-assessment-of-the-economic-opportunities-of-highly-durable-carbon-dioxide-removal.pdf" TargetMode="External"/><Relationship Id="rId64" Type="http://schemas.openxmlformats.org/officeDocument/2006/relationships/hyperlink" Target="https://rmi.org/insight/scaling-technological-greenhouse-gas-removal-a-global-roadmap-to-2050/" TargetMode="External"/><Relationship Id="rId69" Type="http://schemas.openxmlformats.org/officeDocument/2006/relationships/hyperlink" Target="https://a-us.storyblok.com/f/1020427/x/fd2f5080ab/the-benefits-of-innovation-an-assessment-of-the-economic-opportunities-of-highly-durable-carbon-dioxide-removal.pdf" TargetMode="External"/><Relationship Id="rId77" Type="http://schemas.openxmlformats.org/officeDocument/2006/relationships/hyperlink" Target="https://rmi.org/wp-content/uploads/dlm_uploads/2025/04/building_with_biomass_a_new_american_harvest.pdf" TargetMode="External"/><Relationship Id="rId8" Type="http://schemas.openxmlformats.org/officeDocument/2006/relationships/hyperlink" Target="https://assets.publishing.service.gov.uk/media/616ff80ce90e07197b571c95/ggr-methods-potential-deployment.pdf" TargetMode="External"/><Relationship Id="rId51" Type="http://schemas.openxmlformats.org/officeDocument/2006/relationships/hyperlink" Target="https://a-us.storyblok.com/f/1020427/x/fd2f5080ab/the-benefits-of-innovation-an-assessment-of-the-economic-opportunities-of-highly-durable-carbon-dioxide-removal.pdf" TargetMode="External"/><Relationship Id="rId72" Type="http://schemas.openxmlformats.org/officeDocument/2006/relationships/hyperlink" Target="https://www.pnas.org/doi/10.1073/pnas.2217695120" TargetMode="External"/><Relationship Id="rId3" Type="http://schemas.openxmlformats.org/officeDocument/2006/relationships/hyperlink" Target="https://assets.publishing.service.gov.uk/media/68f8d27a0794bb80118bb764/independent-review-of-ggr.pdf" TargetMode="External"/><Relationship Id="rId12" Type="http://schemas.openxmlformats.org/officeDocument/2006/relationships/hyperlink" Target="https://rmi.org/wp-content/uploads/dlm_uploads/2023/11/applied_innovation_roadmap_CDR.pdf" TargetMode="External"/><Relationship Id="rId17" Type="http://schemas.openxmlformats.org/officeDocument/2006/relationships/hyperlink" Target="https://a-us.storyblok.com/f/1020427/x/fd2f5080ab/the-benefits-of-innovation-an-assessment-of-the-economic-opportunities-of-highly-durable-carbon-dioxide-removal.pdf" TargetMode="External"/><Relationship Id="rId25" Type="http://schemas.openxmlformats.org/officeDocument/2006/relationships/hyperlink" Target="https://rmi.org/insight/scaling-technological-greenhouse-gas-removal-a-global-roadmap-to-2050/" TargetMode="External"/><Relationship Id="rId33" Type="http://schemas.openxmlformats.org/officeDocument/2006/relationships/hyperlink" Target="https://a-us.storyblok.com/f/1020427/x/fd2f5080ab/the-benefits-of-innovation-an-assessment-of-the-economic-opportunities-of-highly-durable-carbon-dioxide-removal.pdf" TargetMode="External"/><Relationship Id="rId38" Type="http://schemas.openxmlformats.org/officeDocument/2006/relationships/hyperlink" Target="https://a-us.storyblok.com/f/1020427/x/fd2f5080ab/the-benefits-of-innovation-an-assessment-of-the-economic-opportunities-of-highly-durable-carbon-dioxide-removal.pdf" TargetMode="External"/><Relationship Id="rId46" Type="http://schemas.openxmlformats.org/officeDocument/2006/relationships/hyperlink" Target="https://a-us.storyblok.com/f/1020427/x/fd2f5080ab/the-benefits-of-innovation-an-assessment-of-the-economic-opportunities-of-highly-durable-carbon-dioxide-removal.pdf" TargetMode="External"/><Relationship Id="rId59" Type="http://schemas.openxmlformats.org/officeDocument/2006/relationships/hyperlink" Target="https://a-us.storyblok.com/f/1020427/x/fd2f5080ab/the-benefits-of-innovation-an-assessment-of-the-economic-opportunities-of-highly-durable-carbon-dioxide-removal.pdf" TargetMode="External"/><Relationship Id="rId67" Type="http://schemas.openxmlformats.org/officeDocument/2006/relationships/hyperlink" Target="https://a-us.storyblok.com/f/1020427/x/fd2f5080ab/the-benefits-of-innovation-an-assessment-of-the-economic-opportunities-of-highly-durable-carbon-dioxide-removal.pdf" TargetMode="External"/><Relationship Id="rId20" Type="http://schemas.openxmlformats.org/officeDocument/2006/relationships/hyperlink" Target="https://a-us.storyblok.com/f/1020427/x/fd2f5080ab/the-benefits-of-innovation-an-assessment-of-the-economic-opportunities-of-highly-durable-carbon-dioxide-removal.pdf" TargetMode="External"/><Relationship Id="rId41" Type="http://schemas.openxmlformats.org/officeDocument/2006/relationships/hyperlink" Target="https://a-us.storyblok.com/f/1020427/x/fd2f5080ab/the-benefits-of-innovation-an-assessment-of-the-economic-opportunities-of-highly-durable-carbon-dioxide-removal.pdf" TargetMode="External"/><Relationship Id="rId54" Type="http://schemas.openxmlformats.org/officeDocument/2006/relationships/hyperlink" Target="https://a-us.storyblok.com/f/1020427/x/fd2f5080ab/the-benefits-of-innovation-an-assessment-of-the-economic-opportunities-of-highly-durable-carbon-dioxide-removal.pdf" TargetMode="External"/><Relationship Id="rId62" Type="http://schemas.openxmlformats.org/officeDocument/2006/relationships/hyperlink" Target="https://a-us.storyblok.com/f/1020427/x/fd2f5080ab/the-benefits-of-innovation-an-assessment-of-the-economic-opportunities-of-highly-durable-carbon-dioxide-removal.pdf" TargetMode="External"/><Relationship Id="rId70" Type="http://schemas.openxmlformats.org/officeDocument/2006/relationships/hyperlink" Target="https://a-us.storyblok.com/f/1020427/x/fd2f5080ab/the-benefits-of-innovation-an-assessment-of-the-economic-opportunities-of-highly-durable-carbon-dioxide-removal.pdf" TargetMode="External"/><Relationship Id="rId75" Type="http://schemas.openxmlformats.org/officeDocument/2006/relationships/hyperlink" Target="https://www.fisheries.noaa.gov/feature-story/habitat-restoration-supports-jobs-stewardship" TargetMode="External"/><Relationship Id="rId1" Type="http://schemas.openxmlformats.org/officeDocument/2006/relationships/hyperlink" Target="https://www.americanforests.org/wp-content/uploads/2023/10/Key-Log-Economics-Memo_Potential-Employment-Impacts-of-Reforestation-Investments-May-2020.pdf?utm_source=chatgpt.comhttps://preview-www.nature.com/articles/s41558-024-02068-1.pdf" TargetMode="External"/><Relationship Id="rId6" Type="http://schemas.openxmlformats.org/officeDocument/2006/relationships/hyperlink" Target="https://a-us.storyblok.com/f/1020427/x/fd2f5080ab/the-benefits-of-innovation-an-assessment-of-the-economic-opportunities-of-highly-durable-carbon-dioxide-removal.pdf" TargetMode="External"/><Relationship Id="rId15" Type="http://schemas.openxmlformats.org/officeDocument/2006/relationships/hyperlink" Target="https://www.pnas.org/doi/10.1073/pnas.2217695120" TargetMode="External"/><Relationship Id="rId23" Type="http://schemas.openxmlformats.org/officeDocument/2006/relationships/hyperlink" Target="https://a-us.storyblok.com/f/1020427/x/fd2f5080ab/the-benefits-of-innovation-an-assessment-of-the-economic-opportunities-of-highly-durable-carbon-dioxide-removal.pdf" TargetMode="External"/><Relationship Id="rId28" Type="http://schemas.openxmlformats.org/officeDocument/2006/relationships/hyperlink" Target="https://a-us.storyblok.com/f/1020427/x/fd2f5080ab/the-benefits-of-innovation-an-assessment-of-the-economic-opportunities-of-highly-durable-carbon-dioxide-removal.pdf" TargetMode="External"/><Relationship Id="rId36" Type="http://schemas.openxmlformats.org/officeDocument/2006/relationships/hyperlink" Target="https://a-us.storyblok.com/f/1020427/x/fd2f5080ab/the-benefits-of-innovation-an-assessment-of-the-economic-opportunities-of-highly-durable-carbon-dioxide-removal.pdf" TargetMode="External"/><Relationship Id="rId49" Type="http://schemas.openxmlformats.org/officeDocument/2006/relationships/hyperlink" Target="https://a-us.storyblok.com/f/1020427/x/fd2f5080ab/the-benefits-of-innovation-an-assessment-of-the-economic-opportunities-of-highly-durable-carbon-dioxide-removal.pdf" TargetMode="External"/><Relationship Id="rId57" Type="http://schemas.openxmlformats.org/officeDocument/2006/relationships/hyperlink" Target="https://a-us.storyblok.com/f/1020427/x/fd2f5080ab/the-benefits-of-innovation-an-assessment-of-the-economic-opportunities-of-highly-durable-carbon-dioxide-removal.pdf" TargetMode="External"/><Relationship Id="rId10" Type="http://schemas.openxmlformats.org/officeDocument/2006/relationships/hyperlink" Target="https://rmi.org/insight/scaling-technological-greenhouse-gas-removal-a-global-roadmap-to-2050/" TargetMode="External"/><Relationship Id="rId31" Type="http://schemas.openxmlformats.org/officeDocument/2006/relationships/hyperlink" Target="https://a-us.storyblok.com/f/1020427/x/fd2f5080ab/the-benefits-of-innovation-an-assessment-of-the-economic-opportunities-of-highly-durable-carbon-dioxide-removal.pdf" TargetMode="External"/><Relationship Id="rId44" Type="http://schemas.openxmlformats.org/officeDocument/2006/relationships/hyperlink" Target="https://a-us.storyblok.com/f/1020427/x/fd2f5080ab/the-benefits-of-innovation-an-assessment-of-the-economic-opportunities-of-highly-durable-carbon-dioxide-removal.pdf" TargetMode="External"/><Relationship Id="rId52" Type="http://schemas.openxmlformats.org/officeDocument/2006/relationships/hyperlink" Target="https://a-us.storyblok.com/f/1020427/x/fd2f5080ab/the-benefits-of-innovation-an-assessment-of-the-economic-opportunities-of-highly-durable-carbon-dioxide-removal.pdf" TargetMode="External"/><Relationship Id="rId60" Type="http://schemas.openxmlformats.org/officeDocument/2006/relationships/hyperlink" Target="https://a-us.storyblok.com/f/1020427/x/fd2f5080ab/the-benefits-of-innovation-an-assessment-of-the-economic-opportunities-of-highly-durable-carbon-dioxide-removal.pdf" TargetMode="External"/><Relationship Id="rId65" Type="http://schemas.openxmlformats.org/officeDocument/2006/relationships/hyperlink" Target="https://rmi.org/insight/scaling-technological-greenhouse-gas-removal-a-global-roadmap-to-2050/" TargetMode="External"/><Relationship Id="rId73" Type="http://schemas.openxmlformats.org/officeDocument/2006/relationships/hyperlink" Target="https://www.pnas.org/doi/10.1073/pnas.2217695120" TargetMode="External"/><Relationship Id="rId78" Type="http://schemas.openxmlformats.org/officeDocument/2006/relationships/drawing" Target="../drawings/drawing2.xml"/><Relationship Id="rId4" Type="http://schemas.openxmlformats.org/officeDocument/2006/relationships/hyperlink" Target="https://carboncredits.com/what-makes-forest-project-quality-carbon-removal-for-pachama/" TargetMode="External"/><Relationship Id="rId9" Type="http://schemas.openxmlformats.org/officeDocument/2006/relationships/hyperlink" Target="https://assets.publishing.service.gov.uk/media/616ff80ce90e07197b571c95/ggr-methods-potential-deployment.pdf" TargetMode="External"/><Relationship Id="rId13" Type="http://schemas.openxmlformats.org/officeDocument/2006/relationships/hyperlink" Target="https://rmi.org/wp-content/uploads/dlm_uploads/2023/11/applied_innovation_roadmap_CDR.pdf" TargetMode="External"/><Relationship Id="rId18" Type="http://schemas.openxmlformats.org/officeDocument/2006/relationships/hyperlink" Target="https://a-us.storyblok.com/f/1020427/x/fd2f5080ab/the-benefits-of-innovation-an-assessment-of-the-economic-opportunities-of-highly-durable-carbon-dioxide-removal.pdf" TargetMode="External"/><Relationship Id="rId39" Type="http://schemas.openxmlformats.org/officeDocument/2006/relationships/hyperlink" Target="https://a-us.storyblok.com/f/1020427/x/fd2f5080ab/the-benefits-of-innovation-an-assessment-of-the-economic-opportunities-of-highly-durable-carbon-dioxide-removal.pdf" TargetMode="External"/><Relationship Id="rId34" Type="http://schemas.openxmlformats.org/officeDocument/2006/relationships/hyperlink" Target="https://a-us.storyblok.com/f/1020427/x/fd2f5080ab/the-benefits-of-innovation-an-assessment-of-the-economic-opportunities-of-highly-durable-carbon-dioxide-removal.pdf" TargetMode="External"/><Relationship Id="rId50" Type="http://schemas.openxmlformats.org/officeDocument/2006/relationships/hyperlink" Target="https://a-us.storyblok.com/f/1020427/x/fd2f5080ab/the-benefits-of-innovation-an-assessment-of-the-economic-opportunities-of-highly-durable-carbon-dioxide-removal.pdf" TargetMode="External"/><Relationship Id="rId55" Type="http://schemas.openxmlformats.org/officeDocument/2006/relationships/hyperlink" Target="https://a-us.storyblok.com/f/1020427/x/fd2f5080ab/the-benefits-of-innovation-an-assessment-of-the-economic-opportunities-of-highly-durable-carbon-dioxide-removal.pdf" TargetMode="External"/><Relationship Id="rId76" Type="http://schemas.openxmlformats.org/officeDocument/2006/relationships/hyperlink" Target="https://rmi.org/wp-content/uploads/dlm_uploads/2025/04/building_with_biomass_a_new_american_harvest.pdf" TargetMode="External"/><Relationship Id="rId7" Type="http://schemas.openxmlformats.org/officeDocument/2006/relationships/hyperlink" Target="https://a-us.storyblok.com/f/1020427/x/fd2f5080ab/the-benefits-of-innovation-an-assessment-of-the-economic-opportunities-of-highly-durable-carbon-dioxide-removal.pdf" TargetMode="External"/><Relationship Id="rId71" Type="http://schemas.openxmlformats.org/officeDocument/2006/relationships/hyperlink" Target="https://docs.nrel.gov/docs/fy16osti/64772.pdf" TargetMode="External"/><Relationship Id="rId2" Type="http://schemas.openxmlformats.org/officeDocument/2006/relationships/hyperlink" Target="https://www.americanforests.org/wp-content/uploads/2023/10/Key-Log-Economics-Memo_Potential-Employment-Impacts-of-Reforestation-Investments-May-2020.pdf?utm_source=chatgpt.comhttps://preview-www.nature.com/articles/s41558-024-02068-1.pdf" TargetMode="External"/><Relationship Id="rId29" Type="http://schemas.openxmlformats.org/officeDocument/2006/relationships/hyperlink" Target="https://a-us.storyblok.com/f/1020427/x/fd2f5080ab/the-benefits-of-innovation-an-assessment-of-the-economic-opportunities-of-highly-durable-carbon-dioxide-remov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0"/>
  <sheetViews>
    <sheetView showGridLines="0" topLeftCell="A6" zoomScaleNormal="100" workbookViewId="0">
      <selection activeCell="C30" sqref="C30"/>
    </sheetView>
  </sheetViews>
  <sheetFormatPr defaultColWidth="8.85546875" defaultRowHeight="14.45"/>
  <cols>
    <col min="1" max="1" width="2.42578125" customWidth="1"/>
    <col min="2" max="2" width="33.140625" bestFit="1" customWidth="1"/>
    <col min="3" max="3" width="18.85546875" customWidth="1"/>
    <col min="4" max="4" width="19.42578125" customWidth="1"/>
    <col min="5" max="5" width="18.140625" bestFit="1" customWidth="1"/>
    <col min="6" max="6" width="18.85546875" bestFit="1" customWidth="1"/>
    <col min="7" max="7" width="12.42578125" bestFit="1" customWidth="1"/>
    <col min="8" max="8" width="14.5703125" bestFit="1" customWidth="1"/>
  </cols>
  <sheetData>
    <row r="1" spans="2:8" ht="15" thickBot="1"/>
    <row r="2" spans="2:8">
      <c r="B2" s="138" t="s">
        <v>0</v>
      </c>
      <c r="C2" s="5" t="s">
        <v>1</v>
      </c>
      <c r="D2" s="5" t="s">
        <v>2</v>
      </c>
      <c r="E2" s="5" t="s">
        <v>3</v>
      </c>
      <c r="F2" s="5" t="s">
        <v>4</v>
      </c>
      <c r="G2" s="5" t="s">
        <v>5</v>
      </c>
      <c r="H2" s="6" t="s">
        <v>6</v>
      </c>
    </row>
    <row r="3" spans="2:8">
      <c r="B3" s="139"/>
      <c r="C3" s="3" t="s">
        <v>7</v>
      </c>
      <c r="D3" s="3" t="s">
        <v>7</v>
      </c>
      <c r="E3" s="3" t="s">
        <v>8</v>
      </c>
      <c r="F3" s="3" t="s">
        <v>8</v>
      </c>
      <c r="G3" s="3" t="s">
        <v>9</v>
      </c>
      <c r="H3" s="7" t="s">
        <v>9</v>
      </c>
    </row>
    <row r="4" spans="2:8">
      <c r="B4" s="1" t="s">
        <v>10</v>
      </c>
      <c r="C4" s="88">
        <f>'Scale Calculations'!C5</f>
        <v>5000000</v>
      </c>
      <c r="D4" s="88">
        <f>'Scale Calculations'!C6</f>
        <v>6000000</v>
      </c>
      <c r="E4" s="38">
        <f>'Job Creation Rate Calculations'!C24</f>
        <v>26.984999999999999</v>
      </c>
      <c r="F4" s="38">
        <f>'Job Creation Rate Calculations'!C25</f>
        <v>3572.8</v>
      </c>
      <c r="G4" s="88">
        <f t="shared" ref="G4:H7" si="0">C4*E4/10^6</f>
        <v>134.92500000000001</v>
      </c>
      <c r="H4" s="122">
        <f t="shared" si="0"/>
        <v>21436.799999999999</v>
      </c>
    </row>
    <row r="5" spans="2:8">
      <c r="B5" s="1" t="s">
        <v>11</v>
      </c>
      <c r="C5" s="88">
        <f>'Scale Calculations'!C16</f>
        <v>11380.210627500001</v>
      </c>
      <c r="D5" s="88">
        <f>'Scale Calculations'!C17</f>
        <v>379685.2091175</v>
      </c>
      <c r="E5" s="38">
        <f>'Job Creation Rate Calculations'!C38</f>
        <v>577.5</v>
      </c>
      <c r="F5" s="38">
        <f>'Job Creation Rate Calculations'!C39</f>
        <v>1032.5</v>
      </c>
      <c r="G5" s="88">
        <f t="shared" si="0"/>
        <v>6.5720716373812502</v>
      </c>
      <c r="H5" s="122">
        <f t="shared" si="0"/>
        <v>392.0249784138187</v>
      </c>
    </row>
    <row r="6" spans="2:8">
      <c r="B6" s="1" t="s">
        <v>12</v>
      </c>
      <c r="C6" s="88">
        <f>'Scale Calculations'!C29</f>
        <v>37600</v>
      </c>
      <c r="D6" s="88">
        <f>'Scale Calculations'!C30</f>
        <v>117500</v>
      </c>
      <c r="E6" s="38">
        <f>'Job Creation Rate Calculations'!C54</f>
        <v>341.25</v>
      </c>
      <c r="F6" s="38">
        <f>'Job Creation Rate Calculations'!C55</f>
        <v>1890</v>
      </c>
      <c r="G6" s="88">
        <f t="shared" si="0"/>
        <v>12.831</v>
      </c>
      <c r="H6" s="122">
        <f t="shared" si="0"/>
        <v>222.07499999999999</v>
      </c>
    </row>
    <row r="7" spans="2:8">
      <c r="B7" s="1" t="s">
        <v>13</v>
      </c>
      <c r="C7" s="129">
        <f>'Scale Calculations'!C39</f>
        <v>805272.71759999997</v>
      </c>
      <c r="D7" s="129">
        <f>'Scale Calculations'!C40</f>
        <v>1171218.5472666668</v>
      </c>
      <c r="E7" s="38">
        <f>'Job Creation Rate Calculations'!C69</f>
        <v>1260</v>
      </c>
      <c r="F7" s="38">
        <f>'Job Creation Rate Calculations'!C70</f>
        <v>2100</v>
      </c>
      <c r="G7" s="88">
        <f t="shared" si="0"/>
        <v>1014.643624176</v>
      </c>
      <c r="H7" s="122">
        <f t="shared" si="0"/>
        <v>2459.5589492600002</v>
      </c>
    </row>
    <row r="8" spans="2:8">
      <c r="B8" s="1" t="s">
        <v>14</v>
      </c>
      <c r="C8" s="129" t="str">
        <f>'Scale Calculations'!C59</f>
        <v>N/A</v>
      </c>
      <c r="D8" s="129">
        <f>'Scale Calculations'!C60</f>
        <v>4599529.1377325375</v>
      </c>
      <c r="E8" s="38">
        <f>'Job Creation Rate Calculations'!C83</f>
        <v>4049.9999999999995</v>
      </c>
      <c r="F8" s="38">
        <f>'Job Creation Rate Calculations'!C84</f>
        <v>19620</v>
      </c>
      <c r="G8" s="88" t="s">
        <v>15</v>
      </c>
      <c r="H8" s="122">
        <f>D8*F8/10^6</f>
        <v>90242.761682312383</v>
      </c>
    </row>
    <row r="9" spans="2:8">
      <c r="B9" s="1" t="s">
        <v>16</v>
      </c>
      <c r="C9" s="129">
        <f>'Scale Calculations'!C69</f>
        <v>113790.69560000001</v>
      </c>
      <c r="D9" s="129">
        <f>'Scale Calculations'!C70</f>
        <v>124587.5956</v>
      </c>
      <c r="E9" s="38">
        <f>'Job Creation Rate Calculations'!C97</f>
        <v>1645.5569155446756</v>
      </c>
      <c r="F9" s="38">
        <f>'Job Creation Rate Calculations'!C98</f>
        <v>2785.4345165238678</v>
      </c>
      <c r="G9" s="88">
        <f>C9*E9/10^6</f>
        <v>187.24906606921908</v>
      </c>
      <c r="H9" s="122">
        <f>D9*F9/10^6</f>
        <v>347.03058911495714</v>
      </c>
    </row>
    <row r="10" spans="2:8">
      <c r="B10" s="1" t="s">
        <v>17</v>
      </c>
      <c r="C10" s="129">
        <f>'Scale Calculations'!C84</f>
        <v>398096.19507999998</v>
      </c>
      <c r="D10" s="129">
        <f>'Scale Calculations'!C85</f>
        <v>1100629.9278000002</v>
      </c>
      <c r="E10" s="38">
        <f>'Job Creation Rate Calculations'!C112</f>
        <v>1365</v>
      </c>
      <c r="F10" s="38">
        <f>'Job Creation Rate Calculations'!C113</f>
        <v>2520</v>
      </c>
      <c r="G10" s="88">
        <f>C10*E10/10^6</f>
        <v>543.4013062841999</v>
      </c>
      <c r="H10" s="122">
        <f>D10*F10/10^6</f>
        <v>2773.5874180560004</v>
      </c>
    </row>
    <row r="11" spans="2:8">
      <c r="B11" s="1" t="s">
        <v>18</v>
      </c>
      <c r="C11" s="88">
        <f>'Scale Calculations'!C110</f>
        <v>426386.33980000002</v>
      </c>
      <c r="D11" s="88">
        <f>'Scale Calculations'!C111</f>
        <v>526712.53740000003</v>
      </c>
      <c r="E11" s="38">
        <f>'Job Creation Rate Calculations'!C126</f>
        <v>1365</v>
      </c>
      <c r="F11" s="38">
        <f>'Job Creation Rate Calculations'!C127</f>
        <v>2520</v>
      </c>
      <c r="G11" s="88">
        <f>C11*E11/10^6</f>
        <v>582.01735382699997</v>
      </c>
      <c r="H11" s="122">
        <f>D11*F11/10^6</f>
        <v>1327.3155942480003</v>
      </c>
    </row>
    <row r="12" spans="2:8">
      <c r="B12" s="1" t="s">
        <v>19</v>
      </c>
      <c r="C12" s="88">
        <f>'Scale Calculations'!C129</f>
        <v>1841535.1280367691</v>
      </c>
      <c r="D12" s="88">
        <f>'Scale Calculations'!C130</f>
        <v>7762541.0374261327</v>
      </c>
      <c r="E12" s="38">
        <f>'Job Creation Rate Calculations'!C140</f>
        <v>346.60875375877049</v>
      </c>
      <c r="F12" s="38">
        <f>'Job Creation Rate Calculations'!C141</f>
        <v>1948.0592642668025</v>
      </c>
      <c r="G12" s="88">
        <f>C12*E12/10^6</f>
        <v>638.2921957318224</v>
      </c>
      <c r="H12" s="122">
        <f>D12*F12/10^6</f>
        <v>15121.889982209213</v>
      </c>
    </row>
    <row r="13" spans="2:8">
      <c r="B13" s="1" t="s">
        <v>20</v>
      </c>
      <c r="C13" s="88" t="str">
        <f>'Scale Calculations'!C148</f>
        <v>N/A</v>
      </c>
      <c r="D13" s="88" t="str">
        <f>'Scale Calculations'!C149</f>
        <v>N/A</v>
      </c>
      <c r="E13" s="88" t="str">
        <f>'Job Creation Rate Calculations'!C146</f>
        <v>N/A</v>
      </c>
      <c r="F13" s="88" t="str">
        <f>'Job Creation Rate Calculations'!C147</f>
        <v>N/A</v>
      </c>
      <c r="G13" s="88" t="s">
        <v>15</v>
      </c>
      <c r="H13" s="122" t="s">
        <v>15</v>
      </c>
    </row>
    <row r="14" spans="2:8">
      <c r="B14" s="1" t="s">
        <v>21</v>
      </c>
      <c r="C14" s="88" t="str">
        <f>'Scale Calculations'!C157</f>
        <v>N/A</v>
      </c>
      <c r="D14" s="88" t="str">
        <f>'Scale Calculations'!C158</f>
        <v>N/A</v>
      </c>
      <c r="E14" s="38">
        <f>'Job Creation Rate Calculations'!C161</f>
        <v>525</v>
      </c>
      <c r="F14" s="38">
        <f>'Job Creation Rate Calculations'!C162</f>
        <v>980</v>
      </c>
      <c r="G14" s="88" t="s">
        <v>15</v>
      </c>
      <c r="H14" s="122" t="s">
        <v>15</v>
      </c>
    </row>
    <row r="15" spans="2:8">
      <c r="B15" s="1" t="s">
        <v>22</v>
      </c>
      <c r="C15" s="88">
        <f>'Scale Calculations'!C170</f>
        <v>563690.90231999999</v>
      </c>
      <c r="D15" s="88">
        <f>'Scale Calculations'!C171</f>
        <v>1007247.9506493334</v>
      </c>
      <c r="E15" s="38">
        <f>'Job Creation Rate Calculations'!C175</f>
        <v>1365</v>
      </c>
      <c r="F15" s="38">
        <f>'Job Creation Rate Calculations'!C176</f>
        <v>2520</v>
      </c>
      <c r="G15" s="88">
        <f t="shared" ref="G15:G23" si="1">C15*E15/10^6</f>
        <v>769.43808166680003</v>
      </c>
      <c r="H15" s="122">
        <f t="shared" ref="H15:H23" si="2">D15*F15/10^6</f>
        <v>2538.2648356363202</v>
      </c>
    </row>
    <row r="16" spans="2:8">
      <c r="B16" s="1" t="s">
        <v>23</v>
      </c>
      <c r="C16" s="88">
        <f>'Scale Calculations'!C187</f>
        <v>112738.180464</v>
      </c>
      <c r="D16" s="88">
        <f>'Scale Calculations'!C188</f>
        <v>1007247.9506493334</v>
      </c>
      <c r="E16" s="38">
        <f>'Job Creation Rate Calculations'!C189</f>
        <v>1365</v>
      </c>
      <c r="F16" s="38">
        <f>'Job Creation Rate Calculations'!C190</f>
        <v>2520</v>
      </c>
      <c r="G16" s="88">
        <f t="shared" si="1"/>
        <v>153.88761633336003</v>
      </c>
      <c r="H16" s="122">
        <f t="shared" si="2"/>
        <v>2538.2648356363202</v>
      </c>
    </row>
    <row r="17" spans="2:8">
      <c r="B17" s="1" t="s">
        <v>24</v>
      </c>
      <c r="C17" s="88">
        <f>'Scale Calculations'!C204</f>
        <v>653696.06560000009</v>
      </c>
      <c r="D17" s="88">
        <f>'Scale Calculations'!C205</f>
        <v>1257107.8184615385</v>
      </c>
      <c r="E17" s="38">
        <f>'Job Creation Rate Calculations'!C203</f>
        <v>1286.25</v>
      </c>
      <c r="F17" s="38">
        <f>'Job Creation Rate Calculations'!C204</f>
        <v>2275</v>
      </c>
      <c r="G17" s="88">
        <f t="shared" si="1"/>
        <v>840.81656437800018</v>
      </c>
      <c r="H17" s="122">
        <f t="shared" si="2"/>
        <v>2859.9202869999999</v>
      </c>
    </row>
    <row r="18" spans="2:8">
      <c r="B18" s="1" t="s">
        <v>25</v>
      </c>
      <c r="C18" s="88">
        <f>'Scale Calculations'!C231</f>
        <v>3115718.8124156543</v>
      </c>
      <c r="D18" s="88">
        <f>'Scale Calculations'!C232</f>
        <v>11683945.546558702</v>
      </c>
      <c r="E18" s="38">
        <f>'Job Creation Rate Calculations'!C217</f>
        <v>1286.25</v>
      </c>
      <c r="F18" s="38">
        <f>'Job Creation Rate Calculations'!C218</f>
        <v>2275</v>
      </c>
      <c r="G18" s="88">
        <f t="shared" si="1"/>
        <v>4007.5933224696355</v>
      </c>
      <c r="H18" s="122">
        <f t="shared" si="2"/>
        <v>26580.976118421047</v>
      </c>
    </row>
    <row r="19" spans="2:8">
      <c r="B19" s="1" t="s">
        <v>26</v>
      </c>
      <c r="C19" s="88">
        <f>'Scale Calculations'!C252</f>
        <v>42175.55999999999</v>
      </c>
      <c r="D19" s="88">
        <f>'Scale Calculations'!C253</f>
        <v>100077.6</v>
      </c>
      <c r="E19" s="38">
        <f>'Job Creation Rate Calculations'!C231</f>
        <v>1286.25</v>
      </c>
      <c r="F19" s="38">
        <f>'Job Creation Rate Calculations'!C232</f>
        <v>2275</v>
      </c>
      <c r="G19" s="88">
        <f t="shared" si="1"/>
        <v>54.248314049999991</v>
      </c>
      <c r="H19" s="122">
        <f t="shared" si="2"/>
        <v>227.67653999999999</v>
      </c>
    </row>
    <row r="20" spans="2:8">
      <c r="B20" s="1" t="s">
        <v>27</v>
      </c>
      <c r="C20" s="88">
        <f>'Scale Calculations'!C270</f>
        <v>1551796.918860801</v>
      </c>
      <c r="D20" s="88">
        <f>'Scale Calculations'!C271</f>
        <v>2069062.5584810684</v>
      </c>
      <c r="E20" s="38">
        <f>'Job Creation Rate Calculations'!C245</f>
        <v>918.75</v>
      </c>
      <c r="F20" s="38">
        <f>'Job Creation Rate Calculations'!C246</f>
        <v>1645</v>
      </c>
      <c r="G20" s="88">
        <f t="shared" si="1"/>
        <v>1425.7134192033611</v>
      </c>
      <c r="H20" s="122">
        <f t="shared" si="2"/>
        <v>3403.6079087013572</v>
      </c>
    </row>
    <row r="21" spans="2:8">
      <c r="B21" s="1" t="s">
        <v>28</v>
      </c>
      <c r="C21" s="88">
        <f>'Scale Calculations'!C287</f>
        <v>1551796.918860801</v>
      </c>
      <c r="D21" s="88">
        <f>'Scale Calculations'!C288</f>
        <v>2069062.5584810684</v>
      </c>
      <c r="E21" s="38">
        <f>'Job Creation Rate Calculations'!C259</f>
        <v>603.75</v>
      </c>
      <c r="F21" s="38">
        <f>'Job Creation Rate Calculations'!C260</f>
        <v>1155</v>
      </c>
      <c r="G21" s="88">
        <f t="shared" si="1"/>
        <v>936.8973897622086</v>
      </c>
      <c r="H21" s="122">
        <f t="shared" si="2"/>
        <v>2389.7672550456336</v>
      </c>
    </row>
    <row r="22" spans="2:8">
      <c r="B22" s="1" t="s">
        <v>29</v>
      </c>
      <c r="C22" s="88">
        <f>'Scale Calculations'!C301</f>
        <v>1551796.918860801</v>
      </c>
      <c r="D22" s="88">
        <f>'Scale Calculations'!C302</f>
        <v>2069062.5584810684</v>
      </c>
      <c r="E22" s="38">
        <f>'Job Creation Rate Calculations'!C273</f>
        <v>918.75</v>
      </c>
      <c r="F22" s="38">
        <f>'Job Creation Rate Calculations'!C274</f>
        <v>1645</v>
      </c>
      <c r="G22" s="88">
        <f t="shared" si="1"/>
        <v>1425.7134192033611</v>
      </c>
      <c r="H22" s="122">
        <f t="shared" si="2"/>
        <v>3403.6079087013572</v>
      </c>
    </row>
    <row r="23" spans="2:8">
      <c r="B23" s="1" t="s">
        <v>30</v>
      </c>
      <c r="C23" s="88">
        <f>'Scale Calculations'!C315</f>
        <v>1884545.4545454541</v>
      </c>
      <c r="D23" s="88">
        <f>'Scale Calculations'!C316</f>
        <v>4145999.9999999991</v>
      </c>
      <c r="E23" s="38">
        <f>'Job Creation Rate Calculations'!C287</f>
        <v>840</v>
      </c>
      <c r="F23" s="38">
        <f>'Job Creation Rate Calculations'!C288</f>
        <v>1540</v>
      </c>
      <c r="G23" s="88">
        <f t="shared" si="1"/>
        <v>1583.0181818181816</v>
      </c>
      <c r="H23" s="122">
        <f t="shared" si="2"/>
        <v>6384.8399999999983</v>
      </c>
    </row>
    <row r="24" spans="2:8">
      <c r="B24" s="1" t="s">
        <v>31</v>
      </c>
      <c r="C24" s="89">
        <f>'Scale Calculations'!C327</f>
        <v>0</v>
      </c>
      <c r="D24" s="89">
        <f>'Scale Calculations'!C328</f>
        <v>0</v>
      </c>
      <c r="E24" s="38">
        <f>'Job Creation Rate Calculations'!C301</f>
        <v>1851.15</v>
      </c>
      <c r="F24" s="38">
        <f>'Job Creation Rate Calculations'!C302</f>
        <v>3612</v>
      </c>
      <c r="G24" s="126">
        <v>0</v>
      </c>
      <c r="H24" s="127">
        <v>0</v>
      </c>
    </row>
    <row r="25" spans="2:8">
      <c r="B25" s="1" t="s">
        <v>32</v>
      </c>
      <c r="C25" s="90">
        <f>'Scale Calculations'!C336</f>
        <v>0</v>
      </c>
      <c r="D25" s="89">
        <f>'Scale Calculations'!C337</f>
        <v>0</v>
      </c>
      <c r="E25" s="38">
        <f>'Job Creation Rate Calculations'!C315</f>
        <v>1851.15</v>
      </c>
      <c r="F25" s="38">
        <f>'Job Creation Rate Calculations'!C316</f>
        <v>3612</v>
      </c>
      <c r="G25" s="126">
        <f>C25*E25/10^6</f>
        <v>0</v>
      </c>
      <c r="H25" s="127">
        <f>D25*F25/10^6</f>
        <v>0</v>
      </c>
    </row>
    <row r="26" spans="2:8" ht="15" thickBot="1">
      <c r="B26" s="2" t="s">
        <v>33</v>
      </c>
      <c r="C26" s="91" t="str">
        <f>'Scale Calculations'!C342</f>
        <v>N/A</v>
      </c>
      <c r="D26" s="91">
        <f>'Scale Calculations'!C343</f>
        <v>19527200</v>
      </c>
      <c r="E26" s="87">
        <f>'Job Creation Rate Calculations'!C329</f>
        <v>840</v>
      </c>
      <c r="F26" s="87">
        <f>'Job Creation Rate Calculations'!C330</f>
        <v>1540</v>
      </c>
      <c r="G26" s="91" t="s">
        <v>15</v>
      </c>
      <c r="H26" s="128">
        <f>D26*F26/10^6</f>
        <v>30071.887999999999</v>
      </c>
    </row>
    <row r="28" spans="2:8" ht="49.5" customHeight="1">
      <c r="B28" s="140" t="s">
        <v>34</v>
      </c>
      <c r="C28" s="141"/>
      <c r="D28" s="141"/>
      <c r="E28" s="141"/>
      <c r="F28" s="141"/>
      <c r="G28" s="141"/>
      <c r="H28" s="141"/>
    </row>
    <row r="30" spans="2:8">
      <c r="C30" s="137"/>
      <c r="D30" s="137"/>
    </row>
  </sheetData>
  <mergeCells count="2">
    <mergeCell ref="B2:B3"/>
    <mergeCell ref="B28:H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D0BEF-255F-4C6B-B571-68D23C778A0A}">
  <dimension ref="A2:I346"/>
  <sheetViews>
    <sheetView showGridLines="0" tabSelected="1" topLeftCell="A247" zoomScaleNormal="100" workbookViewId="0">
      <selection activeCell="C255" sqref="C255"/>
    </sheetView>
  </sheetViews>
  <sheetFormatPr defaultColWidth="8.85546875" defaultRowHeight="14.45"/>
  <cols>
    <col min="1" max="1" width="2.42578125" customWidth="1"/>
    <col min="2" max="2" width="22.140625" customWidth="1"/>
    <col min="3" max="3" width="15.5703125" customWidth="1"/>
    <col min="5" max="5" width="28.5703125" customWidth="1"/>
    <col min="6" max="6" width="13.85546875" customWidth="1"/>
    <col min="7" max="7" width="10.42578125" style="25" customWidth="1"/>
    <col min="8" max="8" width="40.42578125" customWidth="1"/>
    <col min="9" max="9" width="44.42578125" customWidth="1"/>
  </cols>
  <sheetData>
    <row r="2" spans="1:9" s="9" customFormat="1" ht="18.600000000000001">
      <c r="A2"/>
      <c r="B2" s="12" t="s">
        <v>10</v>
      </c>
      <c r="G2" s="53"/>
    </row>
    <row r="3" spans="1:9" ht="15" thickBot="1"/>
    <row r="4" spans="1:9" ht="15" thickBot="1">
      <c r="B4" s="149" t="s">
        <v>35</v>
      </c>
      <c r="C4" s="150"/>
      <c r="E4" s="146" t="s">
        <v>36</v>
      </c>
      <c r="F4" s="147"/>
      <c r="G4" s="147"/>
      <c r="H4" s="147"/>
      <c r="I4" s="148"/>
    </row>
    <row r="5" spans="1:9">
      <c r="B5" s="13" t="s">
        <v>37</v>
      </c>
      <c r="C5" s="14">
        <f>F6</f>
        <v>5000000</v>
      </c>
      <c r="E5" s="46" t="s">
        <v>38</v>
      </c>
      <c r="F5" s="47" t="s">
        <v>39</v>
      </c>
      <c r="G5" s="55" t="s">
        <v>40</v>
      </c>
      <c r="H5" s="47" t="s">
        <v>41</v>
      </c>
      <c r="I5" s="48" t="s">
        <v>42</v>
      </c>
    </row>
    <row r="6" spans="1:9" ht="29.45" thickBot="1">
      <c r="B6" s="2" t="s">
        <v>43</v>
      </c>
      <c r="C6" s="11">
        <f>F7</f>
        <v>6000000</v>
      </c>
      <c r="E6" s="30" t="s">
        <v>44</v>
      </c>
      <c r="F6" s="10">
        <v>5000000</v>
      </c>
      <c r="G6" s="26" t="s">
        <v>45</v>
      </c>
      <c r="H6" s="26" t="s">
        <v>46</v>
      </c>
      <c r="I6" s="42" t="s">
        <v>47</v>
      </c>
    </row>
    <row r="7" spans="1:9" ht="29.1">
      <c r="E7" s="30" t="s">
        <v>48</v>
      </c>
      <c r="F7" s="10">
        <v>6000000</v>
      </c>
      <c r="G7" s="26" t="s">
        <v>45</v>
      </c>
      <c r="H7" s="26" t="s">
        <v>46</v>
      </c>
      <c r="I7" s="42" t="s">
        <v>47</v>
      </c>
    </row>
    <row r="8" spans="1:9" ht="29.1">
      <c r="E8" s="30" t="s">
        <v>49</v>
      </c>
      <c r="F8" s="71">
        <v>100000</v>
      </c>
      <c r="G8" s="26" t="s">
        <v>45</v>
      </c>
      <c r="H8" s="37" t="s">
        <v>50</v>
      </c>
      <c r="I8" s="42" t="s">
        <v>47</v>
      </c>
    </row>
    <row r="9" spans="1:9" ht="29.45" thickBot="1">
      <c r="E9" s="61" t="s">
        <v>51</v>
      </c>
      <c r="F9" s="95">
        <v>600000</v>
      </c>
      <c r="G9" s="33" t="s">
        <v>45</v>
      </c>
      <c r="H9" s="73" t="s">
        <v>52</v>
      </c>
      <c r="I9" s="43" t="s">
        <v>47</v>
      </c>
    </row>
    <row r="13" spans="1:9" s="9" customFormat="1" ht="18.600000000000001">
      <c r="A13"/>
      <c r="B13" s="12" t="s">
        <v>11</v>
      </c>
      <c r="G13" s="53"/>
    </row>
    <row r="14" spans="1:9" ht="15" thickBot="1"/>
    <row r="15" spans="1:9" ht="15" thickBot="1">
      <c r="B15" s="149" t="s">
        <v>35</v>
      </c>
      <c r="C15" s="150"/>
      <c r="E15" s="149" t="s">
        <v>36</v>
      </c>
      <c r="F15" s="151"/>
      <c r="G15" s="151"/>
      <c r="H15" s="151"/>
      <c r="I15" s="150"/>
    </row>
    <row r="16" spans="1:9">
      <c r="B16" s="13" t="s">
        <v>37</v>
      </c>
      <c r="C16" s="14">
        <f>F23</f>
        <v>11380.210627500001</v>
      </c>
      <c r="E16" s="20" t="s">
        <v>38</v>
      </c>
      <c r="F16" s="21" t="s">
        <v>39</v>
      </c>
      <c r="G16" s="54" t="s">
        <v>40</v>
      </c>
      <c r="H16" s="21" t="s">
        <v>41</v>
      </c>
      <c r="I16" s="22" t="s">
        <v>42</v>
      </c>
    </row>
    <row r="17" spans="1:9" ht="29.45" thickBot="1">
      <c r="B17" s="2" t="s">
        <v>43</v>
      </c>
      <c r="C17" s="11">
        <f>F24</f>
        <v>379685.2091175</v>
      </c>
      <c r="E17" s="16" t="s">
        <v>53</v>
      </c>
      <c r="F17" s="15">
        <v>464451</v>
      </c>
      <c r="G17" s="26" t="s">
        <v>54</v>
      </c>
      <c r="H17" s="26" t="s">
        <v>55</v>
      </c>
      <c r="I17" s="44" t="s">
        <v>56</v>
      </c>
    </row>
    <row r="18" spans="1:9" ht="29.1">
      <c r="E18" s="16" t="s">
        <v>57</v>
      </c>
      <c r="F18" s="27">
        <v>0.11</v>
      </c>
      <c r="G18" s="26" t="s">
        <v>58</v>
      </c>
      <c r="H18" s="26" t="s">
        <v>59</v>
      </c>
      <c r="I18" s="41" t="s">
        <v>60</v>
      </c>
    </row>
    <row r="19" spans="1:9" ht="29.1">
      <c r="E19" s="16" t="s">
        <v>61</v>
      </c>
      <c r="F19" s="27">
        <v>3.67</v>
      </c>
      <c r="G19" s="26" t="s">
        <v>58</v>
      </c>
      <c r="H19" s="26" t="s">
        <v>62</v>
      </c>
      <c r="I19" s="44" t="s">
        <v>60</v>
      </c>
    </row>
    <row r="20" spans="1:9" ht="43.5">
      <c r="E20" s="30" t="s">
        <v>63</v>
      </c>
      <c r="F20" s="10">
        <v>45</v>
      </c>
      <c r="G20" s="26" t="s">
        <v>64</v>
      </c>
      <c r="H20" s="26" t="s">
        <v>65</v>
      </c>
      <c r="I20" s="44" t="s">
        <v>66</v>
      </c>
    </row>
    <row r="21" spans="1:9">
      <c r="E21" s="16" t="s">
        <v>67</v>
      </c>
      <c r="F21" s="27">
        <v>0.40500000000000003</v>
      </c>
      <c r="G21" s="26"/>
      <c r="H21" s="26"/>
      <c r="I21" s="31" t="s">
        <v>68</v>
      </c>
    </row>
    <row r="22" spans="1:9" ht="29.1">
      <c r="E22" s="30" t="s">
        <v>69</v>
      </c>
      <c r="F22" s="29">
        <f>F17*F21*(1-F20/100)</f>
        <v>103456.46025</v>
      </c>
      <c r="G22" s="26" t="s">
        <v>70</v>
      </c>
      <c r="H22" s="26"/>
      <c r="I22" s="31" t="s">
        <v>71</v>
      </c>
    </row>
    <row r="23" spans="1:9">
      <c r="E23" s="16" t="s">
        <v>72</v>
      </c>
      <c r="F23" s="29">
        <f>F18*F22</f>
        <v>11380.210627500001</v>
      </c>
      <c r="G23" s="26" t="s">
        <v>45</v>
      </c>
      <c r="H23" s="26" t="s">
        <v>73</v>
      </c>
      <c r="I23" s="31" t="s">
        <v>71</v>
      </c>
    </row>
    <row r="24" spans="1:9" ht="15" thickBot="1">
      <c r="E24" s="17" t="s">
        <v>74</v>
      </c>
      <c r="F24" s="32">
        <f>F22*F19</f>
        <v>379685.2091175</v>
      </c>
      <c r="G24" s="33" t="s">
        <v>45</v>
      </c>
      <c r="H24" s="33" t="s">
        <v>75</v>
      </c>
      <c r="I24" s="34" t="s">
        <v>71</v>
      </c>
    </row>
    <row r="26" spans="1:9" s="9" customFormat="1" ht="18.600000000000001">
      <c r="A26"/>
      <c r="B26" s="12" t="s">
        <v>76</v>
      </c>
      <c r="G26" s="53"/>
    </row>
    <row r="27" spans="1:9" ht="15" thickBot="1"/>
    <row r="28" spans="1:9" ht="15" thickBot="1">
      <c r="B28" s="149" t="s">
        <v>35</v>
      </c>
      <c r="C28" s="150"/>
      <c r="E28" s="149" t="s">
        <v>36</v>
      </c>
      <c r="F28" s="151"/>
      <c r="G28" s="151"/>
      <c r="H28" s="151"/>
      <c r="I28" s="150"/>
    </row>
    <row r="29" spans="1:9">
      <c r="B29" s="13" t="s">
        <v>37</v>
      </c>
      <c r="C29" s="14">
        <f>F33</f>
        <v>37600</v>
      </c>
      <c r="E29" s="20" t="s">
        <v>38</v>
      </c>
      <c r="F29" s="21" t="s">
        <v>39</v>
      </c>
      <c r="G29" s="54" t="s">
        <v>40</v>
      </c>
      <c r="H29" s="21" t="s">
        <v>41</v>
      </c>
      <c r="I29" s="22" t="s">
        <v>42</v>
      </c>
    </row>
    <row r="30" spans="1:9" ht="58.5" thickBot="1">
      <c r="B30" s="2" t="s">
        <v>43</v>
      </c>
      <c r="C30" s="11">
        <f>F34</f>
        <v>117500</v>
      </c>
      <c r="E30" s="40" t="s">
        <v>77</v>
      </c>
      <c r="F30" s="38">
        <v>47000</v>
      </c>
      <c r="G30" s="37" t="s">
        <v>54</v>
      </c>
      <c r="H30" s="37" t="s">
        <v>78</v>
      </c>
      <c r="I30" s="31" t="s">
        <v>79</v>
      </c>
    </row>
    <row r="31" spans="1:9" ht="29.1">
      <c r="E31" s="40" t="s">
        <v>80</v>
      </c>
      <c r="F31" s="39">
        <v>0.8</v>
      </c>
      <c r="G31" s="37" t="s">
        <v>81</v>
      </c>
      <c r="H31" s="37" t="s">
        <v>82</v>
      </c>
      <c r="I31" s="31" t="s">
        <v>79</v>
      </c>
    </row>
    <row r="32" spans="1:9" ht="35.1" customHeight="1">
      <c r="E32" s="40" t="s">
        <v>83</v>
      </c>
      <c r="F32" s="39">
        <v>2.5</v>
      </c>
      <c r="G32" s="37" t="s">
        <v>81</v>
      </c>
      <c r="H32" s="37" t="s">
        <v>84</v>
      </c>
      <c r="I32" s="31" t="s">
        <v>79</v>
      </c>
    </row>
    <row r="33" spans="1:9">
      <c r="E33" s="16" t="s">
        <v>72</v>
      </c>
      <c r="F33" s="10">
        <f>F30*F31</f>
        <v>37600</v>
      </c>
      <c r="G33" s="26" t="s">
        <v>45</v>
      </c>
      <c r="H33" s="26" t="s">
        <v>85</v>
      </c>
      <c r="I33" s="31" t="s">
        <v>71</v>
      </c>
    </row>
    <row r="34" spans="1:9" ht="15" thickBot="1">
      <c r="E34" s="17" t="s">
        <v>74</v>
      </c>
      <c r="F34" s="18">
        <f>F30*F32</f>
        <v>117500</v>
      </c>
      <c r="G34" s="33" t="s">
        <v>45</v>
      </c>
      <c r="H34" s="33" t="s">
        <v>86</v>
      </c>
      <c r="I34" s="34" t="s">
        <v>71</v>
      </c>
    </row>
    <row r="35" spans="1:9">
      <c r="E35" s="24"/>
      <c r="F35" s="35"/>
      <c r="G35" s="24"/>
      <c r="H35" s="24"/>
      <c r="I35" s="36"/>
    </row>
    <row r="36" spans="1:9" s="9" customFormat="1" ht="18.600000000000001">
      <c r="A36"/>
      <c r="B36" s="12" t="s">
        <v>87</v>
      </c>
      <c r="G36" s="53"/>
    </row>
    <row r="37" spans="1:9" ht="15" thickBot="1"/>
    <row r="38" spans="1:9" ht="15" thickBot="1">
      <c r="B38" s="149" t="s">
        <v>35</v>
      </c>
      <c r="C38" s="150"/>
      <c r="E38" s="149" t="s">
        <v>36</v>
      </c>
      <c r="F38" s="151"/>
      <c r="G38" s="151"/>
      <c r="H38" s="151"/>
      <c r="I38" s="150"/>
    </row>
    <row r="39" spans="1:9">
      <c r="B39" s="13" t="s">
        <v>37</v>
      </c>
      <c r="C39" s="14">
        <f>F54</f>
        <v>805272.71759999997</v>
      </c>
      <c r="E39" s="46" t="s">
        <v>38</v>
      </c>
      <c r="F39" s="47" t="s">
        <v>39</v>
      </c>
      <c r="G39" s="55" t="s">
        <v>40</v>
      </c>
      <c r="H39" s="47" t="s">
        <v>41</v>
      </c>
      <c r="I39" s="48" t="s">
        <v>42</v>
      </c>
    </row>
    <row r="40" spans="1:9" ht="44.1" thickBot="1">
      <c r="B40" s="2" t="s">
        <v>43</v>
      </c>
      <c r="C40" s="11">
        <f>F53</f>
        <v>1171218.5472666668</v>
      </c>
      <c r="E40" s="40" t="s">
        <v>88</v>
      </c>
      <c r="F40" s="60">
        <v>47234.04</v>
      </c>
      <c r="G40" s="37" t="s">
        <v>89</v>
      </c>
      <c r="H40" s="37" t="s">
        <v>90</v>
      </c>
      <c r="I40" s="41" t="s">
        <v>91</v>
      </c>
    </row>
    <row r="41" spans="1:9" ht="43.5">
      <c r="E41" s="40" t="s">
        <v>92</v>
      </c>
      <c r="F41" s="60">
        <v>21593.8</v>
      </c>
      <c r="G41" s="37" t="s">
        <v>89</v>
      </c>
      <c r="H41" s="37" t="s">
        <v>90</v>
      </c>
      <c r="I41" s="41" t="s">
        <v>91</v>
      </c>
    </row>
    <row r="42" spans="1:9" ht="43.5">
      <c r="E42" s="40" t="s">
        <v>93</v>
      </c>
      <c r="F42" s="4">
        <v>641449</v>
      </c>
      <c r="G42" s="37" t="s">
        <v>89</v>
      </c>
      <c r="H42" s="37" t="s">
        <v>94</v>
      </c>
      <c r="I42" s="41" t="s">
        <v>95</v>
      </c>
    </row>
    <row r="43" spans="1:9" ht="43.5">
      <c r="E43" s="40" t="s">
        <v>96</v>
      </c>
      <c r="F43" s="4">
        <v>2</v>
      </c>
      <c r="G43" s="37" t="s">
        <v>97</v>
      </c>
      <c r="H43" s="26"/>
      <c r="I43" s="41" t="s">
        <v>98</v>
      </c>
    </row>
    <row r="44" spans="1:9" ht="43.5">
      <c r="E44" s="40" t="s">
        <v>99</v>
      </c>
      <c r="F44" s="4">
        <v>1.5</v>
      </c>
      <c r="G44" s="37" t="s">
        <v>97</v>
      </c>
      <c r="H44" s="26"/>
      <c r="I44" s="41" t="s">
        <v>98</v>
      </c>
    </row>
    <row r="45" spans="1:9" ht="29.1">
      <c r="E45" s="40" t="s">
        <v>100</v>
      </c>
      <c r="F45" s="59">
        <f>0.47*44/12</f>
        <v>1.7233333333333334</v>
      </c>
      <c r="G45" s="37" t="s">
        <v>97</v>
      </c>
      <c r="H45" s="26" t="s">
        <v>101</v>
      </c>
      <c r="I45" s="135" t="s">
        <v>102</v>
      </c>
    </row>
    <row r="46" spans="1:9" ht="43.5">
      <c r="E46" s="40" t="s">
        <v>103</v>
      </c>
      <c r="F46" s="59">
        <f>0.445*44/12</f>
        <v>1.6316666666666668</v>
      </c>
      <c r="G46" s="37" t="s">
        <v>97</v>
      </c>
      <c r="H46" s="26" t="s">
        <v>104</v>
      </c>
      <c r="I46" s="41" t="s">
        <v>105</v>
      </c>
    </row>
    <row r="47" spans="1:9" ht="43.5">
      <c r="E47" s="40" t="s">
        <v>106</v>
      </c>
      <c r="F47" s="59">
        <f>0.294*44/12</f>
        <v>1.0780000000000001</v>
      </c>
      <c r="G47" s="37" t="s">
        <v>97</v>
      </c>
      <c r="H47" s="26" t="s">
        <v>107</v>
      </c>
      <c r="I47" s="41" t="s">
        <v>105</v>
      </c>
    </row>
    <row r="48" spans="1:9">
      <c r="E48" s="1" t="s">
        <v>108</v>
      </c>
      <c r="F48" s="60">
        <f>F41*F43</f>
        <v>43187.6</v>
      </c>
      <c r="G48" s="26" t="s">
        <v>45</v>
      </c>
      <c r="H48" s="37"/>
      <c r="I48" s="49" t="s">
        <v>71</v>
      </c>
    </row>
    <row r="49" spans="1:9">
      <c r="E49" s="1" t="s">
        <v>109</v>
      </c>
      <c r="F49" s="60">
        <f>F41*F44</f>
        <v>32390.699999999997</v>
      </c>
      <c r="G49" s="26" t="s">
        <v>45</v>
      </c>
      <c r="H49" s="37"/>
      <c r="I49" s="49" t="s">
        <v>71</v>
      </c>
    </row>
    <row r="50" spans="1:9">
      <c r="E50" s="1" t="s">
        <v>110</v>
      </c>
      <c r="F50" s="60">
        <f>F40*F45</f>
        <v>81399.995600000009</v>
      </c>
      <c r="G50" s="26" t="s">
        <v>45</v>
      </c>
      <c r="H50" s="37"/>
      <c r="I50" s="49" t="s">
        <v>71</v>
      </c>
    </row>
    <row r="51" spans="1:9">
      <c r="E51" s="1" t="s">
        <v>111</v>
      </c>
      <c r="F51" s="60">
        <f>F42*F46</f>
        <v>1046630.9516666668</v>
      </c>
      <c r="G51" s="26" t="s">
        <v>45</v>
      </c>
      <c r="H51" s="37"/>
      <c r="I51" s="49" t="s">
        <v>71</v>
      </c>
    </row>
    <row r="52" spans="1:9">
      <c r="E52" s="1" t="s">
        <v>112</v>
      </c>
      <c r="F52" s="60">
        <f>F42*F47</f>
        <v>691482.022</v>
      </c>
      <c r="G52" s="26" t="s">
        <v>45</v>
      </c>
      <c r="H52" s="37"/>
      <c r="I52" s="49" t="s">
        <v>71</v>
      </c>
    </row>
    <row r="53" spans="1:9">
      <c r="E53" s="16" t="s">
        <v>74</v>
      </c>
      <c r="F53" s="45">
        <f>F51+F50+F48</f>
        <v>1171218.5472666668</v>
      </c>
      <c r="G53" s="26" t="s">
        <v>45</v>
      </c>
      <c r="H53" s="26"/>
      <c r="I53" s="50" t="s">
        <v>71</v>
      </c>
    </row>
    <row r="54" spans="1:9" ht="15" thickBot="1">
      <c r="E54" s="17" t="s">
        <v>72</v>
      </c>
      <c r="F54" s="51">
        <f>F52+F50+F49</f>
        <v>805272.71759999997</v>
      </c>
      <c r="G54" s="33" t="s">
        <v>45</v>
      </c>
      <c r="H54" s="33"/>
      <c r="I54" s="52" t="s">
        <v>71</v>
      </c>
    </row>
    <row r="55" spans="1:9">
      <c r="H55" s="25"/>
      <c r="I55" s="25"/>
    </row>
    <row r="56" spans="1:9" s="9" customFormat="1" ht="18.600000000000001">
      <c r="A56"/>
      <c r="B56" s="12" t="s">
        <v>113</v>
      </c>
      <c r="G56" s="53"/>
    </row>
    <row r="57" spans="1:9" ht="15" thickBot="1"/>
    <row r="58" spans="1:9" ht="15" thickBot="1">
      <c r="B58" s="149" t="s">
        <v>35</v>
      </c>
      <c r="C58" s="150"/>
      <c r="E58" s="146" t="s">
        <v>36</v>
      </c>
      <c r="F58" s="147"/>
      <c r="G58" s="147"/>
      <c r="H58" s="147"/>
      <c r="I58" s="148"/>
    </row>
    <row r="59" spans="1:9">
      <c r="B59" s="13" t="s">
        <v>37</v>
      </c>
      <c r="C59" s="14" t="s">
        <v>15</v>
      </c>
      <c r="E59" s="46" t="s">
        <v>38</v>
      </c>
      <c r="F59" s="47" t="s">
        <v>39</v>
      </c>
      <c r="G59" s="55" t="s">
        <v>40</v>
      </c>
      <c r="H59" s="47" t="s">
        <v>41</v>
      </c>
      <c r="I59" s="48" t="s">
        <v>42</v>
      </c>
    </row>
    <row r="60" spans="1:9" ht="58.5" thickBot="1">
      <c r="B60" s="2" t="s">
        <v>43</v>
      </c>
      <c r="C60" s="11">
        <f>F64</f>
        <v>4599529.1377325375</v>
      </c>
      <c r="E60" s="40" t="s">
        <v>114</v>
      </c>
      <c r="F60" s="4">
        <v>4</v>
      </c>
      <c r="G60" s="37" t="s">
        <v>115</v>
      </c>
      <c r="H60" s="37" t="s">
        <v>116</v>
      </c>
      <c r="I60" s="41" t="s">
        <v>117</v>
      </c>
    </row>
    <row r="61" spans="1:9" ht="43.5">
      <c r="E61" s="40" t="s">
        <v>118</v>
      </c>
      <c r="F61" s="4">
        <v>2841421</v>
      </c>
      <c r="G61" s="37" t="s">
        <v>54</v>
      </c>
      <c r="H61" s="37" t="s">
        <v>119</v>
      </c>
      <c r="I61" s="41" t="s">
        <v>120</v>
      </c>
    </row>
    <row r="62" spans="1:9" ht="29.1">
      <c r="E62" s="40" t="s">
        <v>121</v>
      </c>
      <c r="F62" s="59">
        <v>2.4710538099999999</v>
      </c>
      <c r="G62" s="37" t="s">
        <v>122</v>
      </c>
      <c r="H62" s="37" t="s">
        <v>123</v>
      </c>
      <c r="I62" s="31" t="s">
        <v>124</v>
      </c>
    </row>
    <row r="63" spans="1:9">
      <c r="E63" s="40" t="s">
        <v>125</v>
      </c>
      <c r="F63" s="60">
        <f>F61/F62</f>
        <v>1149882.2844331344</v>
      </c>
      <c r="G63" s="37" t="s">
        <v>126</v>
      </c>
      <c r="H63" s="37" t="s">
        <v>123</v>
      </c>
      <c r="I63" s="31" t="s">
        <v>71</v>
      </c>
    </row>
    <row r="64" spans="1:9" ht="58.5" thickBot="1">
      <c r="E64" s="61" t="s">
        <v>127</v>
      </c>
      <c r="F64" s="51">
        <f>F63*F60</f>
        <v>4599529.1377325375</v>
      </c>
      <c r="G64" s="33" t="s">
        <v>45</v>
      </c>
      <c r="H64" s="33" t="s">
        <v>128</v>
      </c>
      <c r="I64" s="34" t="s">
        <v>71</v>
      </c>
    </row>
    <row r="65" spans="1:9">
      <c r="E65" s="25"/>
      <c r="H65" s="24"/>
      <c r="I65" s="58"/>
    </row>
    <row r="66" spans="1:9" s="9" customFormat="1" ht="18.600000000000001">
      <c r="A66"/>
      <c r="B66" s="12" t="s">
        <v>129</v>
      </c>
      <c r="G66" s="53"/>
    </row>
    <row r="67" spans="1:9" ht="15" thickBot="1"/>
    <row r="68" spans="1:9" ht="15" thickBot="1">
      <c r="B68" s="149" t="s">
        <v>35</v>
      </c>
      <c r="C68" s="150"/>
      <c r="E68" s="146" t="s">
        <v>36</v>
      </c>
      <c r="F68" s="147"/>
      <c r="G68" s="147"/>
      <c r="H68" s="147"/>
      <c r="I68" s="148"/>
    </row>
    <row r="69" spans="1:9">
      <c r="B69" s="62" t="s">
        <v>37</v>
      </c>
      <c r="C69" s="64">
        <f>F79</f>
        <v>113790.69560000001</v>
      </c>
      <c r="E69" s="46" t="s">
        <v>38</v>
      </c>
      <c r="F69" s="47" t="s">
        <v>39</v>
      </c>
      <c r="G69" s="55" t="s">
        <v>40</v>
      </c>
      <c r="H69" s="47" t="s">
        <v>41</v>
      </c>
      <c r="I69" s="65" t="s">
        <v>42</v>
      </c>
    </row>
    <row r="70" spans="1:9" ht="44.1" thickBot="1">
      <c r="B70" s="2" t="s">
        <v>43</v>
      </c>
      <c r="C70" s="63">
        <f>F78</f>
        <v>124587.5956</v>
      </c>
      <c r="E70" s="40" t="s">
        <v>130</v>
      </c>
      <c r="F70" s="60">
        <v>21593.8</v>
      </c>
      <c r="G70" s="4" t="s">
        <v>89</v>
      </c>
      <c r="H70" s="37" t="s">
        <v>131</v>
      </c>
      <c r="I70" s="41" t="s">
        <v>132</v>
      </c>
    </row>
    <row r="71" spans="1:9" ht="43.5">
      <c r="E71" s="40" t="s">
        <v>133</v>
      </c>
      <c r="F71" s="60">
        <v>47234.04</v>
      </c>
      <c r="G71" s="4" t="s">
        <v>89</v>
      </c>
      <c r="H71" s="37" t="s">
        <v>134</v>
      </c>
      <c r="I71" s="41" t="s">
        <v>91</v>
      </c>
    </row>
    <row r="72" spans="1:9" ht="43.5">
      <c r="E72" s="40" t="s">
        <v>96</v>
      </c>
      <c r="F72" s="4">
        <v>2</v>
      </c>
      <c r="G72" s="4" t="s">
        <v>97</v>
      </c>
      <c r="H72" s="37"/>
      <c r="I72" s="41" t="s">
        <v>98</v>
      </c>
    </row>
    <row r="73" spans="1:9" ht="43.5">
      <c r="E73" s="40" t="s">
        <v>99</v>
      </c>
      <c r="F73" s="4">
        <v>1.5</v>
      </c>
      <c r="G73" s="4" t="s">
        <v>97</v>
      </c>
      <c r="H73" s="37"/>
      <c r="I73" s="41" t="s">
        <v>98</v>
      </c>
    </row>
    <row r="74" spans="1:9" ht="29.1">
      <c r="E74" s="40" t="s">
        <v>100</v>
      </c>
      <c r="F74" s="59">
        <f>0.47*44/12</f>
        <v>1.7233333333333334</v>
      </c>
      <c r="G74" s="37" t="s">
        <v>97</v>
      </c>
      <c r="H74" s="26" t="s">
        <v>101</v>
      </c>
      <c r="I74" s="135" t="s">
        <v>102</v>
      </c>
    </row>
    <row r="75" spans="1:9">
      <c r="E75" s="1" t="s">
        <v>135</v>
      </c>
      <c r="F75" s="60">
        <f>F70*F73</f>
        <v>32390.699999999997</v>
      </c>
      <c r="G75" s="4" t="s">
        <v>45</v>
      </c>
      <c r="H75" s="4"/>
      <c r="I75" s="66" t="s">
        <v>136</v>
      </c>
    </row>
    <row r="76" spans="1:9">
      <c r="E76" s="1" t="s">
        <v>137</v>
      </c>
      <c r="F76" s="60">
        <f>F70*F72</f>
        <v>43187.6</v>
      </c>
      <c r="G76" s="4" t="s">
        <v>45</v>
      </c>
      <c r="H76" s="37"/>
      <c r="I76" s="66" t="s">
        <v>136</v>
      </c>
    </row>
    <row r="77" spans="1:9">
      <c r="E77" s="1" t="s">
        <v>110</v>
      </c>
      <c r="F77" s="60">
        <f>F71*F74</f>
        <v>81399.995600000009</v>
      </c>
      <c r="G77" s="4" t="s">
        <v>45</v>
      </c>
      <c r="H77" s="4"/>
      <c r="I77" s="66" t="s">
        <v>136</v>
      </c>
    </row>
    <row r="78" spans="1:9">
      <c r="E78" s="40" t="s">
        <v>74</v>
      </c>
      <c r="F78" s="45">
        <f>F76+F77</f>
        <v>124587.5956</v>
      </c>
      <c r="G78" s="4" t="s">
        <v>45</v>
      </c>
      <c r="H78" s="15"/>
      <c r="I78" s="31" t="s">
        <v>136</v>
      </c>
    </row>
    <row r="79" spans="1:9" ht="15" thickBot="1">
      <c r="E79" s="61" t="s">
        <v>72</v>
      </c>
      <c r="F79" s="51">
        <f>F75+F77</f>
        <v>113790.69560000001</v>
      </c>
      <c r="G79" s="8" t="s">
        <v>45</v>
      </c>
      <c r="H79" s="19"/>
      <c r="I79" s="34" t="s">
        <v>136</v>
      </c>
    </row>
    <row r="81" spans="1:9" s="9" customFormat="1" ht="18.600000000000001">
      <c r="A81"/>
      <c r="B81" s="12" t="s">
        <v>17</v>
      </c>
      <c r="G81" s="53"/>
    </row>
    <row r="82" spans="1:9" ht="15" thickBot="1"/>
    <row r="83" spans="1:9" ht="15" thickBot="1">
      <c r="B83" s="149" t="s">
        <v>35</v>
      </c>
      <c r="C83" s="148"/>
      <c r="E83" s="146" t="s">
        <v>36</v>
      </c>
      <c r="F83" s="147"/>
      <c r="G83" s="147"/>
      <c r="H83" s="147"/>
      <c r="I83" s="148"/>
    </row>
    <row r="84" spans="1:9">
      <c r="B84" s="62" t="s">
        <v>37</v>
      </c>
      <c r="C84" s="64">
        <f>F105</f>
        <v>398096.19507999998</v>
      </c>
      <c r="E84" s="46" t="s">
        <v>38</v>
      </c>
      <c r="F84" s="47" t="s">
        <v>39</v>
      </c>
      <c r="G84" s="55" t="s">
        <v>40</v>
      </c>
      <c r="H84" s="47" t="s">
        <v>41</v>
      </c>
      <c r="I84" s="65" t="s">
        <v>42</v>
      </c>
    </row>
    <row r="85" spans="1:9" ht="44.1" thickBot="1">
      <c r="B85" s="2" t="s">
        <v>43</v>
      </c>
      <c r="C85" s="63">
        <f>F104</f>
        <v>1100629.9278000002</v>
      </c>
      <c r="E85" s="40" t="s">
        <v>138</v>
      </c>
      <c r="F85" s="60">
        <v>47234.04</v>
      </c>
      <c r="G85" s="37" t="s">
        <v>89</v>
      </c>
      <c r="H85" s="37" t="s">
        <v>139</v>
      </c>
      <c r="I85" s="41" t="s">
        <v>91</v>
      </c>
    </row>
    <row r="86" spans="1:9" ht="43.5">
      <c r="E86" s="40" t="s">
        <v>140</v>
      </c>
      <c r="F86" s="60">
        <v>21593.8</v>
      </c>
      <c r="G86" s="37" t="s">
        <v>89</v>
      </c>
      <c r="H86" s="37" t="s">
        <v>141</v>
      </c>
      <c r="I86" s="41" t="s">
        <v>132</v>
      </c>
    </row>
    <row r="87" spans="1:9" ht="57.95">
      <c r="E87" s="40" t="s">
        <v>142</v>
      </c>
      <c r="F87" s="45">
        <v>641449</v>
      </c>
      <c r="G87" s="37" t="s">
        <v>89</v>
      </c>
      <c r="H87" s="37" t="s">
        <v>143</v>
      </c>
      <c r="I87" s="41" t="s">
        <v>95</v>
      </c>
    </row>
    <row r="88" spans="1:9" ht="43.5">
      <c r="E88" s="40" t="s">
        <v>144</v>
      </c>
      <c r="F88" s="4">
        <v>0.2</v>
      </c>
      <c r="G88" s="37" t="s">
        <v>145</v>
      </c>
      <c r="H88" s="37" t="s">
        <v>146</v>
      </c>
      <c r="I88" s="41" t="s">
        <v>147</v>
      </c>
    </row>
    <row r="89" spans="1:9" ht="43.5">
      <c r="E89" s="40" t="s">
        <v>148</v>
      </c>
      <c r="F89" s="4">
        <v>0.13</v>
      </c>
      <c r="G89" s="37" t="s">
        <v>145</v>
      </c>
      <c r="H89" s="37" t="s">
        <v>149</v>
      </c>
      <c r="I89" s="41" t="s">
        <v>147</v>
      </c>
    </row>
    <row r="90" spans="1:9" ht="72.599999999999994">
      <c r="E90" s="40" t="s">
        <v>150</v>
      </c>
      <c r="F90" s="4">
        <v>0.61</v>
      </c>
      <c r="G90" s="37" t="s">
        <v>151</v>
      </c>
      <c r="H90" s="37" t="s">
        <v>146</v>
      </c>
      <c r="I90" s="41" t="s">
        <v>105</v>
      </c>
    </row>
    <row r="91" spans="1:9" ht="72.599999999999994">
      <c r="E91" s="40" t="s">
        <v>152</v>
      </c>
      <c r="F91" s="4">
        <v>0.31</v>
      </c>
      <c r="G91" s="37" t="s">
        <v>151</v>
      </c>
      <c r="H91" s="37" t="s">
        <v>149</v>
      </c>
      <c r="I91" s="41" t="s">
        <v>105</v>
      </c>
    </row>
    <row r="92" spans="1:9" ht="43.5" customHeight="1">
      <c r="E92" s="40" t="s">
        <v>153</v>
      </c>
      <c r="F92" s="4">
        <v>0.32</v>
      </c>
      <c r="G92" s="37" t="s">
        <v>154</v>
      </c>
      <c r="H92" s="37" t="s">
        <v>146</v>
      </c>
      <c r="I92" s="41" t="s">
        <v>155</v>
      </c>
    </row>
    <row r="93" spans="1:9" ht="46.5" customHeight="1">
      <c r="E93" s="40" t="s">
        <v>156</v>
      </c>
      <c r="F93" s="4">
        <v>0.21</v>
      </c>
      <c r="G93" s="37" t="s">
        <v>154</v>
      </c>
      <c r="H93" s="37" t="s">
        <v>149</v>
      </c>
      <c r="I93" s="41" t="s">
        <v>155</v>
      </c>
    </row>
    <row r="94" spans="1:9" ht="29.1">
      <c r="E94" s="40" t="s">
        <v>157</v>
      </c>
      <c r="F94" s="4">
        <v>2.7</v>
      </c>
      <c r="G94" s="37" t="s">
        <v>158</v>
      </c>
      <c r="H94" s="37" t="s">
        <v>159</v>
      </c>
      <c r="I94" s="41" t="s">
        <v>160</v>
      </c>
    </row>
    <row r="95" spans="1:9" ht="33.6" customHeight="1">
      <c r="E95" s="40" t="s">
        <v>161</v>
      </c>
      <c r="F95" s="4">
        <v>1.9</v>
      </c>
      <c r="G95" s="37" t="s">
        <v>162</v>
      </c>
      <c r="H95" s="37" t="s">
        <v>163</v>
      </c>
      <c r="I95" s="41" t="s">
        <v>160</v>
      </c>
    </row>
    <row r="96" spans="1:9" ht="29.1">
      <c r="E96" s="40" t="s">
        <v>164</v>
      </c>
      <c r="F96" s="60">
        <f>F85*F88</f>
        <v>9446.8080000000009</v>
      </c>
      <c r="G96" s="37" t="s">
        <v>165</v>
      </c>
      <c r="H96" s="37" t="s">
        <v>15</v>
      </c>
      <c r="I96" s="49" t="s">
        <v>71</v>
      </c>
    </row>
    <row r="97" spans="1:9" ht="29.1">
      <c r="E97" s="40" t="s">
        <v>166</v>
      </c>
      <c r="F97" s="60">
        <f>F85*F89</f>
        <v>6140.4252000000006</v>
      </c>
      <c r="G97" s="37" t="s">
        <v>165</v>
      </c>
      <c r="H97" s="37" t="s">
        <v>167</v>
      </c>
      <c r="I97" s="49" t="s">
        <v>71</v>
      </c>
    </row>
    <row r="98" spans="1:9" ht="29.1">
      <c r="E98" s="40" t="s">
        <v>168</v>
      </c>
      <c r="F98" s="60">
        <f>F90*F87</f>
        <v>391283.89</v>
      </c>
      <c r="G98" s="37" t="s">
        <v>165</v>
      </c>
      <c r="H98" s="37" t="s">
        <v>15</v>
      </c>
      <c r="I98" s="49" t="s">
        <v>71</v>
      </c>
    </row>
    <row r="99" spans="1:9" ht="29.1">
      <c r="E99" s="40" t="s">
        <v>169</v>
      </c>
      <c r="F99" s="60">
        <f>F87*F91</f>
        <v>198849.19</v>
      </c>
      <c r="G99" s="37" t="s">
        <v>165</v>
      </c>
      <c r="H99" s="37" t="s">
        <v>15</v>
      </c>
      <c r="I99" s="49" t="s">
        <v>71</v>
      </c>
    </row>
    <row r="100" spans="1:9" ht="29.1">
      <c r="E100" s="40" t="s">
        <v>170</v>
      </c>
      <c r="F100" s="60">
        <f>F86*F92</f>
        <v>6910.0159999999996</v>
      </c>
      <c r="G100" s="37" t="s">
        <v>165</v>
      </c>
      <c r="H100" s="37" t="s">
        <v>15</v>
      </c>
      <c r="I100" s="49" t="s">
        <v>71</v>
      </c>
    </row>
    <row r="101" spans="1:9" ht="29.1">
      <c r="E101" s="40" t="s">
        <v>171</v>
      </c>
      <c r="F101" s="60">
        <f>F86*F93</f>
        <v>4534.6979999999994</v>
      </c>
      <c r="G101" s="37" t="s">
        <v>165</v>
      </c>
      <c r="H101" s="37" t="s">
        <v>15</v>
      </c>
      <c r="I101" s="49" t="s">
        <v>71</v>
      </c>
    </row>
    <row r="102" spans="1:9" ht="57.95">
      <c r="E102" s="40" t="s">
        <v>172</v>
      </c>
      <c r="F102" s="60">
        <f>F96+F98+F100</f>
        <v>407640.71400000004</v>
      </c>
      <c r="G102" s="37" t="s">
        <v>165</v>
      </c>
      <c r="H102" s="37" t="s">
        <v>173</v>
      </c>
      <c r="I102" s="49" t="s">
        <v>71</v>
      </c>
    </row>
    <row r="103" spans="1:9" ht="57.95">
      <c r="E103" s="40" t="s">
        <v>174</v>
      </c>
      <c r="F103" s="60">
        <f>F97+F99+F101</f>
        <v>209524.3132</v>
      </c>
      <c r="G103" s="37" t="s">
        <v>165</v>
      </c>
      <c r="H103" s="37" t="s">
        <v>175</v>
      </c>
      <c r="I103" s="49" t="s">
        <v>71</v>
      </c>
    </row>
    <row r="104" spans="1:9" ht="29.1">
      <c r="E104" s="16" t="s">
        <v>74</v>
      </c>
      <c r="F104" s="45">
        <f>F102*F94</f>
        <v>1100629.9278000002</v>
      </c>
      <c r="G104" s="26" t="s">
        <v>45</v>
      </c>
      <c r="H104" s="26" t="s">
        <v>176</v>
      </c>
      <c r="I104" s="50" t="s">
        <v>71</v>
      </c>
    </row>
    <row r="105" spans="1:9" ht="29.45" thickBot="1">
      <c r="E105" s="17" t="s">
        <v>72</v>
      </c>
      <c r="F105" s="51">
        <f>F103*F95</f>
        <v>398096.19507999998</v>
      </c>
      <c r="G105" s="33" t="s">
        <v>45</v>
      </c>
      <c r="H105" s="33" t="s">
        <v>177</v>
      </c>
      <c r="I105" s="52" t="s">
        <v>71</v>
      </c>
    </row>
    <row r="106" spans="1:9">
      <c r="F106" s="23"/>
      <c r="G106" s="24"/>
      <c r="H106" s="23"/>
      <c r="I106" s="23"/>
    </row>
    <row r="107" spans="1:9" s="9" customFormat="1" ht="18.600000000000001">
      <c r="A107"/>
      <c r="B107" s="12" t="s">
        <v>18</v>
      </c>
      <c r="G107" s="53"/>
    </row>
    <row r="108" spans="1:9" ht="15" thickBot="1"/>
    <row r="109" spans="1:9" ht="15" thickBot="1">
      <c r="B109" s="149" t="s">
        <v>35</v>
      </c>
      <c r="C109" s="148"/>
      <c r="E109" s="146" t="s">
        <v>36</v>
      </c>
      <c r="F109" s="147"/>
      <c r="G109" s="147"/>
      <c r="H109" s="147"/>
      <c r="I109" s="148"/>
    </row>
    <row r="110" spans="1:9">
      <c r="B110" s="62" t="s">
        <v>37</v>
      </c>
      <c r="C110" s="64">
        <f>F124</f>
        <v>426386.33980000002</v>
      </c>
      <c r="E110" s="46" t="s">
        <v>38</v>
      </c>
      <c r="F110" s="47" t="s">
        <v>39</v>
      </c>
      <c r="G110" s="55" t="s">
        <v>40</v>
      </c>
      <c r="H110" s="47" t="s">
        <v>41</v>
      </c>
      <c r="I110" s="65" t="s">
        <v>42</v>
      </c>
    </row>
    <row r="111" spans="1:9" ht="44.1" thickBot="1">
      <c r="B111" s="2" t="s">
        <v>43</v>
      </c>
      <c r="C111" s="63">
        <f>F123</f>
        <v>526712.53740000003</v>
      </c>
      <c r="E111" s="40" t="s">
        <v>130</v>
      </c>
      <c r="F111" s="60">
        <v>21593.8</v>
      </c>
      <c r="G111" s="4" t="s">
        <v>89</v>
      </c>
      <c r="H111" s="37" t="s">
        <v>178</v>
      </c>
      <c r="I111" s="41" t="s">
        <v>132</v>
      </c>
    </row>
    <row r="112" spans="1:9" ht="43.5">
      <c r="E112" s="40" t="s">
        <v>133</v>
      </c>
      <c r="F112" s="60">
        <v>47234.04</v>
      </c>
      <c r="G112" s="4" t="s">
        <v>89</v>
      </c>
      <c r="H112" s="37" t="s">
        <v>179</v>
      </c>
      <c r="I112" s="41" t="s">
        <v>91</v>
      </c>
    </row>
    <row r="113" spans="1:9" ht="72.599999999999994" customHeight="1">
      <c r="E113" s="40" t="s">
        <v>93</v>
      </c>
      <c r="F113" s="4">
        <v>641449</v>
      </c>
      <c r="G113" s="4" t="s">
        <v>89</v>
      </c>
      <c r="H113" s="37" t="s">
        <v>180</v>
      </c>
      <c r="I113" s="41" t="s">
        <v>95</v>
      </c>
    </row>
    <row r="114" spans="1:9" ht="29.1">
      <c r="E114" s="40" t="s">
        <v>181</v>
      </c>
      <c r="F114" s="4">
        <v>0.6</v>
      </c>
      <c r="G114" s="4" t="s">
        <v>154</v>
      </c>
      <c r="H114" s="37" t="s">
        <v>182</v>
      </c>
      <c r="I114" s="41" t="s">
        <v>183</v>
      </c>
    </row>
    <row r="115" spans="1:9" ht="29.1">
      <c r="E115" s="40" t="s">
        <v>184</v>
      </c>
      <c r="F115" s="4">
        <v>0.5</v>
      </c>
      <c r="G115" s="4" t="s">
        <v>154</v>
      </c>
      <c r="H115" s="37" t="s">
        <v>185</v>
      </c>
      <c r="I115" s="41" t="s">
        <v>183</v>
      </c>
    </row>
    <row r="116" spans="1:9" ht="57.95">
      <c r="E116" s="40" t="s">
        <v>186</v>
      </c>
      <c r="F116" s="4">
        <v>0.33</v>
      </c>
      <c r="G116" s="4" t="s">
        <v>154</v>
      </c>
      <c r="H116" s="37" t="s">
        <v>187</v>
      </c>
      <c r="I116" s="41" t="s">
        <v>188</v>
      </c>
    </row>
    <row r="117" spans="1:9" ht="29.1">
      <c r="E117" s="40" t="s">
        <v>189</v>
      </c>
      <c r="F117" s="4">
        <v>2.1</v>
      </c>
      <c r="G117" s="37" t="s">
        <v>190</v>
      </c>
      <c r="H117" s="37"/>
      <c r="I117" s="41" t="s">
        <v>191</v>
      </c>
    </row>
    <row r="118" spans="1:9" ht="29.1">
      <c r="E118" s="40" t="s">
        <v>192</v>
      </c>
      <c r="F118" s="4">
        <v>1.7</v>
      </c>
      <c r="G118" s="37" t="s">
        <v>190</v>
      </c>
      <c r="H118" s="37"/>
      <c r="I118" s="41" t="s">
        <v>191</v>
      </c>
    </row>
    <row r="119" spans="1:9" ht="29.1">
      <c r="E119" s="40" t="s">
        <v>193</v>
      </c>
      <c r="F119" s="60">
        <f>F111*F115</f>
        <v>10796.9</v>
      </c>
      <c r="G119" s="4" t="s">
        <v>194</v>
      </c>
      <c r="H119" s="37"/>
      <c r="I119" s="49" t="s">
        <v>71</v>
      </c>
    </row>
    <row r="120" spans="1:9">
      <c r="E120" s="40" t="s">
        <v>195</v>
      </c>
      <c r="F120" s="60">
        <f>F112*F114</f>
        <v>28340.423999999999</v>
      </c>
      <c r="G120" s="4" t="s">
        <v>194</v>
      </c>
      <c r="H120" s="37"/>
      <c r="I120" s="49" t="s">
        <v>71</v>
      </c>
    </row>
    <row r="121" spans="1:9" ht="29.1">
      <c r="E121" s="40" t="s">
        <v>196</v>
      </c>
      <c r="F121" s="60">
        <f>F113*F116</f>
        <v>211678.17</v>
      </c>
      <c r="G121" s="4" t="s">
        <v>194</v>
      </c>
      <c r="H121" s="37"/>
      <c r="I121" s="49" t="s">
        <v>71</v>
      </c>
    </row>
    <row r="122" spans="1:9">
      <c r="E122" s="40" t="s">
        <v>197</v>
      </c>
      <c r="F122" s="60">
        <f>SUM(F119:F121)</f>
        <v>250815.49400000001</v>
      </c>
      <c r="G122" s="4" t="s">
        <v>194</v>
      </c>
      <c r="H122" s="37"/>
      <c r="I122" s="49" t="s">
        <v>71</v>
      </c>
    </row>
    <row r="123" spans="1:9">
      <c r="E123" s="30" t="s">
        <v>74</v>
      </c>
      <c r="F123" s="45">
        <f>F122*F117</f>
        <v>526712.53740000003</v>
      </c>
      <c r="G123" s="15" t="s">
        <v>45</v>
      </c>
      <c r="H123" s="26" t="s">
        <v>198</v>
      </c>
      <c r="I123" s="49" t="s">
        <v>71</v>
      </c>
    </row>
    <row r="124" spans="1:9" ht="15" thickBot="1">
      <c r="E124" s="61" t="s">
        <v>72</v>
      </c>
      <c r="F124" s="51">
        <f>F122*F118</f>
        <v>426386.33980000002</v>
      </c>
      <c r="G124" s="73" t="s">
        <v>45</v>
      </c>
      <c r="H124" s="33" t="s">
        <v>199</v>
      </c>
      <c r="I124" s="68" t="s">
        <v>71</v>
      </c>
    </row>
    <row r="125" spans="1:9">
      <c r="E125" s="24"/>
      <c r="F125" s="57"/>
      <c r="G125" s="24"/>
      <c r="H125" s="24"/>
      <c r="I125" s="24"/>
    </row>
    <row r="126" spans="1:9" s="9" customFormat="1" ht="18.600000000000001">
      <c r="A126"/>
      <c r="B126" s="12" t="s">
        <v>200</v>
      </c>
      <c r="G126" s="53"/>
    </row>
    <row r="127" spans="1:9" ht="15" thickBot="1"/>
    <row r="128" spans="1:9" ht="15" thickBot="1">
      <c r="B128" s="149" t="s">
        <v>35</v>
      </c>
      <c r="C128" s="148"/>
      <c r="E128" s="146" t="s">
        <v>36</v>
      </c>
      <c r="F128" s="147"/>
      <c r="G128" s="147"/>
      <c r="H128" s="147"/>
      <c r="I128" s="148"/>
    </row>
    <row r="129" spans="2:9">
      <c r="B129" s="62" t="s">
        <v>37</v>
      </c>
      <c r="C129" s="64">
        <f>F143</f>
        <v>1841535.1280367691</v>
      </c>
      <c r="E129" s="46" t="s">
        <v>38</v>
      </c>
      <c r="F129" s="47" t="s">
        <v>39</v>
      </c>
      <c r="G129" s="55" t="s">
        <v>40</v>
      </c>
      <c r="H129" s="47" t="s">
        <v>41</v>
      </c>
      <c r="I129" s="65" t="s">
        <v>42</v>
      </c>
    </row>
    <row r="130" spans="2:9" ht="72.95" thickBot="1">
      <c r="B130" s="2" t="s">
        <v>43</v>
      </c>
      <c r="C130" s="63">
        <f>F142</f>
        <v>7762541.0374261327</v>
      </c>
      <c r="E130" s="40" t="s">
        <v>201</v>
      </c>
      <c r="F130" s="4">
        <v>79000</v>
      </c>
      <c r="G130" s="37" t="s">
        <v>70</v>
      </c>
      <c r="H130" s="37" t="s">
        <v>202</v>
      </c>
      <c r="I130" s="96" t="s">
        <v>203</v>
      </c>
    </row>
    <row r="131" spans="2:9" ht="43.5">
      <c r="E131" s="40" t="s">
        <v>204</v>
      </c>
      <c r="F131" s="97">
        <f>5000/7615</f>
        <v>0.65659881812212739</v>
      </c>
      <c r="G131" s="37"/>
      <c r="H131" s="37" t="s">
        <v>205</v>
      </c>
      <c r="I131" s="96" t="s">
        <v>206</v>
      </c>
    </row>
    <row r="132" spans="2:9" ht="57.95">
      <c r="E132" s="40" t="s">
        <v>207</v>
      </c>
      <c r="F132" s="4">
        <v>9.6999999999999993</v>
      </c>
      <c r="G132" s="37" t="s">
        <v>208</v>
      </c>
      <c r="H132" s="37" t="s">
        <v>209</v>
      </c>
      <c r="I132" s="96" t="s">
        <v>210</v>
      </c>
    </row>
    <row r="133" spans="2:9" ht="57.95">
      <c r="E133" s="40" t="s">
        <v>211</v>
      </c>
      <c r="F133" s="4">
        <v>20.5</v>
      </c>
      <c r="G133" s="37" t="s">
        <v>208</v>
      </c>
      <c r="H133" s="37" t="s">
        <v>212</v>
      </c>
      <c r="I133" s="96" t="s">
        <v>210</v>
      </c>
    </row>
    <row r="134" spans="2:9">
      <c r="E134" s="40" t="s">
        <v>213</v>
      </c>
      <c r="F134" s="4">
        <v>1000000</v>
      </c>
      <c r="G134" s="37" t="s">
        <v>214</v>
      </c>
      <c r="H134" s="37" t="s">
        <v>215</v>
      </c>
      <c r="I134" s="98" t="s">
        <v>124</v>
      </c>
    </row>
    <row r="135" spans="2:9">
      <c r="E135" s="40" t="s">
        <v>216</v>
      </c>
      <c r="F135" s="4">
        <v>10000</v>
      </c>
      <c r="G135" s="37" t="s">
        <v>217</v>
      </c>
      <c r="H135" s="37" t="s">
        <v>218</v>
      </c>
      <c r="I135" s="98" t="s">
        <v>124</v>
      </c>
    </row>
    <row r="136" spans="2:9" ht="72.599999999999994" customHeight="1">
      <c r="E136" s="40" t="s">
        <v>219</v>
      </c>
      <c r="F136" s="4">
        <f>365-121</f>
        <v>244</v>
      </c>
      <c r="G136" s="37" t="s">
        <v>220</v>
      </c>
      <c r="H136" s="37" t="s">
        <v>221</v>
      </c>
      <c r="I136" s="99" t="s">
        <v>222</v>
      </c>
    </row>
    <row r="137" spans="2:9" ht="72.599999999999994" customHeight="1">
      <c r="E137" s="40" t="s">
        <v>223</v>
      </c>
      <c r="F137" s="4">
        <v>365</v>
      </c>
      <c r="G137" s="37" t="s">
        <v>220</v>
      </c>
      <c r="H137" s="37" t="s">
        <v>224</v>
      </c>
      <c r="I137" s="99"/>
    </row>
    <row r="138" spans="2:9" ht="43.5">
      <c r="E138" s="40" t="s">
        <v>207</v>
      </c>
      <c r="F138" s="72">
        <f>F132/F134*F135*F136</f>
        <v>23.667999999999996</v>
      </c>
      <c r="G138" s="37" t="s">
        <v>225</v>
      </c>
      <c r="H138" s="37"/>
      <c r="I138" s="49" t="s">
        <v>71</v>
      </c>
    </row>
    <row r="139" spans="2:9" ht="43.5">
      <c r="E139" s="40" t="s">
        <v>211</v>
      </c>
      <c r="F139" s="72">
        <f>F133/F134*F135*F137</f>
        <v>74.825000000000003</v>
      </c>
      <c r="G139" s="37" t="s">
        <v>225</v>
      </c>
      <c r="H139" s="37"/>
      <c r="I139" s="49" t="s">
        <v>71</v>
      </c>
    </row>
    <row r="140" spans="2:9" ht="43.5">
      <c r="E140" s="40" t="s">
        <v>226</v>
      </c>
      <c r="F140" s="4">
        <v>2</v>
      </c>
      <c r="G140" s="37" t="s">
        <v>227</v>
      </c>
      <c r="H140" s="37"/>
      <c r="I140" s="96" t="s">
        <v>98</v>
      </c>
    </row>
    <row r="141" spans="2:9" ht="43.5">
      <c r="E141" s="40" t="s">
        <v>228</v>
      </c>
      <c r="F141" s="4">
        <v>1.5</v>
      </c>
      <c r="G141" s="37" t="s">
        <v>227</v>
      </c>
      <c r="H141" s="37"/>
      <c r="I141" s="96" t="s">
        <v>98</v>
      </c>
    </row>
    <row r="142" spans="2:9">
      <c r="E142" s="30" t="s">
        <v>74</v>
      </c>
      <c r="F142" s="60">
        <f>F130*F131*F139*F140</f>
        <v>7762541.0374261327</v>
      </c>
      <c r="G142" s="37" t="s">
        <v>45</v>
      </c>
      <c r="H142" s="37"/>
      <c r="I142" s="98" t="s">
        <v>71</v>
      </c>
    </row>
    <row r="143" spans="2:9" ht="15" thickBot="1">
      <c r="E143" s="61" t="s">
        <v>72</v>
      </c>
      <c r="F143" s="100">
        <f>F130*F131*F138*F141</f>
        <v>1841535.1280367691</v>
      </c>
      <c r="G143" s="73" t="s">
        <v>45</v>
      </c>
      <c r="H143" s="73"/>
      <c r="I143" s="101" t="s">
        <v>71</v>
      </c>
    </row>
    <row r="145" spans="1:9" s="9" customFormat="1" ht="18.600000000000001">
      <c r="A145"/>
      <c r="B145" s="12" t="s">
        <v>229</v>
      </c>
      <c r="G145" s="53"/>
    </row>
    <row r="146" spans="1:9" ht="15" thickBot="1"/>
    <row r="147" spans="1:9" ht="15" thickBot="1">
      <c r="B147" s="149" t="s">
        <v>35</v>
      </c>
      <c r="C147" s="148"/>
      <c r="E147" s="146" t="s">
        <v>36</v>
      </c>
      <c r="F147" s="147"/>
      <c r="G147" s="147"/>
      <c r="H147" s="147"/>
      <c r="I147" s="148"/>
    </row>
    <row r="148" spans="1:9">
      <c r="B148" s="62" t="s">
        <v>37</v>
      </c>
      <c r="C148" s="64" t="s">
        <v>15</v>
      </c>
      <c r="E148" s="46" t="s">
        <v>38</v>
      </c>
      <c r="F148" s="47" t="s">
        <v>39</v>
      </c>
      <c r="G148" s="55" t="s">
        <v>40</v>
      </c>
      <c r="H148" s="47" t="s">
        <v>41</v>
      </c>
      <c r="I148" s="65" t="s">
        <v>42</v>
      </c>
    </row>
    <row r="149" spans="1:9" ht="15" thickBot="1">
      <c r="B149" s="2" t="s">
        <v>43</v>
      </c>
      <c r="C149" s="63" t="s">
        <v>15</v>
      </c>
      <c r="E149" s="74" t="s">
        <v>15</v>
      </c>
      <c r="F149" s="74" t="s">
        <v>15</v>
      </c>
      <c r="G149" s="74" t="s">
        <v>15</v>
      </c>
      <c r="H149" s="74" t="s">
        <v>15</v>
      </c>
      <c r="I149" s="75" t="s">
        <v>15</v>
      </c>
    </row>
    <row r="150" spans="1:9">
      <c r="E150" s="25"/>
      <c r="F150" s="69"/>
      <c r="H150" s="25"/>
      <c r="I150" s="56"/>
    </row>
    <row r="151" spans="1:9">
      <c r="E151" s="25"/>
      <c r="H151" s="25"/>
      <c r="I151" s="56"/>
    </row>
    <row r="152" spans="1:9">
      <c r="E152" s="25"/>
      <c r="F152" s="70"/>
      <c r="H152" s="25"/>
      <c r="I152" s="25"/>
    </row>
    <row r="153" spans="1:9">
      <c r="E153" s="25"/>
      <c r="H153" s="25"/>
      <c r="I153" s="56"/>
    </row>
    <row r="154" spans="1:9" s="9" customFormat="1" ht="18.600000000000001">
      <c r="A154"/>
      <c r="B154" s="12" t="s">
        <v>230</v>
      </c>
      <c r="G154" s="53"/>
    </row>
    <row r="155" spans="1:9" ht="15" thickBot="1"/>
    <row r="156" spans="1:9" ht="15" thickBot="1">
      <c r="B156" s="149" t="s">
        <v>35</v>
      </c>
      <c r="C156" s="148"/>
      <c r="E156" s="146" t="s">
        <v>36</v>
      </c>
      <c r="F156" s="147"/>
      <c r="G156" s="147"/>
      <c r="H156" s="147"/>
      <c r="I156" s="148"/>
    </row>
    <row r="157" spans="1:9">
      <c r="B157" s="62" t="s">
        <v>37</v>
      </c>
      <c r="C157" s="64" t="s">
        <v>15</v>
      </c>
      <c r="E157" s="46" t="s">
        <v>38</v>
      </c>
      <c r="F157" s="47" t="s">
        <v>39</v>
      </c>
      <c r="G157" s="55" t="s">
        <v>40</v>
      </c>
      <c r="H157" s="47" t="s">
        <v>41</v>
      </c>
      <c r="I157" s="65" t="s">
        <v>42</v>
      </c>
    </row>
    <row r="158" spans="1:9" ht="58.5" thickBot="1">
      <c r="B158" s="2" t="s">
        <v>43</v>
      </c>
      <c r="C158" s="63" t="s">
        <v>15</v>
      </c>
      <c r="E158" s="40" t="s">
        <v>231</v>
      </c>
      <c r="F158" s="60">
        <f>1177+1092</f>
        <v>2269</v>
      </c>
      <c r="G158" s="4" t="s">
        <v>232</v>
      </c>
      <c r="H158" s="37" t="s">
        <v>233</v>
      </c>
      <c r="I158" s="41" t="s">
        <v>234</v>
      </c>
    </row>
    <row r="159" spans="1:9" ht="43.5">
      <c r="E159" s="40"/>
      <c r="F159" s="60"/>
      <c r="G159" s="4"/>
      <c r="H159" s="37" t="s">
        <v>235</v>
      </c>
      <c r="I159" s="41" t="s">
        <v>236</v>
      </c>
    </row>
    <row r="160" spans="1:9">
      <c r="E160" s="40" t="s">
        <v>237</v>
      </c>
      <c r="F160" s="59">
        <v>2.5899881103000002</v>
      </c>
      <c r="G160" s="4" t="s">
        <v>238</v>
      </c>
      <c r="H160" s="37" t="s">
        <v>15</v>
      </c>
      <c r="I160" s="31" t="s">
        <v>124</v>
      </c>
    </row>
    <row r="161" spans="1:9" ht="43.5">
      <c r="E161" s="40" t="s">
        <v>239</v>
      </c>
      <c r="F161" s="76">
        <v>6.9999999999999999E-4</v>
      </c>
      <c r="G161" s="4" t="s">
        <v>240</v>
      </c>
      <c r="H161" s="37" t="s">
        <v>241</v>
      </c>
      <c r="I161" s="41" t="s">
        <v>242</v>
      </c>
    </row>
    <row r="162" spans="1:9" ht="29.1">
      <c r="E162" s="40" t="s">
        <v>243</v>
      </c>
      <c r="F162" s="60">
        <f>F158*F160</f>
        <v>5876.6830222707003</v>
      </c>
      <c r="G162" s="4" t="s">
        <v>244</v>
      </c>
      <c r="H162" s="37"/>
      <c r="I162" s="31" t="s">
        <v>71</v>
      </c>
    </row>
    <row r="163" spans="1:9" ht="15" thickBot="1">
      <c r="E163" s="61" t="s">
        <v>74</v>
      </c>
      <c r="F163" s="51">
        <f>F162/F161</f>
        <v>8395261.460386714</v>
      </c>
      <c r="G163" s="19" t="s">
        <v>45</v>
      </c>
      <c r="H163" s="73"/>
      <c r="I163" s="34" t="s">
        <v>71</v>
      </c>
    </row>
    <row r="164" spans="1:9">
      <c r="E164" s="24"/>
      <c r="F164" s="57"/>
      <c r="G164" s="23"/>
      <c r="H164" s="25"/>
      <c r="I164" s="36"/>
    </row>
    <row r="165" spans="1:9">
      <c r="E165" s="24"/>
      <c r="F165" s="57"/>
      <c r="G165" s="23"/>
      <c r="H165" s="25"/>
      <c r="I165" s="36"/>
    </row>
    <row r="167" spans="1:9" s="9" customFormat="1" ht="18.600000000000001">
      <c r="A167"/>
      <c r="B167" s="12" t="s">
        <v>245</v>
      </c>
      <c r="G167" s="53"/>
    </row>
    <row r="168" spans="1:9" ht="15" thickBot="1"/>
    <row r="169" spans="1:9" ht="15" thickBot="1">
      <c r="B169" s="149" t="s">
        <v>35</v>
      </c>
      <c r="C169" s="148"/>
      <c r="E169" s="146" t="s">
        <v>36</v>
      </c>
      <c r="F169" s="147"/>
      <c r="G169" s="147"/>
      <c r="H169" s="147"/>
      <c r="I169" s="148"/>
    </row>
    <row r="170" spans="1:9">
      <c r="B170" s="62" t="s">
        <v>37</v>
      </c>
      <c r="C170" s="64">
        <f>F182</f>
        <v>563690.90231999999</v>
      </c>
      <c r="E170" s="46" t="s">
        <v>38</v>
      </c>
      <c r="F170" s="47" t="s">
        <v>39</v>
      </c>
      <c r="G170" s="55" t="s">
        <v>40</v>
      </c>
      <c r="H170" s="47" t="s">
        <v>41</v>
      </c>
      <c r="I170" s="65" t="s">
        <v>42</v>
      </c>
    </row>
    <row r="171" spans="1:9" ht="44.1" thickBot="1">
      <c r="B171" s="2" t="s">
        <v>43</v>
      </c>
      <c r="C171" s="63">
        <f>F181</f>
        <v>1007247.9506493334</v>
      </c>
      <c r="E171" s="40" t="s">
        <v>130</v>
      </c>
      <c r="F171" s="123">
        <v>21593.8</v>
      </c>
      <c r="G171" s="37" t="s">
        <v>89</v>
      </c>
      <c r="H171" s="37" t="s">
        <v>246</v>
      </c>
      <c r="I171" s="41" t="s">
        <v>132</v>
      </c>
    </row>
    <row r="172" spans="1:9" ht="43.5">
      <c r="E172" s="40" t="s">
        <v>133</v>
      </c>
      <c r="F172" s="60">
        <v>47234.04</v>
      </c>
      <c r="G172" s="37" t="s">
        <v>89</v>
      </c>
      <c r="H172" s="37" t="s">
        <v>247</v>
      </c>
      <c r="I172" s="41" t="s">
        <v>91</v>
      </c>
    </row>
    <row r="173" spans="1:9" ht="43.5">
      <c r="E173" s="40" t="s">
        <v>93</v>
      </c>
      <c r="F173" s="4">
        <v>641449</v>
      </c>
      <c r="G173" s="37" t="s">
        <v>89</v>
      </c>
      <c r="H173" s="37" t="s">
        <v>248</v>
      </c>
      <c r="I173" s="41" t="s">
        <v>95</v>
      </c>
    </row>
    <row r="174" spans="1:9" ht="43.5">
      <c r="E174" s="40" t="s">
        <v>96</v>
      </c>
      <c r="F174" s="4">
        <v>2</v>
      </c>
      <c r="G174" s="37" t="s">
        <v>97</v>
      </c>
      <c r="H174" s="26"/>
      <c r="I174" s="41" t="s">
        <v>98</v>
      </c>
    </row>
    <row r="175" spans="1:9" ht="43.5">
      <c r="E175" s="40" t="s">
        <v>99</v>
      </c>
      <c r="F175" s="4">
        <v>1.5</v>
      </c>
      <c r="G175" s="37" t="s">
        <v>97</v>
      </c>
      <c r="H175" s="26"/>
      <c r="I175" s="41" t="s">
        <v>98</v>
      </c>
    </row>
    <row r="176" spans="1:9" ht="29.1">
      <c r="E176" s="40" t="s">
        <v>100</v>
      </c>
      <c r="F176" s="59">
        <f>0.47*44/12</f>
        <v>1.7233333333333334</v>
      </c>
      <c r="G176" s="37" t="s">
        <v>97</v>
      </c>
      <c r="H176" s="26" t="s">
        <v>101</v>
      </c>
      <c r="I176" s="135" t="s">
        <v>102</v>
      </c>
    </row>
    <row r="177" spans="1:9" ht="43.5">
      <c r="E177" s="40" t="s">
        <v>103</v>
      </c>
      <c r="F177" s="59">
        <f>0.445*44/12</f>
        <v>1.6316666666666668</v>
      </c>
      <c r="G177" s="37" t="s">
        <v>97</v>
      </c>
      <c r="H177" s="26" t="s">
        <v>104</v>
      </c>
      <c r="I177" s="41" t="s">
        <v>105</v>
      </c>
    </row>
    <row r="178" spans="1:9" ht="43.5">
      <c r="E178" s="40" t="s">
        <v>106</v>
      </c>
      <c r="F178" s="59">
        <f>0.294*44/12</f>
        <v>1.0780000000000001</v>
      </c>
      <c r="G178" s="37" t="s">
        <v>97</v>
      </c>
      <c r="H178" s="26" t="s">
        <v>107</v>
      </c>
      <c r="I178" s="41" t="s">
        <v>105</v>
      </c>
    </row>
    <row r="179" spans="1:9" ht="57.95">
      <c r="E179" s="30" t="s">
        <v>249</v>
      </c>
      <c r="F179" s="77">
        <v>0.86</v>
      </c>
      <c r="G179" s="26"/>
      <c r="H179" s="37" t="s">
        <v>250</v>
      </c>
      <c r="I179" s="41" t="s">
        <v>251</v>
      </c>
    </row>
    <row r="180" spans="1:9" ht="57.95">
      <c r="E180" s="30" t="s">
        <v>252</v>
      </c>
      <c r="F180" s="77">
        <v>0.7</v>
      </c>
      <c r="G180" s="26"/>
      <c r="H180" s="37" t="s">
        <v>253</v>
      </c>
      <c r="I180" s="41" t="s">
        <v>251</v>
      </c>
    </row>
    <row r="181" spans="1:9" ht="29.1">
      <c r="E181" s="30" t="s">
        <v>74</v>
      </c>
      <c r="F181" s="45">
        <f>(F171*F174+F172*F176+F173*F177)*F179</f>
        <v>1007247.9506493334</v>
      </c>
      <c r="G181" s="26" t="s">
        <v>254</v>
      </c>
      <c r="H181" s="26" t="s">
        <v>255</v>
      </c>
      <c r="I181" s="49" t="s">
        <v>71</v>
      </c>
    </row>
    <row r="182" spans="1:9" ht="29.45" thickBot="1">
      <c r="E182" s="61" t="s">
        <v>72</v>
      </c>
      <c r="F182" s="51">
        <f>(F171*F175+F172*F176+F173*F178)*F180</f>
        <v>563690.90231999999</v>
      </c>
      <c r="G182" s="33" t="s">
        <v>254</v>
      </c>
      <c r="H182" s="33" t="s">
        <v>256</v>
      </c>
      <c r="I182" s="68" t="s">
        <v>71</v>
      </c>
    </row>
    <row r="183" spans="1:9">
      <c r="E183" s="24"/>
      <c r="F183" s="67"/>
      <c r="H183" s="25"/>
      <c r="I183" s="36"/>
    </row>
    <row r="184" spans="1:9" s="9" customFormat="1" ht="18.600000000000001">
      <c r="A184"/>
      <c r="B184" s="12" t="s">
        <v>257</v>
      </c>
      <c r="G184" s="53"/>
    </row>
    <row r="185" spans="1:9" ht="15" thickBot="1"/>
    <row r="186" spans="1:9" ht="15" thickBot="1">
      <c r="B186" s="149" t="s">
        <v>35</v>
      </c>
      <c r="C186" s="148"/>
      <c r="E186" s="146" t="s">
        <v>36</v>
      </c>
      <c r="F186" s="147"/>
      <c r="G186" s="147"/>
      <c r="H186" s="147"/>
      <c r="I186" s="148"/>
    </row>
    <row r="187" spans="1:9">
      <c r="B187" s="62" t="s">
        <v>37</v>
      </c>
      <c r="C187" s="64">
        <f>F199</f>
        <v>112738.180464</v>
      </c>
      <c r="E187" s="46" t="s">
        <v>38</v>
      </c>
      <c r="F187" s="47" t="s">
        <v>39</v>
      </c>
      <c r="G187" s="55" t="s">
        <v>40</v>
      </c>
      <c r="H187" s="47" t="s">
        <v>41</v>
      </c>
      <c r="I187" s="65" t="s">
        <v>42</v>
      </c>
    </row>
    <row r="188" spans="1:9" ht="44.1" thickBot="1">
      <c r="B188" s="2" t="s">
        <v>43</v>
      </c>
      <c r="C188" s="63">
        <f>F198</f>
        <v>1007247.9506493334</v>
      </c>
      <c r="E188" s="40" t="s">
        <v>130</v>
      </c>
      <c r="F188" s="123">
        <v>21593.8</v>
      </c>
      <c r="G188" s="37" t="s">
        <v>89</v>
      </c>
      <c r="H188" s="37" t="s">
        <v>246</v>
      </c>
      <c r="I188" s="41" t="s">
        <v>132</v>
      </c>
    </row>
    <row r="189" spans="1:9" ht="43.5">
      <c r="E189" s="40" t="s">
        <v>133</v>
      </c>
      <c r="F189" s="60">
        <v>47234.04</v>
      </c>
      <c r="G189" s="37" t="s">
        <v>89</v>
      </c>
      <c r="H189" s="37" t="s">
        <v>247</v>
      </c>
      <c r="I189" s="41" t="s">
        <v>91</v>
      </c>
    </row>
    <row r="190" spans="1:9" ht="43.5">
      <c r="E190" s="40" t="s">
        <v>93</v>
      </c>
      <c r="F190" s="4">
        <v>641449</v>
      </c>
      <c r="G190" s="37" t="s">
        <v>89</v>
      </c>
      <c r="H190" s="37" t="s">
        <v>248</v>
      </c>
      <c r="I190" s="41" t="s">
        <v>95</v>
      </c>
    </row>
    <row r="191" spans="1:9" ht="43.5">
      <c r="E191" s="40" t="s">
        <v>96</v>
      </c>
      <c r="F191" s="4">
        <v>2</v>
      </c>
      <c r="G191" s="37" t="s">
        <v>97</v>
      </c>
      <c r="H191" s="26"/>
      <c r="I191" s="41" t="s">
        <v>98</v>
      </c>
    </row>
    <row r="192" spans="1:9" ht="43.5">
      <c r="E192" s="40" t="s">
        <v>99</v>
      </c>
      <c r="F192" s="4">
        <v>1.5</v>
      </c>
      <c r="G192" s="37" t="s">
        <v>97</v>
      </c>
      <c r="H192" s="26"/>
      <c r="I192" s="41" t="s">
        <v>98</v>
      </c>
    </row>
    <row r="193" spans="1:9" ht="29.1">
      <c r="E193" s="40" t="s">
        <v>100</v>
      </c>
      <c r="F193" s="59">
        <f>0.47*44/12</f>
        <v>1.7233333333333334</v>
      </c>
      <c r="G193" s="37" t="s">
        <v>97</v>
      </c>
      <c r="H193" s="26" t="s">
        <v>101</v>
      </c>
      <c r="I193" s="135" t="s">
        <v>102</v>
      </c>
    </row>
    <row r="194" spans="1:9" ht="43.5">
      <c r="E194" s="40" t="s">
        <v>103</v>
      </c>
      <c r="F194" s="59">
        <f>0.445*44/12</f>
        <v>1.6316666666666668</v>
      </c>
      <c r="G194" s="37" t="s">
        <v>97</v>
      </c>
      <c r="H194" s="26" t="s">
        <v>104</v>
      </c>
      <c r="I194" s="41" t="s">
        <v>105</v>
      </c>
    </row>
    <row r="195" spans="1:9" ht="43.5">
      <c r="E195" s="40" t="s">
        <v>106</v>
      </c>
      <c r="F195" s="59">
        <f>0.294*44/12</f>
        <v>1.0780000000000001</v>
      </c>
      <c r="G195" s="37" t="s">
        <v>97</v>
      </c>
      <c r="H195" s="26" t="s">
        <v>107</v>
      </c>
      <c r="I195" s="41" t="s">
        <v>105</v>
      </c>
    </row>
    <row r="196" spans="1:9" ht="57.95">
      <c r="E196" s="30" t="s">
        <v>249</v>
      </c>
      <c r="F196" s="77">
        <v>0.86</v>
      </c>
      <c r="G196" s="26"/>
      <c r="H196" s="37" t="s">
        <v>258</v>
      </c>
      <c r="I196" s="41" t="s">
        <v>259</v>
      </c>
    </row>
    <row r="197" spans="1:9" ht="57.95">
      <c r="E197" s="30" t="s">
        <v>252</v>
      </c>
      <c r="F197" s="102">
        <v>0.14000000000000001</v>
      </c>
      <c r="G197" s="26"/>
      <c r="H197" s="37" t="s">
        <v>260</v>
      </c>
      <c r="I197" s="41" t="s">
        <v>259</v>
      </c>
    </row>
    <row r="198" spans="1:9" ht="29.1">
      <c r="E198" s="30" t="s">
        <v>74</v>
      </c>
      <c r="F198" s="45">
        <f>(F188*F191+F189*F193+F190*F194)*F196</f>
        <v>1007247.9506493334</v>
      </c>
      <c r="G198" s="26" t="s">
        <v>254</v>
      </c>
      <c r="H198" s="26" t="s">
        <v>255</v>
      </c>
      <c r="I198" s="49" t="s">
        <v>71</v>
      </c>
    </row>
    <row r="199" spans="1:9" ht="29.45" thickBot="1">
      <c r="E199" s="61" t="s">
        <v>72</v>
      </c>
      <c r="F199" s="51">
        <f>(F188*F192+F189*F193+F190*F195)*F197</f>
        <v>112738.180464</v>
      </c>
      <c r="G199" s="33" t="s">
        <v>254</v>
      </c>
      <c r="H199" s="33" t="s">
        <v>256</v>
      </c>
      <c r="I199" s="68" t="s">
        <v>71</v>
      </c>
    </row>
    <row r="201" spans="1:9" s="9" customFormat="1" ht="18.600000000000001">
      <c r="A201"/>
      <c r="B201" s="12" t="s">
        <v>261</v>
      </c>
      <c r="G201" s="53"/>
    </row>
    <row r="202" spans="1:9" ht="15" thickBot="1"/>
    <row r="203" spans="1:9" ht="15" thickBot="1">
      <c r="B203" s="149" t="s">
        <v>35</v>
      </c>
      <c r="C203" s="150"/>
      <c r="E203" s="146" t="s">
        <v>36</v>
      </c>
      <c r="F203" s="147"/>
      <c r="G203" s="147"/>
      <c r="H203" s="147"/>
      <c r="I203" s="148"/>
    </row>
    <row r="204" spans="1:9">
      <c r="B204" s="62" t="s">
        <v>37</v>
      </c>
      <c r="C204" s="121">
        <f>F213</f>
        <v>653696.06560000009</v>
      </c>
      <c r="E204" s="46" t="s">
        <v>38</v>
      </c>
      <c r="F204" s="47" t="s">
        <v>39</v>
      </c>
      <c r="G204" s="55" t="s">
        <v>40</v>
      </c>
      <c r="H204" s="47" t="s">
        <v>41</v>
      </c>
      <c r="I204" s="65" t="s">
        <v>42</v>
      </c>
    </row>
    <row r="205" spans="1:9" ht="72.95" thickBot="1">
      <c r="B205" s="2" t="s">
        <v>43</v>
      </c>
      <c r="C205" s="63">
        <f>F212</f>
        <v>1257107.8184615385</v>
      </c>
      <c r="E205" s="40" t="s">
        <v>262</v>
      </c>
      <c r="F205" s="78">
        <v>0</v>
      </c>
      <c r="G205" s="37" t="s">
        <v>165</v>
      </c>
      <c r="H205" s="37" t="s">
        <v>263</v>
      </c>
      <c r="I205" s="41" t="s">
        <v>264</v>
      </c>
    </row>
    <row r="206" spans="1:9" ht="29.1">
      <c r="E206" s="40" t="s">
        <v>265</v>
      </c>
      <c r="F206" s="78">
        <v>0</v>
      </c>
      <c r="G206" s="37" t="s">
        <v>165</v>
      </c>
      <c r="H206" s="37" t="s">
        <v>266</v>
      </c>
      <c r="I206" s="41" t="s">
        <v>267</v>
      </c>
    </row>
    <row r="207" spans="1:9" ht="130.5">
      <c r="E207" s="40" t="s">
        <v>268</v>
      </c>
      <c r="F207" s="79">
        <v>1633936</v>
      </c>
      <c r="G207" s="37" t="s">
        <v>165</v>
      </c>
      <c r="H207" s="37" t="s">
        <v>269</v>
      </c>
      <c r="I207" s="41" t="s">
        <v>270</v>
      </c>
    </row>
    <row r="208" spans="1:9">
      <c r="E208" s="40" t="s">
        <v>271</v>
      </c>
      <c r="F208" s="78">
        <v>304.16399999999999</v>
      </c>
      <c r="G208" s="37" t="s">
        <v>165</v>
      </c>
      <c r="H208" s="28" t="s">
        <v>272</v>
      </c>
      <c r="I208" s="31" t="s">
        <v>71</v>
      </c>
    </row>
    <row r="209" spans="5:9" ht="29.1">
      <c r="E209" s="40" t="s">
        <v>273</v>
      </c>
      <c r="F209" s="79">
        <f>SUM(F205:F208)</f>
        <v>1634240.1640000001</v>
      </c>
      <c r="G209" s="37" t="s">
        <v>165</v>
      </c>
      <c r="H209" s="37"/>
      <c r="I209" s="31" t="s">
        <v>71</v>
      </c>
    </row>
    <row r="210" spans="5:9" ht="43.5">
      <c r="E210" s="40" t="s">
        <v>274</v>
      </c>
      <c r="F210" s="37">
        <v>1.3</v>
      </c>
      <c r="G210" s="37" t="s">
        <v>275</v>
      </c>
      <c r="H210" s="37" t="s">
        <v>276</v>
      </c>
      <c r="I210" s="41" t="s">
        <v>277</v>
      </c>
    </row>
    <row r="211" spans="5:9" ht="43.5">
      <c r="E211" s="40" t="s">
        <v>278</v>
      </c>
      <c r="F211" s="37">
        <v>2.5</v>
      </c>
      <c r="G211" s="37" t="s">
        <v>279</v>
      </c>
      <c r="H211" s="37" t="s">
        <v>276</v>
      </c>
      <c r="I211" s="41" t="s">
        <v>277</v>
      </c>
    </row>
    <row r="212" spans="5:9" ht="29.1">
      <c r="E212" s="30" t="s">
        <v>74</v>
      </c>
      <c r="F212" s="79">
        <f>F209/F210</f>
        <v>1257107.8184615385</v>
      </c>
      <c r="G212" s="26" t="s">
        <v>45</v>
      </c>
      <c r="H212" s="37" t="s">
        <v>280</v>
      </c>
      <c r="I212" s="31" t="s">
        <v>71</v>
      </c>
    </row>
    <row r="213" spans="5:9" ht="29.45" thickBot="1">
      <c r="E213" s="61" t="s">
        <v>72</v>
      </c>
      <c r="F213" s="80">
        <f>F209/F211</f>
        <v>653696.06560000009</v>
      </c>
      <c r="G213" s="33" t="s">
        <v>45</v>
      </c>
      <c r="H213" s="73" t="s">
        <v>281</v>
      </c>
      <c r="I213" s="34" t="s">
        <v>71</v>
      </c>
    </row>
    <row r="214" spans="5:9" ht="15" thickBot="1"/>
    <row r="215" spans="5:9" ht="15" thickBot="1">
      <c r="E215" s="146" t="s">
        <v>282</v>
      </c>
      <c r="F215" s="147"/>
      <c r="G215" s="147"/>
      <c r="H215" s="147"/>
      <c r="I215" s="148"/>
    </row>
    <row r="216" spans="5:9">
      <c r="E216" s="46" t="s">
        <v>38</v>
      </c>
      <c r="F216" s="47" t="s">
        <v>39</v>
      </c>
      <c r="G216" s="55" t="s">
        <v>40</v>
      </c>
      <c r="H216" s="47" t="s">
        <v>41</v>
      </c>
      <c r="I216" s="65" t="s">
        <v>42</v>
      </c>
    </row>
    <row r="217" spans="5:9" ht="29.1">
      <c r="E217" s="40" t="s">
        <v>283</v>
      </c>
      <c r="F217" s="28">
        <v>6</v>
      </c>
      <c r="G217" s="26" t="s">
        <v>284</v>
      </c>
      <c r="H217" s="37" t="s">
        <v>285</v>
      </c>
      <c r="I217" s="41" t="s">
        <v>286</v>
      </c>
    </row>
    <row r="218" spans="5:9" ht="43.5">
      <c r="E218" s="40" t="s">
        <v>287</v>
      </c>
      <c r="F218" s="26">
        <v>2</v>
      </c>
      <c r="G218" s="26" t="s">
        <v>284</v>
      </c>
      <c r="H218" s="37" t="s">
        <v>288</v>
      </c>
      <c r="I218" s="41" t="s">
        <v>289</v>
      </c>
    </row>
    <row r="219" spans="5:9" ht="43.5">
      <c r="E219" s="40" t="s">
        <v>290</v>
      </c>
      <c r="F219" s="26">
        <v>1</v>
      </c>
      <c r="G219" s="26" t="s">
        <v>284</v>
      </c>
      <c r="H219" s="37" t="s">
        <v>291</v>
      </c>
      <c r="I219" s="41" t="s">
        <v>289</v>
      </c>
    </row>
    <row r="220" spans="5:9" ht="29.1">
      <c r="E220" s="40" t="s">
        <v>292</v>
      </c>
      <c r="F220" s="26">
        <v>14200</v>
      </c>
      <c r="G220" s="26" t="s">
        <v>293</v>
      </c>
      <c r="H220" s="37" t="s">
        <v>294</v>
      </c>
      <c r="I220" s="41" t="s">
        <v>295</v>
      </c>
    </row>
    <row r="221" spans="5:9" ht="29.1">
      <c r="E221" s="40" t="s">
        <v>296</v>
      </c>
      <c r="F221" s="26">
        <f>AVERAGE(540,860)</f>
        <v>700</v>
      </c>
      <c r="G221" s="26" t="s">
        <v>297</v>
      </c>
      <c r="H221" s="37" t="s">
        <v>298</v>
      </c>
      <c r="I221" s="41" t="s">
        <v>299</v>
      </c>
    </row>
    <row r="222" spans="5:9" ht="29.1">
      <c r="E222" s="40" t="s">
        <v>300</v>
      </c>
      <c r="F222" s="26">
        <v>0.76500000000000001</v>
      </c>
      <c r="G222" s="26" t="s">
        <v>301</v>
      </c>
      <c r="H222" s="37"/>
      <c r="I222" s="49"/>
    </row>
    <row r="223" spans="5:9" ht="29.1">
      <c r="E223" s="40" t="s">
        <v>292</v>
      </c>
      <c r="F223" s="26">
        <f>F220*F222</f>
        <v>10863</v>
      </c>
      <c r="G223" s="26" t="s">
        <v>302</v>
      </c>
      <c r="H223" s="37"/>
      <c r="I223" s="49"/>
    </row>
    <row r="224" spans="5:9" ht="29.1">
      <c r="E224" s="40" t="s">
        <v>303</v>
      </c>
      <c r="F224" s="79">
        <f>F221*F223/1000</f>
        <v>7604.1</v>
      </c>
      <c r="G224" s="26" t="s">
        <v>304</v>
      </c>
      <c r="H224" s="37"/>
      <c r="I224" s="49" t="s">
        <v>71</v>
      </c>
    </row>
    <row r="225" spans="1:9" ht="29.1">
      <c r="E225" s="40" t="s">
        <v>305</v>
      </c>
      <c r="F225" s="26">
        <v>25</v>
      </c>
      <c r="G225" s="26" t="s">
        <v>306</v>
      </c>
      <c r="H225" s="37" t="s">
        <v>307</v>
      </c>
      <c r="I225" s="49"/>
    </row>
    <row r="226" spans="1:9" ht="15" thickBot="1">
      <c r="E226" s="74" t="s">
        <v>271</v>
      </c>
      <c r="F226" s="80">
        <f>F224/F225</f>
        <v>304.16399999999999</v>
      </c>
      <c r="G226" s="33" t="s">
        <v>165</v>
      </c>
      <c r="H226" s="73"/>
      <c r="I226" s="68" t="s">
        <v>71</v>
      </c>
    </row>
    <row r="228" spans="1:9" s="9" customFormat="1" ht="18.600000000000001">
      <c r="A228"/>
      <c r="B228" s="12" t="s">
        <v>308</v>
      </c>
      <c r="G228" s="53"/>
    </row>
    <row r="229" spans="1:9" ht="15" thickBot="1"/>
    <row r="230" spans="1:9" ht="15" thickBot="1">
      <c r="B230" s="149" t="s">
        <v>35</v>
      </c>
      <c r="C230" s="150"/>
      <c r="E230" s="146" t="s">
        <v>36</v>
      </c>
      <c r="F230" s="147"/>
      <c r="G230" s="147"/>
      <c r="H230" s="147"/>
      <c r="I230" s="148"/>
    </row>
    <row r="231" spans="1:9">
      <c r="B231" s="62" t="s">
        <v>37</v>
      </c>
      <c r="C231" s="121">
        <f>F247</f>
        <v>3115718.8124156543</v>
      </c>
      <c r="E231" s="46" t="s">
        <v>38</v>
      </c>
      <c r="F231" s="47" t="s">
        <v>39</v>
      </c>
      <c r="G231" s="55" t="s">
        <v>40</v>
      </c>
      <c r="H231" s="47" t="s">
        <v>41</v>
      </c>
      <c r="I231" s="65" t="s">
        <v>42</v>
      </c>
    </row>
    <row r="232" spans="1:9" ht="29.45" thickBot="1">
      <c r="B232" s="2" t="s">
        <v>43</v>
      </c>
      <c r="C232" s="63">
        <f>F246</f>
        <v>11683945.546558702</v>
      </c>
      <c r="E232" s="40" t="s">
        <v>53</v>
      </c>
      <c r="F232" s="4">
        <v>464451</v>
      </c>
      <c r="G232" s="37" t="s">
        <v>54</v>
      </c>
      <c r="H232" s="37" t="s">
        <v>55</v>
      </c>
      <c r="I232" s="41" t="s">
        <v>56</v>
      </c>
    </row>
    <row r="233" spans="1:9" ht="108.95" customHeight="1">
      <c r="C233" s="130"/>
      <c r="E233" s="40" t="s">
        <v>309</v>
      </c>
      <c r="F233" s="4">
        <v>2981441</v>
      </c>
      <c r="G233" s="37" t="s">
        <v>54</v>
      </c>
      <c r="H233" s="37" t="s">
        <v>310</v>
      </c>
      <c r="I233" s="41" t="s">
        <v>120</v>
      </c>
    </row>
    <row r="234" spans="1:9" ht="72.599999999999994">
      <c r="E234" s="142" t="s">
        <v>311</v>
      </c>
      <c r="F234" s="144">
        <v>6.7</v>
      </c>
      <c r="G234" s="145" t="s">
        <v>312</v>
      </c>
      <c r="H234" s="37" t="s">
        <v>313</v>
      </c>
      <c r="I234" s="41" t="s">
        <v>314</v>
      </c>
    </row>
    <row r="235" spans="1:9" ht="58.5" customHeight="1">
      <c r="E235" s="142"/>
      <c r="F235" s="144"/>
      <c r="G235" s="145"/>
      <c r="H235" s="37" t="s">
        <v>315</v>
      </c>
      <c r="I235" s="41" t="s">
        <v>316</v>
      </c>
    </row>
    <row r="236" spans="1:9" ht="58.5" customHeight="1">
      <c r="E236" s="131" t="s">
        <v>317</v>
      </c>
      <c r="F236" s="132">
        <v>5</v>
      </c>
      <c r="G236" s="133" t="s">
        <v>312</v>
      </c>
      <c r="H236" s="37" t="s">
        <v>318</v>
      </c>
      <c r="I236" s="107" t="s">
        <v>319</v>
      </c>
    </row>
    <row r="237" spans="1:9" ht="43.5">
      <c r="E237" s="40" t="s">
        <v>320</v>
      </c>
      <c r="F237" s="4">
        <v>0.8</v>
      </c>
      <c r="G237" s="37" t="s">
        <v>321</v>
      </c>
      <c r="H237" s="37" t="s">
        <v>322</v>
      </c>
      <c r="I237" s="41" t="s">
        <v>323</v>
      </c>
    </row>
    <row r="238" spans="1:9" ht="29.1">
      <c r="E238" s="40" t="s">
        <v>324</v>
      </c>
      <c r="F238" s="4">
        <v>3</v>
      </c>
      <c r="G238" s="37" t="s">
        <v>325</v>
      </c>
      <c r="H238" s="37" t="s">
        <v>326</v>
      </c>
      <c r="I238" s="41" t="s">
        <v>323</v>
      </c>
    </row>
    <row r="239" spans="1:9" ht="29.1">
      <c r="E239" s="40" t="s">
        <v>327</v>
      </c>
      <c r="F239" s="72">
        <v>3.4</v>
      </c>
      <c r="G239" s="37" t="s">
        <v>328</v>
      </c>
      <c r="H239" s="37" t="s">
        <v>329</v>
      </c>
      <c r="I239" s="41" t="s">
        <v>330</v>
      </c>
    </row>
    <row r="240" spans="1:9">
      <c r="E240" s="40" t="s">
        <v>53</v>
      </c>
      <c r="F240" s="60">
        <f>F232/2.47</f>
        <v>188036.84210526315</v>
      </c>
      <c r="G240" s="37" t="s">
        <v>70</v>
      </c>
      <c r="H240" s="37" t="s">
        <v>331</v>
      </c>
      <c r="I240" s="31" t="s">
        <v>124</v>
      </c>
    </row>
    <row r="241" spans="1:9">
      <c r="E241" s="40" t="s">
        <v>309</v>
      </c>
      <c r="F241" s="60">
        <f>F233/2.47</f>
        <v>1207061.1336032387</v>
      </c>
      <c r="G241" s="37" t="s">
        <v>70</v>
      </c>
      <c r="H241" s="37" t="s">
        <v>331</v>
      </c>
      <c r="I241" s="31" t="s">
        <v>124</v>
      </c>
    </row>
    <row r="242" spans="1:9" ht="29.1">
      <c r="E242" s="30" t="s">
        <v>332</v>
      </c>
      <c r="F242" s="60">
        <f>F240*F234/F237</f>
        <v>1574808.5526315789</v>
      </c>
      <c r="G242" s="26" t="s">
        <v>45</v>
      </c>
      <c r="H242" s="26" t="s">
        <v>333</v>
      </c>
      <c r="I242" s="50" t="s">
        <v>71</v>
      </c>
    </row>
    <row r="243" spans="1:9" ht="29.45" thickBot="1">
      <c r="E243" s="61" t="s">
        <v>334</v>
      </c>
      <c r="F243" s="60">
        <f>F240*F234/F238</f>
        <v>419948.94736842107</v>
      </c>
      <c r="G243" s="33" t="s">
        <v>45</v>
      </c>
      <c r="H243" s="33" t="s">
        <v>335</v>
      </c>
      <c r="I243" s="50" t="s">
        <v>71</v>
      </c>
    </row>
    <row r="244" spans="1:9" ht="29.1">
      <c r="E244" s="30" t="s">
        <v>336</v>
      </c>
      <c r="F244" s="60">
        <f>F241*F234/F237</f>
        <v>10109136.993927123</v>
      </c>
      <c r="G244" s="26" t="s">
        <v>45</v>
      </c>
      <c r="H244" s="26" t="s">
        <v>337</v>
      </c>
      <c r="I244" s="50" t="s">
        <v>71</v>
      </c>
    </row>
    <row r="245" spans="1:9" ht="29.45" thickBot="1">
      <c r="C245" s="67"/>
      <c r="E245" s="61" t="s">
        <v>338</v>
      </c>
      <c r="F245" s="60">
        <f>F241*F234/F238</f>
        <v>2695769.8650472332</v>
      </c>
      <c r="G245" s="33" t="s">
        <v>45</v>
      </c>
      <c r="H245" s="33" t="s">
        <v>339</v>
      </c>
      <c r="I245" s="50" t="s">
        <v>71</v>
      </c>
    </row>
    <row r="246" spans="1:9" ht="43.5">
      <c r="C246" s="67"/>
      <c r="E246" s="30" t="s">
        <v>74</v>
      </c>
      <c r="F246" s="45">
        <f>F242+F244</f>
        <v>11683945.546558702</v>
      </c>
      <c r="G246" s="26" t="s">
        <v>45</v>
      </c>
      <c r="H246" s="26" t="s">
        <v>340</v>
      </c>
      <c r="I246" s="50" t="s">
        <v>71</v>
      </c>
    </row>
    <row r="247" spans="1:9" ht="29.45" thickBot="1">
      <c r="E247" s="61" t="s">
        <v>72</v>
      </c>
      <c r="F247" s="51">
        <f>F243+F245</f>
        <v>3115718.8124156543</v>
      </c>
      <c r="G247" s="33" t="s">
        <v>45</v>
      </c>
      <c r="H247" s="33" t="s">
        <v>341</v>
      </c>
      <c r="I247" s="52" t="s">
        <v>71</v>
      </c>
    </row>
    <row r="248" spans="1:9">
      <c r="H248" s="24"/>
    </row>
    <row r="249" spans="1:9" s="9" customFormat="1" ht="18.600000000000001">
      <c r="A249"/>
      <c r="B249" s="12" t="s">
        <v>342</v>
      </c>
      <c r="G249" s="53"/>
    </row>
    <row r="250" spans="1:9" ht="15" thickBot="1"/>
    <row r="251" spans="1:9" ht="15" thickBot="1">
      <c r="B251" s="149" t="s">
        <v>35</v>
      </c>
      <c r="C251" s="150"/>
      <c r="E251" s="146" t="s">
        <v>36</v>
      </c>
      <c r="F251" s="147"/>
      <c r="G251" s="147"/>
      <c r="H251" s="147"/>
      <c r="I251" s="148"/>
    </row>
    <row r="252" spans="1:9">
      <c r="B252" s="62" t="s">
        <v>37</v>
      </c>
      <c r="C252" s="121">
        <f>F265</f>
        <v>42175.55999999999</v>
      </c>
      <c r="E252" s="46" t="s">
        <v>38</v>
      </c>
      <c r="F252" s="47" t="s">
        <v>39</v>
      </c>
      <c r="G252" s="55" t="s">
        <v>40</v>
      </c>
      <c r="H252" s="47" t="s">
        <v>41</v>
      </c>
      <c r="I252" s="65" t="s">
        <v>42</v>
      </c>
    </row>
    <row r="253" spans="1:9" ht="29.45" thickBot="1">
      <c r="B253" s="2" t="s">
        <v>43</v>
      </c>
      <c r="C253" s="63">
        <f>F264</f>
        <v>100077.6</v>
      </c>
      <c r="E253" s="40" t="s">
        <v>343</v>
      </c>
      <c r="F253" s="4">
        <v>575</v>
      </c>
      <c r="G253" s="37" t="s">
        <v>344</v>
      </c>
      <c r="H253" s="37" t="s">
        <v>345</v>
      </c>
      <c r="I253" s="41" t="s">
        <v>346</v>
      </c>
    </row>
    <row r="254" spans="1:9" ht="57" customHeight="1">
      <c r="E254" s="40" t="s">
        <v>347</v>
      </c>
      <c r="F254" s="4">
        <v>0.06</v>
      </c>
      <c r="G254" s="37" t="s">
        <v>344</v>
      </c>
      <c r="H254" s="37" t="s">
        <v>345</v>
      </c>
      <c r="I254" s="41" t="s">
        <v>346</v>
      </c>
    </row>
    <row r="255" spans="1:9" ht="65.45" customHeight="1">
      <c r="E255" s="40" t="s">
        <v>348</v>
      </c>
      <c r="F255" s="4">
        <f>F253*F254</f>
        <v>34.5</v>
      </c>
      <c r="G255" s="37" t="s">
        <v>349</v>
      </c>
      <c r="H255" s="37"/>
      <c r="I255" s="49" t="s">
        <v>71</v>
      </c>
    </row>
    <row r="256" spans="1:9" ht="44.1" customHeight="1">
      <c r="C256" s="111"/>
      <c r="E256" s="40" t="s">
        <v>350</v>
      </c>
      <c r="F256" s="134">
        <v>2590000</v>
      </c>
      <c r="G256" s="37" t="s">
        <v>351</v>
      </c>
      <c r="H256" s="37"/>
      <c r="I256" s="49" t="s">
        <v>124</v>
      </c>
    </row>
    <row r="257" spans="1:9" ht="44.1" customHeight="1">
      <c r="E257" s="40" t="s">
        <v>352</v>
      </c>
      <c r="F257" s="81">
        <v>4047</v>
      </c>
      <c r="G257" s="37" t="s">
        <v>353</v>
      </c>
      <c r="H257" s="37"/>
      <c r="I257" s="49" t="s">
        <v>124</v>
      </c>
    </row>
    <row r="258" spans="1:9" ht="44.1" customHeight="1">
      <c r="E258" s="40" t="s">
        <v>354</v>
      </c>
      <c r="F258" s="134">
        <f>F255*F256</f>
        <v>89355000</v>
      </c>
      <c r="G258" s="37" t="s">
        <v>355</v>
      </c>
      <c r="H258" s="37"/>
      <c r="I258" s="49" t="s">
        <v>71</v>
      </c>
    </row>
    <row r="259" spans="1:9">
      <c r="E259" s="40" t="s">
        <v>356</v>
      </c>
      <c r="F259" s="4">
        <v>0.59</v>
      </c>
      <c r="G259" s="37" t="s">
        <v>357</v>
      </c>
      <c r="H259" s="37" t="s">
        <v>358</v>
      </c>
      <c r="I259" s="41" t="s">
        <v>359</v>
      </c>
    </row>
    <row r="260" spans="1:9">
      <c r="E260" s="40" t="s">
        <v>360</v>
      </c>
      <c r="F260" s="4">
        <v>1.4</v>
      </c>
      <c r="G260" s="37" t="s">
        <v>357</v>
      </c>
      <c r="H260" s="37" t="s">
        <v>361</v>
      </c>
      <c r="I260" s="41" t="s">
        <v>359</v>
      </c>
    </row>
    <row r="261" spans="1:9" ht="43.5">
      <c r="E261" s="40" t="s">
        <v>362</v>
      </c>
      <c r="F261" s="4">
        <v>1.25</v>
      </c>
      <c r="G261" s="37" t="s">
        <v>363</v>
      </c>
      <c r="H261" s="37"/>
      <c r="I261" s="41" t="s">
        <v>364</v>
      </c>
    </row>
    <row r="262" spans="1:9" ht="30" customHeight="1">
      <c r="E262" s="30" t="s">
        <v>365</v>
      </c>
      <c r="F262" s="109">
        <f>(F258*(F260/1000))/F261</f>
        <v>100077.6</v>
      </c>
      <c r="G262" s="26" t="s">
        <v>45</v>
      </c>
      <c r="H262" s="26" t="s">
        <v>366</v>
      </c>
      <c r="I262" s="49" t="s">
        <v>71</v>
      </c>
    </row>
    <row r="263" spans="1:9" ht="30" customHeight="1">
      <c r="E263" s="136" t="s">
        <v>367</v>
      </c>
      <c r="F263" s="109">
        <f>(F258*(F259/1000))/F261</f>
        <v>42175.55999999999</v>
      </c>
      <c r="G263" s="26" t="s">
        <v>45</v>
      </c>
      <c r="H263" s="26" t="s">
        <v>368</v>
      </c>
      <c r="I263" s="49" t="s">
        <v>71</v>
      </c>
    </row>
    <row r="264" spans="1:9" ht="33.950000000000003" customHeight="1">
      <c r="E264" s="30" t="s">
        <v>369</v>
      </c>
      <c r="F264" s="10">
        <f>F262</f>
        <v>100077.6</v>
      </c>
      <c r="G264" s="26" t="s">
        <v>45</v>
      </c>
      <c r="H264" s="26" t="s">
        <v>366</v>
      </c>
      <c r="I264" s="49" t="s">
        <v>71</v>
      </c>
    </row>
    <row r="265" spans="1:9" ht="36" customHeight="1" thickBot="1">
      <c r="E265" s="61" t="s">
        <v>370</v>
      </c>
      <c r="F265" s="18">
        <f>F263</f>
        <v>42175.55999999999</v>
      </c>
      <c r="G265" s="33" t="s">
        <v>45</v>
      </c>
      <c r="H265" s="33" t="s">
        <v>368</v>
      </c>
      <c r="I265" s="68" t="s">
        <v>71</v>
      </c>
    </row>
    <row r="267" spans="1:9" s="9" customFormat="1" ht="18.600000000000001">
      <c r="A267"/>
      <c r="B267" s="12" t="s">
        <v>371</v>
      </c>
      <c r="G267" s="53"/>
    </row>
    <row r="268" spans="1:9" ht="15" thickBot="1"/>
    <row r="269" spans="1:9" ht="15" thickBot="1">
      <c r="B269" s="149" t="s">
        <v>35</v>
      </c>
      <c r="C269" s="150"/>
      <c r="E269" s="149" t="s">
        <v>36</v>
      </c>
      <c r="F269" s="151"/>
      <c r="G269" s="151"/>
      <c r="H269" s="151"/>
      <c r="I269" s="150"/>
    </row>
    <row r="270" spans="1:9">
      <c r="B270" s="62" t="s">
        <v>37</v>
      </c>
      <c r="C270" s="121">
        <f>F281</f>
        <v>1551796.918860801</v>
      </c>
      <c r="E270" s="20" t="s">
        <v>38</v>
      </c>
      <c r="F270" s="21" t="s">
        <v>39</v>
      </c>
      <c r="G270" s="54" t="s">
        <v>40</v>
      </c>
      <c r="H270" s="21" t="s">
        <v>41</v>
      </c>
      <c r="I270" s="124" t="s">
        <v>42</v>
      </c>
    </row>
    <row r="271" spans="1:9" ht="81.95" customHeight="1" thickBot="1">
      <c r="B271" s="2" t="s">
        <v>43</v>
      </c>
      <c r="C271" s="63">
        <f>F282</f>
        <v>2069062.5584810684</v>
      </c>
      <c r="E271" s="40" t="s">
        <v>231</v>
      </c>
      <c r="F271" s="60">
        <f>1177+1092</f>
        <v>2269</v>
      </c>
      <c r="G271" s="4" t="s">
        <v>232</v>
      </c>
      <c r="H271" s="37" t="s">
        <v>233</v>
      </c>
      <c r="I271" s="41" t="s">
        <v>234</v>
      </c>
    </row>
    <row r="272" spans="1:9" ht="65.45" customHeight="1">
      <c r="E272" s="40" t="s">
        <v>372</v>
      </c>
      <c r="F272" s="60">
        <f>2.5899881103*10^6</f>
        <v>2589988.1103000003</v>
      </c>
      <c r="G272" s="4" t="s">
        <v>373</v>
      </c>
      <c r="H272" s="37" t="s">
        <v>15</v>
      </c>
      <c r="I272" s="31" t="s">
        <v>374</v>
      </c>
    </row>
    <row r="273" spans="1:9" ht="44.1" customHeight="1">
      <c r="E273" s="40" t="s">
        <v>243</v>
      </c>
      <c r="F273" s="4">
        <f>F271*F272</f>
        <v>5876683022.2707005</v>
      </c>
      <c r="G273" s="4" t="s">
        <v>375</v>
      </c>
      <c r="H273" s="37" t="s">
        <v>376</v>
      </c>
      <c r="I273" s="49" t="s">
        <v>71</v>
      </c>
    </row>
    <row r="274" spans="1:9" ht="57.95">
      <c r="E274" s="142" t="s">
        <v>377</v>
      </c>
      <c r="F274" s="143">
        <v>10</v>
      </c>
      <c r="G274" s="143" t="s">
        <v>378</v>
      </c>
      <c r="H274" s="37" t="s">
        <v>379</v>
      </c>
      <c r="I274" s="41" t="s">
        <v>380</v>
      </c>
    </row>
    <row r="275" spans="1:9" ht="29.1">
      <c r="E275" s="142"/>
      <c r="F275" s="143"/>
      <c r="G275" s="143"/>
      <c r="H275" s="37" t="s">
        <v>381</v>
      </c>
      <c r="I275" s="41" t="s">
        <v>382</v>
      </c>
    </row>
    <row r="276" spans="1:9" ht="29.1">
      <c r="E276" s="40" t="s">
        <v>383</v>
      </c>
      <c r="F276" s="4">
        <v>0.6</v>
      </c>
      <c r="G276" s="4" t="s">
        <v>384</v>
      </c>
      <c r="H276" s="37" t="s">
        <v>385</v>
      </c>
      <c r="I276" s="41" t="s">
        <v>386</v>
      </c>
    </row>
    <row r="277" spans="1:9" ht="43.5">
      <c r="E277" s="40" t="s">
        <v>387</v>
      </c>
      <c r="F277" s="4">
        <v>0.8</v>
      </c>
      <c r="G277" s="4" t="s">
        <v>384</v>
      </c>
      <c r="H277" s="37" t="s">
        <v>388</v>
      </c>
      <c r="I277" s="41" t="s">
        <v>389</v>
      </c>
    </row>
    <row r="278" spans="1:9">
      <c r="E278" s="40" t="s">
        <v>390</v>
      </c>
      <c r="F278" s="4">
        <v>44.01</v>
      </c>
      <c r="G278" s="4" t="s">
        <v>391</v>
      </c>
      <c r="H278" s="37"/>
      <c r="I278" s="31" t="s">
        <v>374</v>
      </c>
    </row>
    <row r="279" spans="1:9">
      <c r="E279" s="40" t="s">
        <v>392</v>
      </c>
      <c r="F279" s="4">
        <v>1000000</v>
      </c>
      <c r="G279" s="4" t="s">
        <v>393</v>
      </c>
      <c r="H279" s="37"/>
      <c r="I279" s="31" t="s">
        <v>374</v>
      </c>
    </row>
    <row r="280" spans="1:9" ht="29.1">
      <c r="E280" s="40" t="s">
        <v>394</v>
      </c>
      <c r="F280" s="4">
        <f>F278/F279</f>
        <v>4.401E-5</v>
      </c>
      <c r="G280" s="37" t="s">
        <v>395</v>
      </c>
      <c r="H280" s="37"/>
      <c r="I280" s="49" t="s">
        <v>71</v>
      </c>
    </row>
    <row r="281" spans="1:9" ht="57.95">
      <c r="E281" s="30" t="s">
        <v>370</v>
      </c>
      <c r="F281" s="45">
        <f>F273*F274*F276*F280</f>
        <v>1551796.918860801</v>
      </c>
      <c r="G281" s="26" t="s">
        <v>45</v>
      </c>
      <c r="H281" s="26" t="s">
        <v>396</v>
      </c>
      <c r="I281" s="49" t="s">
        <v>71</v>
      </c>
    </row>
    <row r="282" spans="1:9" ht="29.45" thickBot="1">
      <c r="E282" s="61" t="s">
        <v>369</v>
      </c>
      <c r="F282" s="51">
        <f>F273*F274*F277*F280</f>
        <v>2069062.5584810684</v>
      </c>
      <c r="G282" s="33" t="s">
        <v>45</v>
      </c>
      <c r="H282" s="33" t="s">
        <v>397</v>
      </c>
      <c r="I282" s="68" t="s">
        <v>71</v>
      </c>
    </row>
    <row r="284" spans="1:9" s="9" customFormat="1" ht="18.600000000000001">
      <c r="A284"/>
      <c r="B284" s="12" t="s">
        <v>398</v>
      </c>
      <c r="G284" s="53"/>
    </row>
    <row r="285" spans="1:9" ht="15" thickBot="1"/>
    <row r="286" spans="1:9" ht="15" thickBot="1">
      <c r="B286" s="149" t="s">
        <v>35</v>
      </c>
      <c r="C286" s="150"/>
      <c r="E286" s="146" t="s">
        <v>36</v>
      </c>
      <c r="F286" s="147"/>
      <c r="G286" s="147"/>
      <c r="H286" s="147"/>
      <c r="I286" s="148"/>
    </row>
    <row r="287" spans="1:9">
      <c r="B287" s="62" t="s">
        <v>37</v>
      </c>
      <c r="C287" s="121">
        <f>F295</f>
        <v>1551796.918860801</v>
      </c>
      <c r="E287" s="46" t="s">
        <v>38</v>
      </c>
      <c r="F287" s="47" t="s">
        <v>39</v>
      </c>
      <c r="G287" s="55" t="s">
        <v>40</v>
      </c>
      <c r="H287" s="47" t="s">
        <v>41</v>
      </c>
      <c r="I287" s="65" t="s">
        <v>42</v>
      </c>
    </row>
    <row r="288" spans="1:9" ht="81.95" customHeight="1" thickBot="1">
      <c r="B288" s="2" t="s">
        <v>43</v>
      </c>
      <c r="C288" s="63">
        <f>F296</f>
        <v>2069062.5584810684</v>
      </c>
      <c r="E288" s="40" t="s">
        <v>399</v>
      </c>
      <c r="F288" s="4">
        <v>138.19999999999999</v>
      </c>
      <c r="G288" s="4" t="s">
        <v>400</v>
      </c>
      <c r="H288" s="82"/>
      <c r="I288" s="41" t="s">
        <v>401</v>
      </c>
    </row>
    <row r="289" spans="1:9" ht="65.45" customHeight="1">
      <c r="E289" s="40" t="s">
        <v>402</v>
      </c>
      <c r="F289" s="4">
        <f>F288*0.15</f>
        <v>20.729999999999997</v>
      </c>
      <c r="G289" s="4" t="s">
        <v>400</v>
      </c>
      <c r="H289" s="37" t="s">
        <v>403</v>
      </c>
      <c r="I289" s="66" t="s">
        <v>71</v>
      </c>
    </row>
    <row r="290" spans="1:9" ht="44.1" customHeight="1">
      <c r="E290" s="40" t="s">
        <v>404</v>
      </c>
      <c r="F290" s="4">
        <v>868000</v>
      </c>
      <c r="G290" s="4" t="s">
        <v>405</v>
      </c>
      <c r="H290" s="37" t="s">
        <v>406</v>
      </c>
      <c r="I290" s="41" t="s">
        <v>407</v>
      </c>
    </row>
    <row r="291" spans="1:9" ht="44.1" customHeight="1">
      <c r="E291" s="40" t="s">
        <v>408</v>
      </c>
      <c r="F291" s="4">
        <v>1.5</v>
      </c>
      <c r="G291" s="4" t="s">
        <v>409</v>
      </c>
      <c r="H291" s="37"/>
      <c r="I291" s="41" t="s">
        <v>410</v>
      </c>
    </row>
    <row r="292" spans="1:9" ht="29.1">
      <c r="E292" s="40" t="s">
        <v>411</v>
      </c>
      <c r="F292" s="4">
        <v>3.1</v>
      </c>
      <c r="G292" s="4" t="s">
        <v>409</v>
      </c>
      <c r="H292" s="37"/>
      <c r="I292" s="41" t="s">
        <v>410</v>
      </c>
    </row>
    <row r="293" spans="1:9" ht="29.1">
      <c r="E293" s="30" t="s">
        <v>412</v>
      </c>
      <c r="F293" s="4">
        <f>(F289*1000000)/F291</f>
        <v>13819999.999999998</v>
      </c>
      <c r="G293" s="15" t="s">
        <v>45</v>
      </c>
      <c r="H293" s="26" t="s">
        <v>413</v>
      </c>
      <c r="I293" s="66" t="s">
        <v>71</v>
      </c>
    </row>
    <row r="294" spans="1:9" ht="29.1">
      <c r="E294" s="30" t="s">
        <v>414</v>
      </c>
      <c r="F294" s="45">
        <f>(F289*1000000)/F292</f>
        <v>6687096.7741935467</v>
      </c>
      <c r="G294" s="15" t="s">
        <v>45</v>
      </c>
      <c r="H294" s="26" t="s">
        <v>415</v>
      </c>
      <c r="I294" s="66" t="s">
        <v>71</v>
      </c>
    </row>
    <row r="295" spans="1:9" ht="29.1">
      <c r="E295" s="30" t="s">
        <v>416</v>
      </c>
      <c r="F295" s="45">
        <f>C270</f>
        <v>1551796.918860801</v>
      </c>
      <c r="G295" s="15" t="s">
        <v>45</v>
      </c>
      <c r="H295" s="26" t="s">
        <v>417</v>
      </c>
      <c r="I295" s="66" t="s">
        <v>71</v>
      </c>
    </row>
    <row r="296" spans="1:9" ht="42" customHeight="1" thickBot="1">
      <c r="E296" s="61" t="s">
        <v>418</v>
      </c>
      <c r="F296" s="51">
        <f>C271</f>
        <v>2069062.5584810684</v>
      </c>
      <c r="G296" s="19" t="s">
        <v>45</v>
      </c>
      <c r="H296" s="33" t="s">
        <v>417</v>
      </c>
      <c r="I296" s="83" t="s">
        <v>71</v>
      </c>
    </row>
    <row r="297" spans="1:9">
      <c r="E297" s="25"/>
      <c r="H297" s="25"/>
      <c r="I297" s="25"/>
    </row>
    <row r="298" spans="1:9" s="9" customFormat="1" ht="18.600000000000001">
      <c r="A298"/>
      <c r="B298" s="12" t="s">
        <v>419</v>
      </c>
      <c r="G298" s="53"/>
    </row>
    <row r="299" spans="1:9" ht="15" thickBot="1"/>
    <row r="300" spans="1:9" ht="15" thickBot="1">
      <c r="B300" s="149" t="s">
        <v>35</v>
      </c>
      <c r="C300" s="150"/>
      <c r="E300" s="146" t="s">
        <v>36</v>
      </c>
      <c r="F300" s="147"/>
      <c r="G300" s="147"/>
      <c r="H300" s="147"/>
      <c r="I300" s="148"/>
    </row>
    <row r="301" spans="1:9">
      <c r="B301" s="62" t="s">
        <v>37</v>
      </c>
      <c r="C301" s="121">
        <f>F309</f>
        <v>1551796.918860801</v>
      </c>
      <c r="E301" s="46" t="s">
        <v>38</v>
      </c>
      <c r="F301" s="47" t="s">
        <v>39</v>
      </c>
      <c r="G301" s="55" t="s">
        <v>40</v>
      </c>
      <c r="H301" s="47" t="s">
        <v>41</v>
      </c>
      <c r="I301" s="65" t="s">
        <v>42</v>
      </c>
    </row>
    <row r="302" spans="1:9" ht="81.95" customHeight="1" thickBot="1">
      <c r="B302" s="2" t="s">
        <v>43</v>
      </c>
      <c r="C302" s="63">
        <f>F310</f>
        <v>2069062.5584810684</v>
      </c>
      <c r="E302" s="40" t="s">
        <v>399</v>
      </c>
      <c r="F302" s="26">
        <v>138.19999999999999</v>
      </c>
      <c r="G302" s="26" t="s">
        <v>400</v>
      </c>
      <c r="H302" s="26"/>
      <c r="I302" s="41" t="s">
        <v>401</v>
      </c>
    </row>
    <row r="303" spans="1:9" ht="65.45" customHeight="1">
      <c r="E303" s="30" t="s">
        <v>402</v>
      </c>
      <c r="F303" s="26">
        <f>F302*0.15</f>
        <v>20.729999999999997</v>
      </c>
      <c r="G303" s="26" t="s">
        <v>400</v>
      </c>
      <c r="H303" s="26" t="s">
        <v>420</v>
      </c>
      <c r="I303" s="66" t="s">
        <v>71</v>
      </c>
    </row>
    <row r="304" spans="1:9" ht="44.1" customHeight="1">
      <c r="E304" s="40" t="s">
        <v>404</v>
      </c>
      <c r="F304" s="26">
        <v>868000</v>
      </c>
      <c r="G304" s="26" t="s">
        <v>405</v>
      </c>
      <c r="H304" s="26" t="s">
        <v>406</v>
      </c>
      <c r="I304" s="41" t="s">
        <v>407</v>
      </c>
    </row>
    <row r="305" spans="1:9" ht="29.1">
      <c r="E305" s="30" t="s">
        <v>421</v>
      </c>
      <c r="F305" s="26">
        <v>4.4000000000000004</v>
      </c>
      <c r="G305" s="26" t="s">
        <v>409</v>
      </c>
      <c r="H305" s="26" t="s">
        <v>422</v>
      </c>
      <c r="I305" s="41" t="s">
        <v>423</v>
      </c>
    </row>
    <row r="306" spans="1:9" ht="29.1">
      <c r="E306" s="30" t="s">
        <v>424</v>
      </c>
      <c r="F306" s="26">
        <v>2</v>
      </c>
      <c r="G306" s="26" t="s">
        <v>409</v>
      </c>
      <c r="H306" s="26" t="s">
        <v>425</v>
      </c>
      <c r="I306" s="41" t="s">
        <v>423</v>
      </c>
    </row>
    <row r="307" spans="1:9" ht="43.5">
      <c r="E307" s="30" t="s">
        <v>412</v>
      </c>
      <c r="F307" s="26">
        <f>(F303*1000000)/F306</f>
        <v>10364999.999999998</v>
      </c>
      <c r="G307" s="15" t="s">
        <v>45</v>
      </c>
      <c r="H307" s="26" t="s">
        <v>426</v>
      </c>
      <c r="I307" s="66" t="s">
        <v>71</v>
      </c>
    </row>
    <row r="308" spans="1:9" ht="42" customHeight="1">
      <c r="E308" s="30" t="s">
        <v>414</v>
      </c>
      <c r="F308" s="79">
        <f>(F303*1000000)/F305</f>
        <v>4711363.6363636348</v>
      </c>
      <c r="G308" s="15" t="s">
        <v>45</v>
      </c>
      <c r="H308" s="26" t="s">
        <v>427</v>
      </c>
      <c r="I308" s="66" t="s">
        <v>71</v>
      </c>
    </row>
    <row r="309" spans="1:9" ht="29.1">
      <c r="E309" s="30" t="s">
        <v>428</v>
      </c>
      <c r="F309" s="79">
        <f>F281</f>
        <v>1551796.918860801</v>
      </c>
      <c r="G309" s="15" t="s">
        <v>45</v>
      </c>
      <c r="H309" s="26" t="s">
        <v>429</v>
      </c>
      <c r="I309" s="66" t="s">
        <v>71</v>
      </c>
    </row>
    <row r="310" spans="1:9" ht="42" customHeight="1" thickBot="1">
      <c r="E310" s="61" t="s">
        <v>430</v>
      </c>
      <c r="F310" s="80">
        <f>F282</f>
        <v>2069062.5584810684</v>
      </c>
      <c r="G310" s="19" t="s">
        <v>45</v>
      </c>
      <c r="H310" s="33" t="s">
        <v>429</v>
      </c>
      <c r="I310" s="83" t="s">
        <v>71</v>
      </c>
    </row>
    <row r="312" spans="1:9" s="9" customFormat="1" ht="18.600000000000001">
      <c r="A312"/>
      <c r="B312" s="12" t="s">
        <v>431</v>
      </c>
      <c r="G312" s="53"/>
    </row>
    <row r="313" spans="1:9" ht="15" thickBot="1"/>
    <row r="314" spans="1:9" ht="15" thickBot="1">
      <c r="B314" s="149" t="s">
        <v>35</v>
      </c>
      <c r="C314" s="150"/>
      <c r="E314" s="146" t="s">
        <v>36</v>
      </c>
      <c r="F314" s="147"/>
      <c r="G314" s="147"/>
      <c r="H314" s="147"/>
      <c r="I314" s="148"/>
    </row>
    <row r="315" spans="1:9">
      <c r="B315" s="62" t="s">
        <v>37</v>
      </c>
      <c r="C315" s="121">
        <f>F322</f>
        <v>1884545.4545454541</v>
      </c>
      <c r="E315" s="46" t="s">
        <v>38</v>
      </c>
      <c r="F315" s="47" t="s">
        <v>39</v>
      </c>
      <c r="G315" s="55" t="s">
        <v>40</v>
      </c>
      <c r="H315" s="47" t="s">
        <v>41</v>
      </c>
      <c r="I315" s="65" t="s">
        <v>42</v>
      </c>
    </row>
    <row r="316" spans="1:9" ht="81.95" customHeight="1" thickBot="1">
      <c r="B316" s="2" t="s">
        <v>43</v>
      </c>
      <c r="C316" s="63">
        <f>F321</f>
        <v>4145999.9999999991</v>
      </c>
      <c r="E316" s="30" t="s">
        <v>432</v>
      </c>
      <c r="F316" s="26">
        <v>138.19999999999999</v>
      </c>
      <c r="G316" s="26" t="s">
        <v>400</v>
      </c>
      <c r="H316" s="26"/>
      <c r="I316" s="41" t="s">
        <v>401</v>
      </c>
    </row>
    <row r="317" spans="1:9" ht="65.45" customHeight="1">
      <c r="E317" s="30" t="s">
        <v>402</v>
      </c>
      <c r="F317" s="26">
        <f>F316*0.15</f>
        <v>20.729999999999997</v>
      </c>
      <c r="G317" s="26" t="s">
        <v>400</v>
      </c>
      <c r="H317" s="26" t="s">
        <v>433</v>
      </c>
      <c r="I317" s="66" t="s">
        <v>71</v>
      </c>
    </row>
    <row r="318" spans="1:9" ht="44.1" customHeight="1">
      <c r="E318" s="30" t="s">
        <v>434</v>
      </c>
      <c r="F318" s="26">
        <v>868000</v>
      </c>
      <c r="G318" s="26" t="s">
        <v>405</v>
      </c>
      <c r="H318" s="26" t="s">
        <v>406</v>
      </c>
      <c r="I318" s="41" t="s">
        <v>407</v>
      </c>
    </row>
    <row r="319" spans="1:9" ht="29.1">
      <c r="E319" s="30" t="s">
        <v>421</v>
      </c>
      <c r="F319" s="26">
        <v>11</v>
      </c>
      <c r="G319" s="26" t="s">
        <v>409</v>
      </c>
      <c r="H319" s="26" t="s">
        <v>435</v>
      </c>
      <c r="I319" s="41" t="s">
        <v>423</v>
      </c>
    </row>
    <row r="320" spans="1:9" ht="29.1">
      <c r="E320" s="30" t="s">
        <v>424</v>
      </c>
      <c r="F320" s="26">
        <v>5</v>
      </c>
      <c r="G320" s="26" t="s">
        <v>409</v>
      </c>
      <c r="H320" s="26" t="s">
        <v>436</v>
      </c>
      <c r="I320" s="41" t="s">
        <v>423</v>
      </c>
    </row>
    <row r="321" spans="1:9" ht="43.5">
      <c r="E321" s="30" t="s">
        <v>369</v>
      </c>
      <c r="F321" s="26">
        <f>(F317*1000000)/F320</f>
        <v>4145999.9999999991</v>
      </c>
      <c r="G321" s="26" t="s">
        <v>45</v>
      </c>
      <c r="H321" s="26" t="s">
        <v>437</v>
      </c>
      <c r="I321" s="66" t="s">
        <v>71</v>
      </c>
    </row>
    <row r="322" spans="1:9" ht="42" customHeight="1" thickBot="1">
      <c r="E322" s="61" t="s">
        <v>370</v>
      </c>
      <c r="F322" s="80">
        <f>(F317*1000000)/F319</f>
        <v>1884545.4545454541</v>
      </c>
      <c r="G322" s="33" t="s">
        <v>45</v>
      </c>
      <c r="H322" s="33" t="s">
        <v>438</v>
      </c>
      <c r="I322" s="83" t="s">
        <v>71</v>
      </c>
    </row>
    <row r="324" spans="1:9" s="9" customFormat="1" ht="18.600000000000001">
      <c r="A324"/>
      <c r="B324" s="12" t="s">
        <v>439</v>
      </c>
      <c r="G324" s="53"/>
    </row>
    <row r="325" spans="1:9" ht="15" thickBot="1"/>
    <row r="326" spans="1:9" ht="15" thickBot="1">
      <c r="B326" s="149" t="s">
        <v>35</v>
      </c>
      <c r="C326" s="150"/>
      <c r="E326" s="149" t="s">
        <v>36</v>
      </c>
      <c r="F326" s="151"/>
      <c r="G326" s="151"/>
      <c r="H326" s="151"/>
      <c r="I326" s="150"/>
    </row>
    <row r="327" spans="1:9">
      <c r="B327" s="62" t="s">
        <v>37</v>
      </c>
      <c r="C327" s="121">
        <v>0</v>
      </c>
      <c r="E327" s="20" t="s">
        <v>38</v>
      </c>
      <c r="F327" s="21" t="s">
        <v>39</v>
      </c>
      <c r="G327" s="54" t="s">
        <v>40</v>
      </c>
      <c r="H327" s="21" t="s">
        <v>41</v>
      </c>
      <c r="I327" s="124" t="s">
        <v>42</v>
      </c>
    </row>
    <row r="328" spans="1:9" ht="15" thickBot="1">
      <c r="B328" s="2" t="s">
        <v>43</v>
      </c>
      <c r="C328" s="84">
        <v>0</v>
      </c>
      <c r="E328" s="74" t="s">
        <v>440</v>
      </c>
      <c r="F328" s="73">
        <v>0</v>
      </c>
      <c r="G328" s="73" t="s">
        <v>441</v>
      </c>
      <c r="H328" s="73" t="s">
        <v>15</v>
      </c>
      <c r="I328" s="68" t="s">
        <v>15</v>
      </c>
    </row>
    <row r="329" spans="1:9">
      <c r="E329" s="25"/>
      <c r="F329" s="69"/>
      <c r="H329" s="25"/>
      <c r="I329" s="56"/>
    </row>
    <row r="330" spans="1:9">
      <c r="E330" s="25"/>
      <c r="H330" s="25"/>
      <c r="I330" s="56"/>
    </row>
    <row r="331" spans="1:9">
      <c r="E331" s="25"/>
      <c r="F331" s="70"/>
      <c r="H331" s="25"/>
      <c r="I331" s="25"/>
    </row>
    <row r="333" spans="1:9" s="9" customFormat="1" ht="18.600000000000001">
      <c r="A333"/>
      <c r="B333" s="12" t="s">
        <v>442</v>
      </c>
      <c r="G333" s="53"/>
    </row>
    <row r="334" spans="1:9" ht="15" thickBot="1"/>
    <row r="335" spans="1:9" ht="15" thickBot="1">
      <c r="B335" s="149" t="s">
        <v>35</v>
      </c>
      <c r="C335" s="150"/>
      <c r="E335" s="149" t="s">
        <v>36</v>
      </c>
      <c r="F335" s="151"/>
      <c r="G335" s="151"/>
      <c r="H335" s="151"/>
      <c r="I335" s="150"/>
    </row>
    <row r="336" spans="1:9">
      <c r="B336" s="62" t="s">
        <v>37</v>
      </c>
      <c r="C336" s="121">
        <v>0</v>
      </c>
      <c r="E336" s="20" t="s">
        <v>38</v>
      </c>
      <c r="F336" s="21" t="s">
        <v>39</v>
      </c>
      <c r="G336" s="54" t="s">
        <v>40</v>
      </c>
      <c r="H336" s="21" t="s">
        <v>41</v>
      </c>
      <c r="I336" s="124" t="s">
        <v>42</v>
      </c>
    </row>
    <row r="337" spans="1:9" ht="29.45" thickBot="1">
      <c r="B337" s="2" t="s">
        <v>43</v>
      </c>
      <c r="C337" s="84">
        <v>0</v>
      </c>
      <c r="E337" s="74" t="s">
        <v>443</v>
      </c>
      <c r="F337" s="73">
        <v>0</v>
      </c>
      <c r="G337" s="73" t="s">
        <v>441</v>
      </c>
      <c r="H337" s="73" t="s">
        <v>15</v>
      </c>
      <c r="I337" s="68" t="s">
        <v>15</v>
      </c>
    </row>
    <row r="338" spans="1:9">
      <c r="E338" s="25"/>
      <c r="F338" s="69"/>
      <c r="H338" s="25"/>
      <c r="I338" s="56"/>
    </row>
    <row r="339" spans="1:9" s="9" customFormat="1" ht="18.600000000000001">
      <c r="A339"/>
      <c r="B339" s="12" t="s">
        <v>444</v>
      </c>
      <c r="G339" s="53"/>
    </row>
    <row r="340" spans="1:9" ht="15" thickBot="1"/>
    <row r="341" spans="1:9" ht="15" thickBot="1">
      <c r="B341" s="149" t="s">
        <v>35</v>
      </c>
      <c r="C341" s="150"/>
      <c r="E341" s="146" t="s">
        <v>36</v>
      </c>
      <c r="F341" s="147"/>
      <c r="G341" s="147"/>
      <c r="H341" s="147"/>
      <c r="I341" s="148"/>
    </row>
    <row r="342" spans="1:9">
      <c r="B342" s="62" t="s">
        <v>37</v>
      </c>
      <c r="C342" s="121" t="s">
        <v>15</v>
      </c>
      <c r="E342" s="46" t="s">
        <v>38</v>
      </c>
      <c r="F342" s="47" t="s">
        <v>39</v>
      </c>
      <c r="G342" s="55" t="s">
        <v>40</v>
      </c>
      <c r="H342" s="47" t="s">
        <v>41</v>
      </c>
      <c r="I342" s="65" t="s">
        <v>42</v>
      </c>
    </row>
    <row r="343" spans="1:9" ht="65.45" customHeight="1" thickBot="1">
      <c r="B343" s="2" t="s">
        <v>43</v>
      </c>
      <c r="C343" s="63">
        <f>F346</f>
        <v>19527200</v>
      </c>
      <c r="E343" s="30" t="s">
        <v>445</v>
      </c>
      <c r="F343" s="85">
        <v>44380000</v>
      </c>
      <c r="G343" s="26" t="s">
        <v>446</v>
      </c>
      <c r="H343" s="37" t="s">
        <v>447</v>
      </c>
      <c r="I343" s="41" t="s">
        <v>448</v>
      </c>
    </row>
    <row r="344" spans="1:9" ht="44.1" customHeight="1">
      <c r="E344" s="30" t="s">
        <v>449</v>
      </c>
      <c r="F344" s="26">
        <v>440</v>
      </c>
      <c r="G344" s="26" t="s">
        <v>450</v>
      </c>
      <c r="H344" s="37" t="s">
        <v>451</v>
      </c>
      <c r="I344" s="41" t="s">
        <v>452</v>
      </c>
    </row>
    <row r="345" spans="1:9" ht="43.5">
      <c r="E345" s="30" t="s">
        <v>453</v>
      </c>
      <c r="F345" s="26">
        <f>F344/1000</f>
        <v>0.44</v>
      </c>
      <c r="G345" s="26" t="s">
        <v>454</v>
      </c>
      <c r="H345" s="37"/>
      <c r="I345" s="49" t="s">
        <v>71</v>
      </c>
    </row>
    <row r="346" spans="1:9" ht="44.1" thickBot="1">
      <c r="E346" s="61" t="s">
        <v>455</v>
      </c>
      <c r="F346" s="86">
        <f>F345*F343</f>
        <v>19527200</v>
      </c>
      <c r="G346" s="33" t="s">
        <v>45</v>
      </c>
      <c r="H346" s="73" t="s">
        <v>447</v>
      </c>
      <c r="I346" s="68" t="s">
        <v>71</v>
      </c>
    </row>
  </sheetData>
  <mergeCells count="53">
    <mergeCell ref="B335:C335"/>
    <mergeCell ref="E335:I335"/>
    <mergeCell ref="B341:C341"/>
    <mergeCell ref="E341:I341"/>
    <mergeCell ref="B300:C300"/>
    <mergeCell ref="E300:I300"/>
    <mergeCell ref="B314:C314"/>
    <mergeCell ref="E314:I314"/>
    <mergeCell ref="B326:C326"/>
    <mergeCell ref="E326:I326"/>
    <mergeCell ref="B286:C286"/>
    <mergeCell ref="E286:I286"/>
    <mergeCell ref="B4:C4"/>
    <mergeCell ref="E4:I4"/>
    <mergeCell ref="B15:C15"/>
    <mergeCell ref="E15:I15"/>
    <mergeCell ref="B28:C28"/>
    <mergeCell ref="E28:I28"/>
    <mergeCell ref="B38:C38"/>
    <mergeCell ref="E38:I38"/>
    <mergeCell ref="B58:C58"/>
    <mergeCell ref="E58:I58"/>
    <mergeCell ref="B68:C68"/>
    <mergeCell ref="E68:I68"/>
    <mergeCell ref="B83:C83"/>
    <mergeCell ref="E83:I83"/>
    <mergeCell ref="B109:C109"/>
    <mergeCell ref="E109:I109"/>
    <mergeCell ref="B128:C128"/>
    <mergeCell ref="E128:I128"/>
    <mergeCell ref="B230:C230"/>
    <mergeCell ref="E230:I230"/>
    <mergeCell ref="B147:C147"/>
    <mergeCell ref="E147:I147"/>
    <mergeCell ref="B156:C156"/>
    <mergeCell ref="E156:I156"/>
    <mergeCell ref="B169:C169"/>
    <mergeCell ref="E169:I169"/>
    <mergeCell ref="B186:C186"/>
    <mergeCell ref="E186:I186"/>
    <mergeCell ref="B203:C203"/>
    <mergeCell ref="E203:I203"/>
    <mergeCell ref="E215:I215"/>
    <mergeCell ref="B251:C251"/>
    <mergeCell ref="E251:I251"/>
    <mergeCell ref="B269:C269"/>
    <mergeCell ref="E269:I269"/>
    <mergeCell ref="E274:E275"/>
    <mergeCell ref="F274:F275"/>
    <mergeCell ref="G274:G275"/>
    <mergeCell ref="E234:E235"/>
    <mergeCell ref="F234:F235"/>
    <mergeCell ref="G234:G235"/>
  </mergeCells>
  <hyperlinks>
    <hyperlink ref="I6" r:id="rId1" xr:uid="{A178CAA7-22EA-4274-8E47-04F64D5C80D2}"/>
    <hyperlink ref="I7" r:id="rId2" xr:uid="{5A1E142E-785C-4072-9412-9005762A2F84}"/>
    <hyperlink ref="I17" r:id="rId3" display="https://www.mass.gov/info-details/agricultural-resources-facts-and-statistics" xr:uid="{96691D24-42E1-4C94-9662-3F546FF7BA53}"/>
    <hyperlink ref="I18" r:id="rId4" xr:uid="{BA5FFD35-20D4-46CE-870E-816F73BB928E}"/>
    <hyperlink ref="I19" r:id="rId5" xr:uid="{047D47C4-8627-4744-AF46-FFCF359FA5D0}"/>
    <hyperlink ref="I20" r:id="rId6" xr:uid="{A7057F58-CA03-4ED4-90C6-19C5C98D54C5}"/>
    <hyperlink ref="I40" r:id="rId7" xr:uid="{30BF24F9-D942-4CC6-B5D2-A6BFD5A3EC0D}"/>
    <hyperlink ref="I41" r:id="rId8" xr:uid="{F1069149-98AD-4E06-BEC9-8472C5160921}"/>
    <hyperlink ref="I42" r:id="rId9" xr:uid="{2371158F-9F37-44AC-8F00-33229C7EFF66}"/>
    <hyperlink ref="I43" r:id="rId10" location=":~:text=The%20weight%20fraction%20of%20carbon,deemed%20to%20be%20less%20controversial." xr:uid="{48D5694C-2DF3-4CA7-A8E8-A465A4DDB502}"/>
    <hyperlink ref="I44" r:id="rId11" location=":~:text=The%20weight%20fraction%20of%20carbon,deemed%20to%20be%20less%20controversial" xr:uid="{0C84CC60-0903-4D1C-8A06-01D2B78CE006}"/>
    <hyperlink ref="I60" r:id="rId12" display="https://cbmjournal.biomedcentral.com/articles/10.1186/s13021-022-00202-0" xr:uid="{ACD6FD6D-F482-443A-9282-3C2189C7CED7}"/>
    <hyperlink ref="I61" r:id="rId13" display="https://www.fs.usda.gov/nrs/pubs/ru/ru_fs369.pdf" xr:uid="{3CDC5166-211D-47BD-9DE2-B798A1653DBF}"/>
    <hyperlink ref="I62" r:id="rId14" display="https://www.unitconverters.net/area/acres-to-hectare.htm" xr:uid="{B63C38B9-2915-4095-B5CA-1CA9436C571B}"/>
    <hyperlink ref="I71" r:id="rId15" xr:uid="{3CDBA196-1379-4F3D-8488-873CC5BA158D}"/>
    <hyperlink ref="I70" r:id="rId16" xr:uid="{E134953E-77C6-4806-890A-6CBF19CDEBF3}"/>
    <hyperlink ref="I72" r:id="rId17" location=":~:text=The%20weight%20fraction%20of%20carbon,deemed%20to%20be%20less%20controversial" xr:uid="{4A651934-B8FE-4929-AC8E-794015C8FF79}"/>
    <hyperlink ref="I73" r:id="rId18" location=":~:text=The%20weight%20fraction%20of%20carbon,deemed%20to%20be%20less%20controversial" xr:uid="{8F1E6E44-F324-4C71-9732-56E7B5309BF2}"/>
    <hyperlink ref="I88" r:id="rId19" xr:uid="{5C98CBC5-D9AE-4E52-AC48-FDCAB9AEF93D}"/>
    <hyperlink ref="I89" r:id="rId20" xr:uid="{9A731809-353C-41E9-B3A2-B3E4581AD1E9}"/>
    <hyperlink ref="I90" r:id="rId21" xr:uid="{C5216459-6FA1-473B-A7D3-79A735325E9A}"/>
    <hyperlink ref="I91" r:id="rId22" xr:uid="{77ADC83E-CFDB-4495-8884-07C7E6229C4D}"/>
    <hyperlink ref="I94" r:id="rId23" xr:uid="{1AA58CA7-A2E5-45BC-81CA-DE8352B7C04E}"/>
    <hyperlink ref="I95" r:id="rId24" xr:uid="{2E26CCFE-969E-4A4A-9274-78F52708B1F0}"/>
    <hyperlink ref="I92" r:id="rId25" xr:uid="{FC0AED55-3B88-4B7A-A609-5A9EF6C1C08C}"/>
    <hyperlink ref="I93" r:id="rId26" xr:uid="{44F7187B-0641-4841-9346-4821BB84C56F}"/>
    <hyperlink ref="I87" r:id="rId27" xr:uid="{1915AE09-79BF-42B7-BB03-0C3D1AC32C01}"/>
    <hyperlink ref="I85" r:id="rId28" xr:uid="{396CF8A9-ED4E-4467-9B4F-72FE2AF51214}"/>
    <hyperlink ref="I86" r:id="rId29" xr:uid="{5626BC04-9549-4912-9835-3614A2E2EBFD}"/>
    <hyperlink ref="I113" r:id="rId30" xr:uid="{B11141E5-3F68-4A21-B058-005C6008F21B}"/>
    <hyperlink ref="I112" r:id="rId31" xr:uid="{117EB018-D124-411A-ADB4-828C8A371C13}"/>
    <hyperlink ref="I111" r:id="rId32" xr:uid="{3C72BBDB-59D0-4E94-BAA4-2F6B4FB507D0}"/>
    <hyperlink ref="I114" r:id="rId33" xr:uid="{7D11D9BC-E125-4A9E-9BB9-267C348CB914}"/>
    <hyperlink ref="I115" r:id="rId34" xr:uid="{23B96851-6004-44AC-AD07-F096CEEF9541}"/>
    <hyperlink ref="I116" r:id="rId35" location=":~:text=The%20purpose%20of%20using%20the,COD%20of%20this%20waste%20stream" xr:uid="{A2CD9CD4-EE88-4BEB-B465-C59BCB266A9B}"/>
    <hyperlink ref="I117" r:id="rId36" xr:uid="{E30989BD-D43C-4EA9-8EC1-F5C9908527C7}"/>
    <hyperlink ref="I118" r:id="rId37" xr:uid="{100F4FBF-8C01-41AA-82F0-59297F20B143}"/>
    <hyperlink ref="I130" r:id="rId38" display="https://www.mass.gov/doc/forest-carbon-study-report-2025/download" xr:uid="{31AD4757-E7B3-48CC-8ABA-3F4463D95593}"/>
    <hyperlink ref="I140" r:id="rId39" location=":~:text=The%20weight%20fraction%20of%20carbon,deemed%20to%20be%20less%20controversial" xr:uid="{F21521DA-83DE-40BB-B0FB-B83D33FEA2D0}"/>
    <hyperlink ref="I141" r:id="rId40" location=":~:text=The%20weight%20fraction%20of%20carbon,deemed%20to%20be%20less%20controversial" xr:uid="{A5841D2A-AADD-4F7B-9F28-56AB09A8EEE6}"/>
    <hyperlink ref="I131" r:id="rId41" display="https://docs.nrel.gov/docs/fy21osti/79931.pdf" xr:uid="{C67D64DD-4DB5-4049-83FF-D23C417C5F83}"/>
    <hyperlink ref="I158" r:id="rId42" display="State Area Measurements and Internal Point Coordinates" xr:uid="{24E93BD5-5E1D-438A-B0B8-C9A6BF945FDD}"/>
    <hyperlink ref="I161" r:id="rId43" xr:uid="{EE3B8067-1756-47AE-96CC-FC6264B318CF}"/>
    <hyperlink ref="I160" r:id="rId44" display="Convert Square Mile to Square Kilometer" xr:uid="{F1D6CE21-F8E0-4EE6-8A2D-FBA8F24D7B05}"/>
    <hyperlink ref="I159" r:id="rId45" display="https://www2.census.gov/geo/pdfs/reference/GARM/Ch15GARM.pdf" xr:uid="{35BF245B-2865-45B8-9261-D7FA4E6E8749}"/>
    <hyperlink ref="I173" r:id="rId46" xr:uid="{BFAFE6FA-F6E2-40EA-A593-146A79AFE677}"/>
    <hyperlink ref="I172" r:id="rId47" xr:uid="{01CE5A97-746F-4971-97EE-5FE548B4420E}"/>
    <hyperlink ref="I171" r:id="rId48" xr:uid="{96AFE116-7BD5-4F8C-9EBB-AF9EC9E847D7}"/>
    <hyperlink ref="I210" r:id="rId49" xr:uid="{C15F5D28-26E7-4F41-956C-1A1349B9367B}"/>
    <hyperlink ref="I205" r:id="rId50" display="https://www.usgs.gov/centers/national-minerals-information-center/mineral-industry-massachusetts" xr:uid="{A8E04703-F199-4BDD-9AEB-657EA1337F89}"/>
    <hyperlink ref="I206" r:id="rId51" display="https://nationalslag.org/slag-availability/" xr:uid="{7333AE15-7ECD-4C15-8E00-BA94F2C1E444}"/>
    <hyperlink ref="I207" r:id="rId52" display="https://www.mass.gov/doc/2024-annual-cd-report-summary-data/download" xr:uid="{00ED9F62-50B5-4927-BAC6-81160FCF13B3}"/>
    <hyperlink ref="I217" r:id="rId53" display="https://earthjustice.org/wp-content/uploads/ma-coal-ash-factsheet-0412.pdf" xr:uid="{D92DE6B6-85D8-439F-95B8-319CE7C6C980}"/>
    <hyperlink ref="I218" r:id="rId54" location="ma" display="https://www.epa.gov/coal-combustion-residuals/list-publicly-accessible-internet-sites-hosting-ccr-management-compliance - ma" xr:uid="{CEBB36E7-9689-44B8-8F95-D8260E863EAA}"/>
    <hyperlink ref="I219" r:id="rId55" location="ma" display="https://www.epa.gov/coal-combustion-residuals/list-publicly-accessible-internet-sites-hosting-ccr-management-compliance - ma" xr:uid="{D5640F21-9978-45C7-8A9F-2A66C4FB51AE}"/>
    <hyperlink ref="I220" r:id="rId56" display="https://www.engie-na.com/wp-content/uploads/Mt-Tom-CCR-Initial-Inspection-Report.pdf" xr:uid="{9A840480-9D1B-4E03-8815-B857437CF3D2}"/>
    <hyperlink ref="I221" r:id="rId57" display="https://www.ce.memphis.edu/1112/notes/project_2/PCA_manual/Chap03.pdf" xr:uid="{9056957F-1491-4284-9866-073A2F110991}"/>
    <hyperlink ref="I261" r:id="rId58" xr:uid="{72735647-59CF-4C0F-8598-9B4B68411079}"/>
    <hyperlink ref="I259" r:id="rId59" xr:uid="{6DFD52FE-0325-4F2E-86C1-A69951966539}"/>
    <hyperlink ref="I260" r:id="rId60" xr:uid="{CF2CB805-2643-4B2A-92CE-7101E5B27770}"/>
    <hyperlink ref="I271" r:id="rId61" display="State Area Measurements and Internal Point Coordinates" xr:uid="{F0CE5988-6FF0-4D97-A7E1-9736A0DB962D}"/>
    <hyperlink ref="I275" r:id="rId62" display="https://bg.copernicus.org/articles/20/27/2023/" xr:uid="{2D938155-250A-4C0D-ACDE-47D9EACFDE85}"/>
    <hyperlink ref="I276" r:id="rId63" display="https://carbonplan.org/research/oae-efficiency?region=17" xr:uid="{9B478AD0-D28C-4997-9714-8E025D60D41F}"/>
    <hyperlink ref="I277" r:id="rId64" display="https://www.nature.com/articles/s41558-024-02179-9.epdf?sharing_token=LgDF4VdJvkifRzIuQy5nT9RgN0jAjWel9jnR3ZoTv0ML06qtsGAXcI3ncw2VKMdvNBF8yc3ykUNvQP2YZSZZg3VEb8eJNbnayufBxkZ0cVTHRB4myOJv4osBgWv1OPyMNfRCLYPLT3MancsjfEhCqWMLGD_VUA_LXbALrR9640c%3D" xr:uid="{2AB437A8-7EAA-4B2A-80ED-528E4D720157}"/>
    <hyperlink ref="I274" r:id="rId65" display="https://carbonplan.org/research/oae-efficiency-explainer" xr:uid="{8F3E1555-F5FC-45C5-BF57-868EFEB89787}"/>
    <hyperlink ref="I290" r:id="rId66" display="https://www.eia.gov/state/print.php?sid=MA" xr:uid="{AE01AFA7-4F9E-47F5-841C-7099974E59F0}"/>
    <hyperlink ref="I288" r:id="rId67" xr:uid="{1E8C6F4A-114E-481F-A6BF-E39202429C76}"/>
    <hyperlink ref="I305" r:id="rId68" display="https://rmi.org/wp-content/uploads/dlm_uploads/2023/11/applied_innovation_roadmap_CDR.pdf" xr:uid="{A7D38181-1E4D-4B7F-BD3D-9C310AB883C9}"/>
    <hyperlink ref="I304" r:id="rId69" display="https://www.eia.gov/state/print.php?sid=MA" xr:uid="{1074B6D0-00E4-4B38-934D-7D4472AE9452}"/>
    <hyperlink ref="I302" r:id="rId70" xr:uid="{4757063B-CA2F-4A76-B84F-B5579D92A6DC}"/>
    <hyperlink ref="I306" r:id="rId71" display="https://rmi.org/wp-content/uploads/dlm_uploads/2023/11/applied_innovation_roadmap_CDR.pdf" xr:uid="{361241CB-0F8C-4ED2-8D4D-C04590742AE4}"/>
    <hyperlink ref="I319" r:id="rId72" display="https://rmi.org/wp-content/uploads/dlm_uploads/2023/11/applied_innovation_roadmap_CDR.pdf" xr:uid="{7532F22F-8F79-4AA0-9731-C47F79094107}"/>
    <hyperlink ref="I318" r:id="rId73" display="https://www.eia.gov/state/print.php?sid=MA" xr:uid="{52103D97-DD7A-4661-A08D-FE696A5BC636}"/>
    <hyperlink ref="I316" r:id="rId74" xr:uid="{0119BBDC-4F27-47EF-ADEA-B170E50607E2}"/>
    <hyperlink ref="I320" r:id="rId75" display="https://rmi.org/wp-content/uploads/dlm_uploads/2023/11/applied_innovation_roadmap_CDR.pdf" xr:uid="{49D97734-2A2C-4335-A2FC-9826AB031A10}"/>
    <hyperlink ref="I344" r:id="rId76" xr:uid="{F1238F29-4283-47A0-8162-76D139FF3410}"/>
    <hyperlink ref="I343" r:id="rId77" xr:uid="{DC30A1AF-014C-489B-A283-5B649FF0CEC1}"/>
    <hyperlink ref="I8:I9" r:id="rId78" display="MA Forest Carbon Study" xr:uid="{0FD565E3-CB33-4024-AFD1-AEEF5FEF9EAD}"/>
    <hyperlink ref="I136" r:id="rId79" display="https://www.weather.gov/wrh/Climate?wfo=box" xr:uid="{A188A1C6-531E-41E5-8D9D-A52829F969F6}"/>
    <hyperlink ref="I133" r:id="rId80" display="https://docs.nrel.gov/docs/fy19osti/72716.pdf" xr:uid="{6DFFBA58-AED0-42FE-8975-1075D9594D9C}"/>
    <hyperlink ref="I132" r:id="rId81" display="https://docs.nrel.gov/docs/fy19osti/72716.pdf" xr:uid="{C4EFFDAB-C480-4CDD-9C3B-B5C6A63798A3}"/>
    <hyperlink ref="I179" r:id="rId82" display="https://pubs.rsc.org/en/content/articlelanding/2022/ee/d2ee01021f" xr:uid="{75D77C59-5A50-4344-A833-AE431A4E8D70}"/>
    <hyperlink ref="I180" r:id="rId83" display="https://pubs.rsc.org/en/content/articlelanding/2022/ee/d2ee01021f" xr:uid="{8D0E53FA-6D3A-4DD8-8948-B95F2964C0AD}"/>
    <hyperlink ref="I190" r:id="rId84" xr:uid="{D8B3CB68-F50D-48CF-A1FC-9918FA9E2362}"/>
    <hyperlink ref="I189" r:id="rId85" xr:uid="{7FBDFF25-A01D-4639-81AD-C6FAD74F8603}"/>
    <hyperlink ref="I188" r:id="rId86" xr:uid="{60A4CDBC-0C1F-4F61-AEB9-8DB3E40D45A2}"/>
    <hyperlink ref="I196" r:id="rId87" display="https://www.cell.com/iscience/fulltext/S2589-0042(21)00733-1?_returnURL=https%3A%2F%2Flinkinghub.elsevier.com%2Fretrieve%2Fpii%2FS2589004221007331%3Fshowall%3Dtrue" xr:uid="{4245C969-61B5-44D9-B6D0-599E650C3114}"/>
    <hyperlink ref="I197" r:id="rId88" display="https://www.cell.com/iscience/fulltext/S2589-0042(21)00733-1?_returnURL=https%3A%2F%2Flinkinghub.elsevier.com%2Fretrieve%2Fpii%2FS2589004221007331%3Fshowall%3Dtrue" xr:uid="{13778DAE-FEB8-4E68-BE76-01DC31D819DE}"/>
    <hyperlink ref="I292" r:id="rId89" display="https://www.nationalacademies.org/projects/DELS-OSB-20-02" xr:uid="{F20F832D-E9FF-414D-A056-78B562CE403D}"/>
    <hyperlink ref="I291" r:id="rId90" display="https://www.nationalacademies.org/projects/DELS-OSB-20-02" xr:uid="{E4B27556-3879-4FEE-BCE1-F0E91E9E1D28}"/>
    <hyperlink ref="I46" r:id="rId91" xr:uid="{1DFC0709-706C-4B45-BB10-947F7A808F5E}"/>
    <hyperlink ref="I47" r:id="rId92" xr:uid="{62A5296D-C7AE-4A5B-B805-232A7933F357}"/>
    <hyperlink ref="I211" r:id="rId93" xr:uid="{9E218FA0-D3B2-BC4F-9BB9-A37320837AFC}"/>
    <hyperlink ref="I174" r:id="rId94" location=":~:text=The%20weight%20fraction%20of%20carbon,deemed%20to%20be%20less%20controversial." xr:uid="{56CCEB37-0C35-4898-9147-CE99F630D31E}"/>
    <hyperlink ref="I175" r:id="rId95" location=":~:text=The%20weight%20fraction%20of%20carbon,deemed%20to%20be%20less%20controversial" xr:uid="{F7F05A21-0515-4BD1-9DF0-8625B93F2741}"/>
    <hyperlink ref="I177" r:id="rId96" xr:uid="{407101C0-21A5-4FBE-9AEE-FDDBD2ED524D}"/>
    <hyperlink ref="I178" r:id="rId97" xr:uid="{0FE7B4BD-278B-47AE-ABD9-95A7DFE0AE46}"/>
    <hyperlink ref="I191" r:id="rId98" location=":~:text=The%20weight%20fraction%20of%20carbon,deemed%20to%20be%20less%20controversial." xr:uid="{6E8CC187-2ADD-48A4-8B8D-F71EB6908075}"/>
    <hyperlink ref="I192" r:id="rId99" location=":~:text=The%20weight%20fraction%20of%20carbon,deemed%20to%20be%20less%20controversial" xr:uid="{E7A6E113-E5B3-4543-B039-23B4058ED952}"/>
    <hyperlink ref="I194" r:id="rId100" xr:uid="{435FB396-DECC-4D34-BA51-639743D295EF}"/>
    <hyperlink ref="I195" r:id="rId101" xr:uid="{B2AA98CF-A19B-4D8F-AD1E-99E7965B7F04}"/>
    <hyperlink ref="I232" r:id="rId102" display="https://www.mass.gov/info-details/agricultural-resources-facts-and-statistics" xr:uid="{70ED44B3-FC1D-4CF1-B5C0-8ED5DA8A4E0D}"/>
    <hyperlink ref="I234" r:id="rId103" display="https://www.mdpi.com/2077-0472/15/1/52?utm_source=chatgpt.com" xr:uid="{2688ED39-EB5C-4770-9EA7-62A523605219}"/>
    <hyperlink ref="I235" r:id="rId104" display="https://www.nature.com/articles/s41586-024-08429-2" xr:uid="{49FE532F-1A02-4AA3-983D-82AE3EC11921}"/>
    <hyperlink ref="I233" r:id="rId105" display="https://www.fs.usda.gov/nrs/pubs/ru/ru_fs369.pdf" xr:uid="{86475954-7168-4C11-B5FF-7B9653CBE0EC}"/>
    <hyperlink ref="I239" r:id="rId106" display="https://www.pnas.org/doi/epdf/10.1073/pnas.2319436121" xr:uid="{9039200C-BDBD-47D8-8A98-681475B0A530}"/>
    <hyperlink ref="I238" r:id="rId107" display="https://www.frontiersin.org/journals/climate/articles/10.3389/fclim.2022.879133/full" xr:uid="{6754ED76-38C8-4ADB-AE41-D3C3F75304A5}"/>
    <hyperlink ref="I237" r:id="rId108" display="https://www.frontiersin.org/journals/climate/articles/10.3389/fclim.2022.879133/full" xr:uid="{29C1D362-B2ED-49D8-B2CC-9172D151CB28}"/>
    <hyperlink ref="I236" r:id="rId109" display="https://www.sciencedirect.com/science/article/pii/S0301479725033110" xr:uid="{AC85476E-3070-489E-AD21-6B8A34B140CB}"/>
    <hyperlink ref="I45" r:id="rId110" display="https://www.ipcc-nggip.iges.or.jp/public/2006gl/pdf/4_Volume4/V4_04_Ch4_Forest_Land.pdf" xr:uid="{CC65E9C9-ADC7-46A8-BF28-D4EB8E697102}"/>
    <hyperlink ref="I176" r:id="rId111" display="https://www.ipcc-nggip.iges.or.jp/public/2006gl/pdf/4_Volume4/V4_04_Ch4_Forest_Land.pdf" xr:uid="{1C23A45E-3B57-40E6-BD76-3B7818DE89FF}"/>
    <hyperlink ref="I193" r:id="rId112" display="https://www.ipcc-nggip.iges.or.jp/public/2006gl/pdf/4_Volume4/V4_04_Ch4_Forest_Land.pdf" xr:uid="{26E12893-24B5-4FF7-B8B4-9ADD124D9986}"/>
    <hyperlink ref="I74" r:id="rId113" display="https://www.ipcc-nggip.iges.or.jp/public/2006gl/pdf/4_Volume4/V4_04_Ch4_Forest_Land.pdf" xr:uid="{714175FF-6218-4C8F-931C-A0CB382E8EF5}"/>
    <hyperlink ref="I253" r:id="rId114" display="https://www.mass.gov/info-details/massachusetts-coastal-erosion-commission" xr:uid="{98810228-2328-4AA2-80DB-3E7BCAEF93EF}"/>
    <hyperlink ref="I254" r:id="rId115" display="https://www.mass.gov/info-details/massachusetts-coastal-erosion-commission" xr:uid="{955C5D5A-BCA3-4A90-82DA-AB4CB71CFAC2}"/>
  </hyperlinks>
  <pageMargins left="0.7" right="0.7" top="0.75" bottom="0.75" header="0.3" footer="0.3"/>
  <drawing r:id="rId1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F23CD-BC30-48FE-B3B6-6E7DF1BB294E}">
  <dimension ref="A2:I330"/>
  <sheetViews>
    <sheetView showGridLines="0" topLeftCell="A64" zoomScaleNormal="100" workbookViewId="0">
      <selection activeCell="I325" sqref="I325"/>
    </sheetView>
  </sheetViews>
  <sheetFormatPr defaultColWidth="8.85546875" defaultRowHeight="14.45"/>
  <cols>
    <col min="1" max="1" width="2.42578125" customWidth="1"/>
    <col min="2" max="2" width="26.42578125" bestFit="1" customWidth="1"/>
    <col min="3" max="3" width="16.85546875" customWidth="1"/>
    <col min="5" max="5" width="27.42578125" bestFit="1" customWidth="1"/>
    <col min="6" max="6" width="11.140625" bestFit="1" customWidth="1"/>
    <col min="7" max="7" width="10.42578125" bestFit="1" customWidth="1"/>
    <col min="8" max="8" width="34.85546875" bestFit="1" customWidth="1"/>
    <col min="9" max="9" width="33.42578125" customWidth="1"/>
  </cols>
  <sheetData>
    <row r="2" spans="1:9" s="9" customFormat="1" ht="18.600000000000001">
      <c r="A2"/>
      <c r="B2" s="12" t="s">
        <v>456</v>
      </c>
      <c r="G2" s="53"/>
    </row>
    <row r="3" spans="1:9" ht="15" thickBot="1"/>
    <row r="4" spans="1:9" ht="15" thickBot="1">
      <c r="E4" s="146" t="s">
        <v>36</v>
      </c>
      <c r="F4" s="147"/>
      <c r="G4" s="147"/>
      <c r="H4" s="147"/>
      <c r="I4" s="148"/>
    </row>
    <row r="5" spans="1:9">
      <c r="E5" s="46" t="s">
        <v>38</v>
      </c>
      <c r="F5" s="47" t="s">
        <v>39</v>
      </c>
      <c r="G5" s="55" t="s">
        <v>40</v>
      </c>
      <c r="H5" s="47" t="s">
        <v>41</v>
      </c>
      <c r="I5" s="48" t="s">
        <v>42</v>
      </c>
    </row>
    <row r="6" spans="1:9" ht="29.1">
      <c r="E6" s="40" t="s">
        <v>457</v>
      </c>
      <c r="F6" s="4">
        <v>0.05</v>
      </c>
      <c r="G6" s="37"/>
      <c r="H6" s="37" t="s">
        <v>458</v>
      </c>
      <c r="I6" s="49" t="s">
        <v>459</v>
      </c>
    </row>
    <row r="7" spans="1:9" ht="29.45" thickBot="1">
      <c r="E7" s="74" t="s">
        <v>460</v>
      </c>
      <c r="F7" s="8">
        <v>0.4</v>
      </c>
      <c r="G7" s="73"/>
      <c r="H7" s="73" t="s">
        <v>461</v>
      </c>
      <c r="I7" s="68" t="s">
        <v>459</v>
      </c>
    </row>
    <row r="13" spans="1:9" s="9" customFormat="1" ht="18.600000000000001">
      <c r="A13"/>
      <c r="B13" s="12" t="s">
        <v>10</v>
      </c>
      <c r="G13" s="53"/>
    </row>
    <row r="14" spans="1:9" ht="15" thickBot="1">
      <c r="G14" s="25"/>
    </row>
    <row r="15" spans="1:9" ht="15" thickBot="1">
      <c r="B15" s="146" t="s">
        <v>462</v>
      </c>
      <c r="C15" s="148"/>
      <c r="E15" s="146" t="s">
        <v>36</v>
      </c>
      <c r="F15" s="147"/>
      <c r="G15" s="147"/>
      <c r="H15" s="147"/>
      <c r="I15" s="148"/>
    </row>
    <row r="16" spans="1:9">
      <c r="B16" s="92" t="s">
        <v>463</v>
      </c>
      <c r="C16" s="93">
        <f>(C22)*$F$6</f>
        <v>1.2850000000000001</v>
      </c>
      <c r="E16" s="46" t="s">
        <v>38</v>
      </c>
      <c r="F16" s="47" t="s">
        <v>39</v>
      </c>
      <c r="G16" s="55" t="s">
        <v>40</v>
      </c>
      <c r="H16" s="47" t="s">
        <v>41</v>
      </c>
      <c r="I16" s="48" t="s">
        <v>42</v>
      </c>
    </row>
    <row r="17" spans="1:9" ht="43.5">
      <c r="B17" s="1" t="s">
        <v>464</v>
      </c>
      <c r="C17" s="94">
        <f>(C23)*$F$7</f>
        <v>1020.8000000000001</v>
      </c>
      <c r="E17" s="16" t="s">
        <v>465</v>
      </c>
      <c r="F17" s="103">
        <v>25.7</v>
      </c>
      <c r="G17" s="26" t="s">
        <v>466</v>
      </c>
      <c r="H17" s="26" t="s">
        <v>467</v>
      </c>
      <c r="I17" s="41" t="s">
        <v>468</v>
      </c>
    </row>
    <row r="18" spans="1:9" ht="43.5">
      <c r="B18" s="1" t="s">
        <v>469</v>
      </c>
      <c r="C18" s="94">
        <v>0</v>
      </c>
      <c r="E18" s="16" t="s">
        <v>470</v>
      </c>
      <c r="F18" s="103">
        <v>31.9</v>
      </c>
      <c r="G18" s="26" t="s">
        <v>466</v>
      </c>
      <c r="H18" s="26" t="s">
        <v>471</v>
      </c>
      <c r="I18" s="41" t="s">
        <v>468</v>
      </c>
    </row>
    <row r="19" spans="1:9" ht="29.1">
      <c r="B19" s="1" t="s">
        <v>472</v>
      </c>
      <c r="C19" s="94">
        <v>0</v>
      </c>
      <c r="E19" s="1" t="s">
        <v>473</v>
      </c>
      <c r="F19" s="4">
        <v>1</v>
      </c>
      <c r="G19" s="37" t="s">
        <v>474</v>
      </c>
      <c r="H19" s="4"/>
      <c r="I19" s="41" t="s">
        <v>475</v>
      </c>
    </row>
    <row r="20" spans="1:9" ht="29.45" thickBot="1">
      <c r="B20" s="1" t="s">
        <v>476</v>
      </c>
      <c r="C20" s="110">
        <v>0</v>
      </c>
      <c r="E20" s="2" t="s">
        <v>477</v>
      </c>
      <c r="F20" s="8">
        <v>80</v>
      </c>
      <c r="G20" s="73" t="s">
        <v>474</v>
      </c>
      <c r="H20" s="8"/>
      <c r="I20" s="106" t="s">
        <v>478</v>
      </c>
    </row>
    <row r="21" spans="1:9">
      <c r="B21" s="1" t="s">
        <v>479</v>
      </c>
      <c r="C21" s="110">
        <v>0</v>
      </c>
      <c r="E21" s="25"/>
      <c r="G21" s="25"/>
      <c r="H21" s="25"/>
    </row>
    <row r="22" spans="1:9">
      <c r="B22" s="1" t="s">
        <v>480</v>
      </c>
      <c r="C22" s="94">
        <f>F17*F19</f>
        <v>25.7</v>
      </c>
      <c r="E22" s="25"/>
      <c r="G22" s="25"/>
      <c r="H22" s="25"/>
    </row>
    <row r="23" spans="1:9">
      <c r="B23" s="1" t="s">
        <v>481</v>
      </c>
      <c r="C23" s="94">
        <f>F18*F20</f>
        <v>2552</v>
      </c>
      <c r="E23" s="25"/>
      <c r="G23" s="25"/>
      <c r="H23" s="25"/>
    </row>
    <row r="24" spans="1:9">
      <c r="B24" s="1" t="s">
        <v>482</v>
      </c>
      <c r="C24" s="104">
        <f>SUM(C16,C22)</f>
        <v>26.984999999999999</v>
      </c>
      <c r="E24" s="25"/>
      <c r="G24" s="25"/>
      <c r="H24" s="25"/>
    </row>
    <row r="25" spans="1:9" ht="15" thickBot="1">
      <c r="B25" s="2" t="s">
        <v>483</v>
      </c>
      <c r="C25" s="105">
        <f>SUM(C17,C23)</f>
        <v>3572.8</v>
      </c>
      <c r="G25" s="25"/>
    </row>
    <row r="27" spans="1:9" s="9" customFormat="1" ht="18.600000000000001">
      <c r="A27"/>
      <c r="B27" s="12" t="s">
        <v>11</v>
      </c>
      <c r="G27" s="53"/>
    </row>
    <row r="28" spans="1:9" ht="15" thickBot="1">
      <c r="G28" s="25"/>
    </row>
    <row r="29" spans="1:9" ht="15" thickBot="1">
      <c r="B29" s="146" t="s">
        <v>462</v>
      </c>
      <c r="C29" s="148"/>
      <c r="E29" s="146" t="s">
        <v>36</v>
      </c>
      <c r="F29" s="147"/>
      <c r="G29" s="147"/>
      <c r="H29" s="147"/>
      <c r="I29" s="148"/>
    </row>
    <row r="30" spans="1:9">
      <c r="B30" s="92" t="s">
        <v>463</v>
      </c>
      <c r="C30" s="93">
        <f>(C34)*$F$6</f>
        <v>27.5</v>
      </c>
      <c r="E30" s="46" t="s">
        <v>38</v>
      </c>
      <c r="F30" s="47" t="s">
        <v>39</v>
      </c>
      <c r="G30" s="55" t="s">
        <v>40</v>
      </c>
      <c r="H30" s="47" t="s">
        <v>41</v>
      </c>
      <c r="I30" s="48" t="s">
        <v>42</v>
      </c>
    </row>
    <row r="31" spans="1:9" ht="57.95">
      <c r="B31" s="1" t="s">
        <v>464</v>
      </c>
      <c r="C31" s="94">
        <f>(C35)*$F$7</f>
        <v>295</v>
      </c>
      <c r="E31" s="16" t="s">
        <v>484</v>
      </c>
      <c r="F31" s="10">
        <v>1100</v>
      </c>
      <c r="G31" s="26" t="s">
        <v>485</v>
      </c>
      <c r="H31" s="26"/>
      <c r="I31" s="107" t="s">
        <v>486</v>
      </c>
    </row>
    <row r="32" spans="1:9" ht="57.95">
      <c r="B32" s="1" t="s">
        <v>469</v>
      </c>
      <c r="C32" s="94">
        <v>0</v>
      </c>
      <c r="E32" s="16" t="s">
        <v>487</v>
      </c>
      <c r="F32" s="10">
        <v>1475</v>
      </c>
      <c r="G32" s="26" t="s">
        <v>485</v>
      </c>
      <c r="H32" s="26"/>
      <c r="I32" s="107" t="s">
        <v>486</v>
      </c>
    </row>
    <row r="33" spans="1:9" ht="55.5" customHeight="1" thickBot="1">
      <c r="B33" s="1" t="s">
        <v>472</v>
      </c>
      <c r="C33" s="94">
        <v>0</v>
      </c>
      <c r="E33" s="61" t="s">
        <v>488</v>
      </c>
      <c r="F33" s="8">
        <v>0.5</v>
      </c>
      <c r="G33" s="73"/>
      <c r="H33" s="73" t="s">
        <v>489</v>
      </c>
      <c r="I33" s="106" t="s">
        <v>475</v>
      </c>
    </row>
    <row r="34" spans="1:9">
      <c r="B34" s="1" t="s">
        <v>476</v>
      </c>
      <c r="C34" s="94">
        <f>F31*F33</f>
        <v>550</v>
      </c>
      <c r="E34" s="25"/>
      <c r="G34" s="25"/>
      <c r="H34" s="25"/>
    </row>
    <row r="35" spans="1:9">
      <c r="B35" s="1" t="s">
        <v>479</v>
      </c>
      <c r="C35" s="94">
        <f>F32*F33</f>
        <v>737.5</v>
      </c>
      <c r="E35" s="25"/>
      <c r="G35" s="25"/>
      <c r="H35" s="25"/>
    </row>
    <row r="36" spans="1:9">
      <c r="B36" s="1" t="s">
        <v>480</v>
      </c>
      <c r="C36" s="104">
        <f>SUM(C32,C34)</f>
        <v>550</v>
      </c>
    </row>
    <row r="37" spans="1:9">
      <c r="B37" s="1" t="s">
        <v>481</v>
      </c>
      <c r="C37" s="104">
        <f>SUM(C33,C35)</f>
        <v>737.5</v>
      </c>
      <c r="G37" s="25"/>
    </row>
    <row r="38" spans="1:9">
      <c r="B38" s="1" t="s">
        <v>482</v>
      </c>
      <c r="C38" s="104">
        <f>SUM(C30,C34)</f>
        <v>577.5</v>
      </c>
    </row>
    <row r="39" spans="1:9" ht="15" thickBot="1">
      <c r="B39" s="2" t="s">
        <v>483</v>
      </c>
      <c r="C39" s="105">
        <f>SUM(C31,C35)</f>
        <v>1032.5</v>
      </c>
    </row>
    <row r="43" spans="1:9" s="9" customFormat="1" ht="18.600000000000001">
      <c r="A43"/>
      <c r="B43" s="12" t="s">
        <v>76</v>
      </c>
      <c r="G43" s="53"/>
    </row>
    <row r="44" spans="1:9" ht="15" thickBot="1">
      <c r="G44" s="25"/>
    </row>
    <row r="45" spans="1:9" ht="15" thickBot="1">
      <c r="B45" s="146" t="s">
        <v>462</v>
      </c>
      <c r="C45" s="148"/>
      <c r="E45" s="146" t="s">
        <v>36</v>
      </c>
      <c r="F45" s="147"/>
      <c r="G45" s="147"/>
      <c r="H45" s="147"/>
      <c r="I45" s="148"/>
    </row>
    <row r="46" spans="1:9">
      <c r="B46" s="92" t="s">
        <v>463</v>
      </c>
      <c r="C46" s="93">
        <f>(C52)*$F$6</f>
        <v>16.25</v>
      </c>
      <c r="E46" s="46" t="s">
        <v>38</v>
      </c>
      <c r="F46" s="47" t="s">
        <v>39</v>
      </c>
      <c r="G46" s="55" t="s">
        <v>40</v>
      </c>
      <c r="H46" s="47" t="s">
        <v>41</v>
      </c>
      <c r="I46" s="48" t="s">
        <v>42</v>
      </c>
    </row>
    <row r="47" spans="1:9" ht="43.5">
      <c r="B47" s="1" t="s">
        <v>464</v>
      </c>
      <c r="C47" s="94">
        <f>(C53)*$F$7</f>
        <v>540</v>
      </c>
      <c r="E47" s="16" t="s">
        <v>465</v>
      </c>
      <c r="F47" s="103">
        <v>13</v>
      </c>
      <c r="G47" s="26" t="s">
        <v>466</v>
      </c>
      <c r="H47" s="26"/>
      <c r="I47" s="41" t="s">
        <v>490</v>
      </c>
    </row>
    <row r="48" spans="1:9" ht="43.5">
      <c r="B48" s="1" t="s">
        <v>469</v>
      </c>
      <c r="C48" s="94">
        <v>0</v>
      </c>
      <c r="E48" s="16" t="s">
        <v>470</v>
      </c>
      <c r="F48" s="103">
        <v>30</v>
      </c>
      <c r="G48" s="26" t="s">
        <v>466</v>
      </c>
      <c r="H48" s="26"/>
      <c r="I48" s="41" t="s">
        <v>491</v>
      </c>
    </row>
    <row r="49" spans="1:9" ht="55.5" customHeight="1">
      <c r="B49" s="1" t="s">
        <v>472</v>
      </c>
      <c r="C49" s="94">
        <v>0</v>
      </c>
      <c r="E49" s="1" t="s">
        <v>492</v>
      </c>
      <c r="F49" s="4">
        <v>25</v>
      </c>
      <c r="G49" s="37" t="s">
        <v>474</v>
      </c>
      <c r="H49" s="4"/>
      <c r="I49" s="41" t="s">
        <v>493</v>
      </c>
    </row>
    <row r="50" spans="1:9" ht="29.45" thickBot="1">
      <c r="B50" s="1" t="s">
        <v>476</v>
      </c>
      <c r="C50" s="110">
        <v>0</v>
      </c>
      <c r="E50" s="2" t="s">
        <v>494</v>
      </c>
      <c r="F50" s="8">
        <v>45</v>
      </c>
      <c r="G50" s="73" t="s">
        <v>474</v>
      </c>
      <c r="H50" s="8"/>
      <c r="I50" s="106" t="s">
        <v>493</v>
      </c>
    </row>
    <row r="51" spans="1:9">
      <c r="B51" s="1" t="s">
        <v>479</v>
      </c>
      <c r="C51" s="110">
        <v>0</v>
      </c>
      <c r="E51" s="25"/>
      <c r="G51" s="25"/>
      <c r="H51" s="25"/>
    </row>
    <row r="52" spans="1:9">
      <c r="B52" s="1" t="s">
        <v>480</v>
      </c>
      <c r="C52" s="94">
        <f>F47*F49</f>
        <v>325</v>
      </c>
    </row>
    <row r="53" spans="1:9">
      <c r="B53" s="1" t="s">
        <v>481</v>
      </c>
      <c r="C53" s="94">
        <f>F48*F50</f>
        <v>1350</v>
      </c>
      <c r="G53" s="25"/>
    </row>
    <row r="54" spans="1:9">
      <c r="B54" s="1" t="s">
        <v>482</v>
      </c>
      <c r="C54" s="104">
        <f>SUM(C46,C52)</f>
        <v>341.25</v>
      </c>
      <c r="G54" s="25"/>
    </row>
    <row r="55" spans="1:9" ht="15" thickBot="1">
      <c r="B55" s="2" t="s">
        <v>483</v>
      </c>
      <c r="C55" s="105">
        <f>SUM(C47,C53)</f>
        <v>1890</v>
      </c>
      <c r="G55" s="25"/>
    </row>
    <row r="56" spans="1:9">
      <c r="C56" s="111"/>
      <c r="G56" s="25"/>
    </row>
    <row r="58" spans="1:9" s="9" customFormat="1" ht="18.600000000000001">
      <c r="A58"/>
      <c r="B58" s="12" t="s">
        <v>87</v>
      </c>
      <c r="G58" s="53"/>
    </row>
    <row r="59" spans="1:9" ht="15" thickBot="1">
      <c r="G59" s="25"/>
    </row>
    <row r="60" spans="1:9" ht="15" thickBot="1">
      <c r="B60" s="146" t="s">
        <v>462</v>
      </c>
      <c r="C60" s="148"/>
      <c r="E60" s="146" t="s">
        <v>36</v>
      </c>
      <c r="F60" s="147"/>
      <c r="G60" s="147"/>
      <c r="H60" s="147"/>
      <c r="I60" s="148"/>
    </row>
    <row r="61" spans="1:9">
      <c r="B61" s="92" t="s">
        <v>463</v>
      </c>
      <c r="C61" s="93">
        <f>(C67)*$F$6</f>
        <v>60</v>
      </c>
      <c r="E61" s="46" t="s">
        <v>38</v>
      </c>
      <c r="F61" s="47" t="s">
        <v>39</v>
      </c>
      <c r="G61" s="55" t="s">
        <v>40</v>
      </c>
      <c r="H61" s="47" t="s">
        <v>41</v>
      </c>
      <c r="I61" s="48" t="s">
        <v>42</v>
      </c>
    </row>
    <row r="62" spans="1:9" ht="43.5">
      <c r="B62" s="1" t="s">
        <v>464</v>
      </c>
      <c r="C62" s="94">
        <f>(C68)*$F$7</f>
        <v>600</v>
      </c>
      <c r="E62" s="30" t="s">
        <v>5</v>
      </c>
      <c r="F62" s="117">
        <v>1200</v>
      </c>
      <c r="G62" s="26" t="s">
        <v>485</v>
      </c>
      <c r="H62" s="26" t="s">
        <v>495</v>
      </c>
      <c r="I62" s="41" t="s">
        <v>496</v>
      </c>
    </row>
    <row r="63" spans="1:9" ht="44.1" thickBot="1">
      <c r="B63" s="1" t="s">
        <v>469</v>
      </c>
      <c r="C63" s="94">
        <v>0</v>
      </c>
      <c r="E63" s="61" t="s">
        <v>6</v>
      </c>
      <c r="F63" s="118">
        <v>1500</v>
      </c>
      <c r="G63" s="33" t="s">
        <v>485</v>
      </c>
      <c r="H63" s="26" t="s">
        <v>495</v>
      </c>
      <c r="I63" s="106" t="s">
        <v>496</v>
      </c>
    </row>
    <row r="64" spans="1:9" ht="55.5" customHeight="1">
      <c r="B64" s="1" t="s">
        <v>472</v>
      </c>
      <c r="C64" s="94">
        <v>0</v>
      </c>
      <c r="G64" s="25"/>
      <c r="I64" s="56"/>
    </row>
    <row r="65" spans="1:9">
      <c r="B65" s="1" t="s">
        <v>476</v>
      </c>
      <c r="C65" s="110">
        <v>0</v>
      </c>
      <c r="G65" s="25"/>
      <c r="I65" s="56"/>
    </row>
    <row r="66" spans="1:9">
      <c r="B66" s="1" t="s">
        <v>479</v>
      </c>
      <c r="C66" s="110">
        <v>0</v>
      </c>
      <c r="E66" s="25"/>
      <c r="G66" s="25"/>
      <c r="H66" s="25"/>
    </row>
    <row r="67" spans="1:9">
      <c r="B67" s="1" t="s">
        <v>480</v>
      </c>
      <c r="C67" s="94">
        <f>F62</f>
        <v>1200</v>
      </c>
    </row>
    <row r="68" spans="1:9">
      <c r="B68" s="1" t="s">
        <v>481</v>
      </c>
      <c r="C68" s="94">
        <f>F63</f>
        <v>1500</v>
      </c>
      <c r="G68" s="25"/>
    </row>
    <row r="69" spans="1:9">
      <c r="B69" s="1" t="s">
        <v>482</v>
      </c>
      <c r="C69" s="104">
        <f>SUM(C61,C67)</f>
        <v>1260</v>
      </c>
    </row>
    <row r="70" spans="1:9" ht="15" thickBot="1">
      <c r="B70" s="2" t="s">
        <v>483</v>
      </c>
      <c r="C70" s="105">
        <f>SUM(C62,C68)</f>
        <v>2100</v>
      </c>
    </row>
    <row r="72" spans="1:9" s="9" customFormat="1" ht="18.600000000000001">
      <c r="A72"/>
      <c r="B72" s="12" t="s">
        <v>113</v>
      </c>
      <c r="G72" s="53"/>
    </row>
    <row r="73" spans="1:9" ht="15" thickBot="1">
      <c r="G73" s="25"/>
    </row>
    <row r="74" spans="1:9" ht="15" thickBot="1">
      <c r="B74" s="146" t="s">
        <v>462</v>
      </c>
      <c r="C74" s="148"/>
      <c r="E74" s="146" t="s">
        <v>36</v>
      </c>
      <c r="F74" s="147"/>
      <c r="G74" s="147"/>
      <c r="H74" s="147"/>
      <c r="I74" s="148"/>
    </row>
    <row r="75" spans="1:9">
      <c r="B75" s="92" t="s">
        <v>463</v>
      </c>
      <c r="C75" s="93">
        <f>(C81)*$F$6</f>
        <v>192.85714285714286</v>
      </c>
      <c r="E75" s="46" t="s">
        <v>38</v>
      </c>
      <c r="F75" s="47" t="s">
        <v>39</v>
      </c>
      <c r="G75" s="55" t="s">
        <v>40</v>
      </c>
      <c r="H75" s="47" t="s">
        <v>41</v>
      </c>
      <c r="I75" s="48" t="s">
        <v>42</v>
      </c>
    </row>
    <row r="76" spans="1:9">
      <c r="B76" s="1" t="s">
        <v>464</v>
      </c>
      <c r="C76" s="94">
        <f>(C82)*$F$7</f>
        <v>5605.7142857142862</v>
      </c>
      <c r="E76" s="30" t="s">
        <v>497</v>
      </c>
      <c r="F76" s="108">
        <v>0.3</v>
      </c>
      <c r="G76" s="26" t="s">
        <v>498</v>
      </c>
      <c r="H76" s="26"/>
      <c r="I76" s="41" t="s">
        <v>423</v>
      </c>
    </row>
    <row r="77" spans="1:9">
      <c r="B77" s="1" t="s">
        <v>469</v>
      </c>
      <c r="C77" s="94">
        <v>0</v>
      </c>
      <c r="E77" s="30" t="s">
        <v>499</v>
      </c>
      <c r="F77" s="108">
        <v>1.0900000000000001</v>
      </c>
      <c r="G77" s="26" t="s">
        <v>498</v>
      </c>
      <c r="H77" s="26"/>
      <c r="I77" s="41" t="s">
        <v>423</v>
      </c>
    </row>
    <row r="78" spans="1:9" ht="55.5" customHeight="1">
      <c r="B78" s="1" t="s">
        <v>472</v>
      </c>
      <c r="C78" s="94">
        <v>0</v>
      </c>
      <c r="E78" s="40" t="s">
        <v>500</v>
      </c>
      <c r="F78" s="4">
        <v>360</v>
      </c>
      <c r="G78" s="37" t="s">
        <v>501</v>
      </c>
      <c r="H78" s="4" t="s">
        <v>502</v>
      </c>
      <c r="I78" s="113" t="s">
        <v>503</v>
      </c>
    </row>
    <row r="79" spans="1:9">
      <c r="B79" s="1" t="s">
        <v>476</v>
      </c>
      <c r="C79" s="110">
        <v>0</v>
      </c>
      <c r="E79" s="1" t="s">
        <v>504</v>
      </c>
      <c r="F79" s="4">
        <v>2.8000000000000001E-2</v>
      </c>
      <c r="G79" s="37"/>
      <c r="H79" s="4" t="s">
        <v>505</v>
      </c>
      <c r="I79" s="31" t="s">
        <v>124</v>
      </c>
    </row>
    <row r="80" spans="1:9">
      <c r="B80" s="1" t="s">
        <v>479</v>
      </c>
      <c r="C80" s="110">
        <v>0</v>
      </c>
      <c r="E80" s="30" t="s">
        <v>497</v>
      </c>
      <c r="F80" s="125">
        <f>F76/F79</f>
        <v>10.714285714285714</v>
      </c>
      <c r="G80" s="37" t="s">
        <v>506</v>
      </c>
      <c r="H80" s="37"/>
      <c r="I80" s="31" t="s">
        <v>124</v>
      </c>
    </row>
    <row r="81" spans="1:9">
      <c r="B81" s="1" t="s">
        <v>480</v>
      </c>
      <c r="C81" s="94">
        <f>F82</f>
        <v>3857.1428571428569</v>
      </c>
      <c r="E81" s="30" t="s">
        <v>499</v>
      </c>
      <c r="F81" s="125">
        <f>F77/F79</f>
        <v>38.928571428571431</v>
      </c>
      <c r="G81" s="37" t="s">
        <v>506</v>
      </c>
      <c r="H81" s="4"/>
      <c r="I81" s="31" t="s">
        <v>124</v>
      </c>
    </row>
    <row r="82" spans="1:9">
      <c r="B82" s="1" t="s">
        <v>481</v>
      </c>
      <c r="C82" s="94">
        <f>F83</f>
        <v>14014.285714285716</v>
      </c>
      <c r="E82" s="30" t="s">
        <v>5</v>
      </c>
      <c r="F82" s="109">
        <f>F78*F80</f>
        <v>3857.1428571428569</v>
      </c>
      <c r="G82" s="37" t="s">
        <v>485</v>
      </c>
      <c r="H82" s="4" t="s">
        <v>507</v>
      </c>
      <c r="I82" s="98" t="s">
        <v>71</v>
      </c>
    </row>
    <row r="83" spans="1:9" ht="15" thickBot="1">
      <c r="B83" s="1" t="s">
        <v>482</v>
      </c>
      <c r="C83" s="104">
        <f>SUM(C75,C81)</f>
        <v>4049.9999999999995</v>
      </c>
      <c r="E83" s="61" t="s">
        <v>6</v>
      </c>
      <c r="F83" s="114">
        <f>F78*F81</f>
        <v>14014.285714285716</v>
      </c>
      <c r="G83" s="73" t="s">
        <v>485</v>
      </c>
      <c r="H83" s="8" t="s">
        <v>507</v>
      </c>
      <c r="I83" s="101" t="s">
        <v>71</v>
      </c>
    </row>
    <row r="84" spans="1:9" ht="15" thickBot="1">
      <c r="B84" s="2" t="s">
        <v>483</v>
      </c>
      <c r="C84" s="105">
        <f>SUM(C76,C82)</f>
        <v>19620</v>
      </c>
    </row>
    <row r="86" spans="1:9" s="9" customFormat="1" ht="18.600000000000001">
      <c r="A86"/>
      <c r="B86" s="12" t="s">
        <v>129</v>
      </c>
      <c r="G86" s="53"/>
    </row>
    <row r="87" spans="1:9" ht="15" thickBot="1">
      <c r="G87" s="25"/>
    </row>
    <row r="88" spans="1:9" ht="15" thickBot="1">
      <c r="B88" s="146" t="s">
        <v>462</v>
      </c>
      <c r="C88" s="148"/>
      <c r="E88" s="146" t="s">
        <v>36</v>
      </c>
      <c r="F88" s="147"/>
      <c r="G88" s="147"/>
      <c r="H88" s="147"/>
      <c r="I88" s="148"/>
    </row>
    <row r="89" spans="1:9">
      <c r="B89" s="92" t="s">
        <v>463</v>
      </c>
      <c r="C89" s="93">
        <f>(C95)*$F$6</f>
        <v>78.359853121175036</v>
      </c>
      <c r="E89" s="46" t="s">
        <v>38</v>
      </c>
      <c r="F89" s="47" t="s">
        <v>39</v>
      </c>
      <c r="G89" s="55" t="s">
        <v>40</v>
      </c>
      <c r="H89" s="47" t="s">
        <v>41</v>
      </c>
      <c r="I89" s="48" t="s">
        <v>42</v>
      </c>
    </row>
    <row r="90" spans="1:9" ht="57.95">
      <c r="B90" s="1" t="s">
        <v>464</v>
      </c>
      <c r="C90" s="94">
        <f>(C96)*$F$7</f>
        <v>795.83843329253375</v>
      </c>
      <c r="E90" s="30" t="s">
        <v>508</v>
      </c>
      <c r="F90" s="116">
        <v>2.9999999999999997E-4</v>
      </c>
      <c r="G90" s="26" t="s">
        <v>509</v>
      </c>
      <c r="H90" s="26" t="s">
        <v>510</v>
      </c>
      <c r="I90" s="41" t="s">
        <v>511</v>
      </c>
    </row>
    <row r="91" spans="1:9" ht="57.95">
      <c r="B91" s="1" t="s">
        <v>469</v>
      </c>
      <c r="C91" s="94">
        <v>0</v>
      </c>
      <c r="E91" s="30" t="s">
        <v>512</v>
      </c>
      <c r="F91" s="108">
        <v>408.5</v>
      </c>
      <c r="G91" s="26" t="s">
        <v>297</v>
      </c>
      <c r="H91" s="26" t="s">
        <v>510</v>
      </c>
      <c r="I91" s="41" t="s">
        <v>511</v>
      </c>
    </row>
    <row r="92" spans="1:9" ht="55.5" customHeight="1">
      <c r="B92" s="1" t="s">
        <v>472</v>
      </c>
      <c r="C92" s="94">
        <v>0</v>
      </c>
      <c r="E92" s="40" t="s">
        <v>513</v>
      </c>
      <c r="F92" s="4">
        <v>1000</v>
      </c>
      <c r="G92" s="37"/>
      <c r="H92" s="4" t="s">
        <v>514</v>
      </c>
      <c r="I92" s="31" t="s">
        <v>124</v>
      </c>
    </row>
    <row r="93" spans="1:9" ht="29.1">
      <c r="B93" s="1" t="s">
        <v>476</v>
      </c>
      <c r="C93" s="110">
        <v>0</v>
      </c>
      <c r="E93" s="30" t="s">
        <v>512</v>
      </c>
      <c r="F93" s="112">
        <f>F91/F92</f>
        <v>0.40849999999999997</v>
      </c>
      <c r="G93" s="37" t="s">
        <v>515</v>
      </c>
      <c r="H93" s="4" t="s">
        <v>505</v>
      </c>
      <c r="I93" s="31" t="s">
        <v>124</v>
      </c>
    </row>
    <row r="94" spans="1:9" ht="81.75" customHeight="1">
      <c r="B94" s="1" t="s">
        <v>479</v>
      </c>
      <c r="C94" s="110">
        <v>0</v>
      </c>
      <c r="E94" s="30" t="s">
        <v>516</v>
      </c>
      <c r="F94" s="4">
        <v>2</v>
      </c>
      <c r="G94" s="4" t="s">
        <v>97</v>
      </c>
      <c r="H94" s="37"/>
      <c r="I94" s="41" t="s">
        <v>98</v>
      </c>
    </row>
    <row r="95" spans="1:9" ht="74.25" customHeight="1">
      <c r="B95" s="1" t="s">
        <v>480</v>
      </c>
      <c r="C95" s="94">
        <f>F97+F99</f>
        <v>1567.1970624235005</v>
      </c>
      <c r="E95" s="30" t="s">
        <v>517</v>
      </c>
      <c r="F95" s="4">
        <v>1.5</v>
      </c>
      <c r="G95" s="4" t="s">
        <v>97</v>
      </c>
      <c r="H95" s="37"/>
      <c r="I95" s="41" t="s">
        <v>98</v>
      </c>
    </row>
    <row r="96" spans="1:9">
      <c r="B96" s="1" t="s">
        <v>481</v>
      </c>
      <c r="C96" s="94">
        <f>F96+F98</f>
        <v>1989.5960832313342</v>
      </c>
      <c r="E96" s="30" t="s">
        <v>518</v>
      </c>
      <c r="F96" s="109">
        <f>F90/F93/F95*10^6</f>
        <v>489.59608323133415</v>
      </c>
      <c r="G96" s="37" t="s">
        <v>485</v>
      </c>
      <c r="H96" s="4" t="s">
        <v>507</v>
      </c>
      <c r="I96" s="98" t="s">
        <v>71</v>
      </c>
    </row>
    <row r="97" spans="1:9">
      <c r="B97" s="1" t="s">
        <v>482</v>
      </c>
      <c r="C97" s="104">
        <f>SUM(C89,C95)</f>
        <v>1645.5569155446756</v>
      </c>
      <c r="E97" s="30" t="s">
        <v>519</v>
      </c>
      <c r="F97" s="109">
        <f>F90/F93/F94*10^6</f>
        <v>367.1970624235006</v>
      </c>
      <c r="G97" s="37" t="s">
        <v>485</v>
      </c>
      <c r="H97" s="4" t="s">
        <v>507</v>
      </c>
      <c r="I97" s="98" t="s">
        <v>71</v>
      </c>
    </row>
    <row r="98" spans="1:9" ht="29.45" thickBot="1">
      <c r="B98" s="2" t="s">
        <v>483</v>
      </c>
      <c r="C98" s="105">
        <f>SUM(C90,C96)</f>
        <v>2785.4345165238678</v>
      </c>
      <c r="E98" s="30" t="s">
        <v>520</v>
      </c>
      <c r="F98" s="109">
        <f>F63</f>
        <v>1500</v>
      </c>
      <c r="G98" s="37" t="s">
        <v>485</v>
      </c>
      <c r="H98" s="37" t="s">
        <v>521</v>
      </c>
      <c r="I98" s="119"/>
    </row>
    <row r="99" spans="1:9" ht="29.45" thickBot="1">
      <c r="E99" s="61" t="s">
        <v>522</v>
      </c>
      <c r="F99" s="114">
        <f>F62</f>
        <v>1200</v>
      </c>
      <c r="G99" s="73" t="s">
        <v>485</v>
      </c>
      <c r="H99" s="73" t="s">
        <v>521</v>
      </c>
      <c r="I99" s="120"/>
    </row>
    <row r="101" spans="1:9" s="9" customFormat="1" ht="18.600000000000001">
      <c r="A101"/>
      <c r="B101" s="12" t="s">
        <v>17</v>
      </c>
      <c r="G101" s="53"/>
    </row>
    <row r="102" spans="1:9" ht="15" thickBot="1">
      <c r="G102" s="25"/>
    </row>
    <row r="103" spans="1:9" ht="15" thickBot="1">
      <c r="B103" s="146" t="s">
        <v>462</v>
      </c>
      <c r="C103" s="148"/>
      <c r="E103" s="146" t="s">
        <v>36</v>
      </c>
      <c r="F103" s="147"/>
      <c r="G103" s="147"/>
      <c r="H103" s="147"/>
      <c r="I103" s="148"/>
    </row>
    <row r="104" spans="1:9">
      <c r="B104" s="92" t="s">
        <v>463</v>
      </c>
      <c r="C104" s="93">
        <f>(C110)*$F$6</f>
        <v>65</v>
      </c>
      <c r="E104" s="46" t="s">
        <v>38</v>
      </c>
      <c r="F104" s="47" t="s">
        <v>39</v>
      </c>
      <c r="G104" s="55" t="s">
        <v>40</v>
      </c>
      <c r="H104" s="47" t="s">
        <v>41</v>
      </c>
      <c r="I104" s="48" t="s">
        <v>42</v>
      </c>
    </row>
    <row r="105" spans="1:9" ht="57.95">
      <c r="B105" s="1" t="s">
        <v>464</v>
      </c>
      <c r="C105" s="94">
        <f>(C111)*$F$7</f>
        <v>720</v>
      </c>
      <c r="E105" s="16" t="s">
        <v>523</v>
      </c>
      <c r="F105" s="10">
        <v>750</v>
      </c>
      <c r="G105" s="26" t="s">
        <v>485</v>
      </c>
      <c r="H105" s="26" t="s">
        <v>524</v>
      </c>
      <c r="I105" s="41" t="s">
        <v>486</v>
      </c>
    </row>
    <row r="106" spans="1:9" ht="57.95">
      <c r="B106" s="1" t="s">
        <v>469</v>
      </c>
      <c r="C106" s="94">
        <f>F107</f>
        <v>550</v>
      </c>
      <c r="E106" s="16" t="s">
        <v>525</v>
      </c>
      <c r="F106" s="10">
        <v>1050</v>
      </c>
      <c r="G106" s="26" t="s">
        <v>485</v>
      </c>
      <c r="H106" s="26" t="s">
        <v>524</v>
      </c>
      <c r="I106" s="41" t="s">
        <v>486</v>
      </c>
    </row>
    <row r="107" spans="1:9" ht="55.5" customHeight="1">
      <c r="B107" s="1" t="s">
        <v>472</v>
      </c>
      <c r="C107" s="94">
        <f>F108</f>
        <v>750</v>
      </c>
      <c r="E107" s="16" t="s">
        <v>526</v>
      </c>
      <c r="F107" s="10">
        <v>550</v>
      </c>
      <c r="G107" s="26" t="s">
        <v>485</v>
      </c>
      <c r="H107" s="26" t="s">
        <v>524</v>
      </c>
      <c r="I107" s="41" t="s">
        <v>486</v>
      </c>
    </row>
    <row r="108" spans="1:9" ht="58.5" thickBot="1">
      <c r="B108" s="1" t="s">
        <v>476</v>
      </c>
      <c r="C108" s="94">
        <f>F105</f>
        <v>750</v>
      </c>
      <c r="E108" s="17" t="s">
        <v>527</v>
      </c>
      <c r="F108" s="18">
        <v>750</v>
      </c>
      <c r="G108" s="33" t="s">
        <v>485</v>
      </c>
      <c r="H108" s="33" t="s">
        <v>524</v>
      </c>
      <c r="I108" s="106" t="s">
        <v>486</v>
      </c>
    </row>
    <row r="109" spans="1:9">
      <c r="B109" s="1" t="s">
        <v>479</v>
      </c>
      <c r="C109" s="94">
        <f>F106</f>
        <v>1050</v>
      </c>
      <c r="E109" s="25"/>
      <c r="G109" s="25"/>
      <c r="H109" s="25"/>
    </row>
    <row r="110" spans="1:9">
      <c r="B110" s="1" t="s">
        <v>480</v>
      </c>
      <c r="C110" s="104">
        <f>SUM(C106,C108)</f>
        <v>1300</v>
      </c>
    </row>
    <row r="111" spans="1:9">
      <c r="B111" s="1" t="s">
        <v>481</v>
      </c>
      <c r="C111" s="104">
        <f>SUM(C107,C109)</f>
        <v>1800</v>
      </c>
      <c r="G111" s="25"/>
    </row>
    <row r="112" spans="1:9">
      <c r="B112" s="1" t="s">
        <v>482</v>
      </c>
      <c r="C112" s="104">
        <f>SUM(C104,C110)</f>
        <v>1365</v>
      </c>
    </row>
    <row r="113" spans="1:9" ht="15" thickBot="1">
      <c r="B113" s="2" t="s">
        <v>483</v>
      </c>
      <c r="C113" s="105">
        <f>SUM(C105,C111)</f>
        <v>2520</v>
      </c>
    </row>
    <row r="115" spans="1:9" s="9" customFormat="1" ht="18.600000000000001">
      <c r="A115"/>
      <c r="B115" s="12" t="s">
        <v>18</v>
      </c>
      <c r="G115" s="53"/>
    </row>
    <row r="116" spans="1:9" ht="15" thickBot="1">
      <c r="G116" s="25"/>
    </row>
    <row r="117" spans="1:9" ht="15" thickBot="1">
      <c r="B117" s="146" t="s">
        <v>462</v>
      </c>
      <c r="C117" s="148"/>
      <c r="E117" s="146" t="s">
        <v>36</v>
      </c>
      <c r="F117" s="147"/>
      <c r="G117" s="147"/>
      <c r="H117" s="147"/>
      <c r="I117" s="148"/>
    </row>
    <row r="118" spans="1:9">
      <c r="B118" s="92" t="s">
        <v>463</v>
      </c>
      <c r="C118" s="93">
        <f>(C124)*$F$6</f>
        <v>65</v>
      </c>
      <c r="E118" s="46" t="s">
        <v>38</v>
      </c>
      <c r="F118" s="47" t="s">
        <v>39</v>
      </c>
      <c r="G118" s="55" t="s">
        <v>40</v>
      </c>
      <c r="H118" s="47" t="s">
        <v>41</v>
      </c>
      <c r="I118" s="48" t="s">
        <v>42</v>
      </c>
    </row>
    <row r="119" spans="1:9" ht="57.95">
      <c r="B119" s="1" t="s">
        <v>464</v>
      </c>
      <c r="C119" s="94">
        <f>(C125)*$F$7</f>
        <v>720</v>
      </c>
      <c r="E119" s="16" t="s">
        <v>523</v>
      </c>
      <c r="F119" s="10">
        <v>750</v>
      </c>
      <c r="G119" s="26" t="s">
        <v>485</v>
      </c>
      <c r="H119" s="26"/>
      <c r="I119" s="41" t="s">
        <v>486</v>
      </c>
    </row>
    <row r="120" spans="1:9" ht="57.95">
      <c r="B120" s="1" t="s">
        <v>469</v>
      </c>
      <c r="C120" s="94">
        <f>F121</f>
        <v>550</v>
      </c>
      <c r="E120" s="16" t="s">
        <v>525</v>
      </c>
      <c r="F120" s="10">
        <v>1050</v>
      </c>
      <c r="G120" s="26" t="s">
        <v>485</v>
      </c>
      <c r="H120" s="26"/>
      <c r="I120" s="41" t="s">
        <v>486</v>
      </c>
    </row>
    <row r="121" spans="1:9" ht="55.5" customHeight="1">
      <c r="B121" s="1" t="s">
        <v>472</v>
      </c>
      <c r="C121" s="94">
        <f>F122</f>
        <v>750</v>
      </c>
      <c r="E121" s="16" t="s">
        <v>526</v>
      </c>
      <c r="F121" s="10">
        <v>550</v>
      </c>
      <c r="G121" s="26" t="s">
        <v>485</v>
      </c>
      <c r="H121" s="26"/>
      <c r="I121" s="41" t="s">
        <v>486</v>
      </c>
    </row>
    <row r="122" spans="1:9" ht="58.5" thickBot="1">
      <c r="B122" s="1" t="s">
        <v>476</v>
      </c>
      <c r="C122" s="94">
        <f>F119</f>
        <v>750</v>
      </c>
      <c r="E122" s="17" t="s">
        <v>527</v>
      </c>
      <c r="F122" s="18">
        <v>750</v>
      </c>
      <c r="G122" s="33" t="s">
        <v>485</v>
      </c>
      <c r="H122" s="33"/>
      <c r="I122" s="106" t="s">
        <v>486</v>
      </c>
    </row>
    <row r="123" spans="1:9">
      <c r="B123" s="1" t="s">
        <v>479</v>
      </c>
      <c r="C123" s="94">
        <f>F120</f>
        <v>1050</v>
      </c>
      <c r="E123" s="25"/>
      <c r="G123" s="25"/>
      <c r="H123" s="25"/>
    </row>
    <row r="124" spans="1:9">
      <c r="B124" s="1" t="s">
        <v>480</v>
      </c>
      <c r="C124" s="104">
        <f>SUM(C120,C122)</f>
        <v>1300</v>
      </c>
    </row>
    <row r="125" spans="1:9">
      <c r="B125" s="1" t="s">
        <v>481</v>
      </c>
      <c r="C125" s="104">
        <f>SUM(C121,C123)</f>
        <v>1800</v>
      </c>
      <c r="G125" s="25"/>
    </row>
    <row r="126" spans="1:9">
      <c r="B126" s="1" t="s">
        <v>482</v>
      </c>
      <c r="C126" s="104">
        <f>SUM(C118,C124)</f>
        <v>1365</v>
      </c>
    </row>
    <row r="127" spans="1:9" ht="15" thickBot="1">
      <c r="B127" s="2" t="s">
        <v>483</v>
      </c>
      <c r="C127" s="105">
        <f>SUM(C119,C125)</f>
        <v>2520</v>
      </c>
    </row>
    <row r="129" spans="1:9" s="9" customFormat="1" ht="18.600000000000001">
      <c r="A129"/>
      <c r="B129" s="12" t="s">
        <v>200</v>
      </c>
      <c r="G129" s="53"/>
    </row>
    <row r="130" spans="1:9" ht="15" thickBot="1">
      <c r="G130" s="25"/>
    </row>
    <row r="131" spans="1:9" ht="15" thickBot="1">
      <c r="B131" s="146" t="s">
        <v>462</v>
      </c>
      <c r="C131" s="148"/>
      <c r="E131" s="152" t="s">
        <v>36</v>
      </c>
      <c r="F131" s="153"/>
      <c r="G131" s="153"/>
      <c r="H131" s="153"/>
      <c r="I131" s="154"/>
    </row>
    <row r="132" spans="1:9">
      <c r="B132" s="92" t="s">
        <v>463</v>
      </c>
      <c r="C132" s="93">
        <f>(C138)*$F$6</f>
        <v>16.505178750417642</v>
      </c>
      <c r="E132" s="46" t="s">
        <v>38</v>
      </c>
      <c r="F132" s="47" t="s">
        <v>39</v>
      </c>
      <c r="G132" s="55" t="s">
        <v>40</v>
      </c>
      <c r="H132" s="47" t="s">
        <v>41</v>
      </c>
      <c r="I132" s="48" t="s">
        <v>42</v>
      </c>
    </row>
    <row r="133" spans="1:9" ht="72.599999999999994">
      <c r="B133" s="1" t="s">
        <v>464</v>
      </c>
      <c r="C133" s="94">
        <f>(C139)*$F$7</f>
        <v>556.58836121908644</v>
      </c>
      <c r="E133" s="30" t="s">
        <v>528</v>
      </c>
      <c r="F133" s="115">
        <f>100/5000</f>
        <v>0.02</v>
      </c>
      <c r="G133" s="26" t="s">
        <v>529</v>
      </c>
      <c r="H133" s="26" t="s">
        <v>530</v>
      </c>
      <c r="I133" s="41" t="s">
        <v>531</v>
      </c>
    </row>
    <row r="134" spans="1:9" ht="43.5">
      <c r="B134" s="1" t="s">
        <v>469</v>
      </c>
      <c r="C134" s="94">
        <v>0</v>
      </c>
      <c r="E134" s="40" t="s">
        <v>207</v>
      </c>
      <c r="F134" s="72">
        <f>'Scale Calculations'!F138</f>
        <v>23.667999999999996</v>
      </c>
      <c r="G134" s="37" t="s">
        <v>225</v>
      </c>
      <c r="H134" s="37" t="s">
        <v>532</v>
      </c>
      <c r="I134" s="49" t="s">
        <v>71</v>
      </c>
    </row>
    <row r="135" spans="1:9" ht="55.5" customHeight="1">
      <c r="B135" s="1" t="s">
        <v>472</v>
      </c>
      <c r="C135" s="94">
        <v>0</v>
      </c>
      <c r="E135" s="40" t="s">
        <v>211</v>
      </c>
      <c r="F135" s="72">
        <f>'Scale Calculations'!F139</f>
        <v>74.825000000000003</v>
      </c>
      <c r="G135" s="37" t="s">
        <v>225</v>
      </c>
      <c r="H135" s="37" t="s">
        <v>532</v>
      </c>
      <c r="I135" s="49" t="s">
        <v>71</v>
      </c>
    </row>
    <row r="136" spans="1:9" ht="57.95">
      <c r="B136" s="1" t="s">
        <v>476</v>
      </c>
      <c r="C136" s="110">
        <v>0</v>
      </c>
      <c r="E136" s="40" t="s">
        <v>226</v>
      </c>
      <c r="F136" s="4">
        <v>2</v>
      </c>
      <c r="G136" s="37" t="s">
        <v>97</v>
      </c>
      <c r="H136" s="37"/>
      <c r="I136" s="96" t="s">
        <v>98</v>
      </c>
    </row>
    <row r="137" spans="1:9" ht="57.95">
      <c r="B137" s="1" t="s">
        <v>479</v>
      </c>
      <c r="C137" s="110">
        <v>0</v>
      </c>
      <c r="E137" s="40" t="s">
        <v>228</v>
      </c>
      <c r="F137" s="4">
        <v>1.5</v>
      </c>
      <c r="G137" s="37" t="s">
        <v>97</v>
      </c>
      <c r="H137" s="37"/>
      <c r="I137" s="96" t="s">
        <v>98</v>
      </c>
    </row>
    <row r="138" spans="1:9">
      <c r="B138" s="1" t="s">
        <v>480</v>
      </c>
      <c r="C138" s="94">
        <f>F139</f>
        <v>330.10357500835283</v>
      </c>
      <c r="E138" s="30" t="s">
        <v>533</v>
      </c>
      <c r="F138" s="112">
        <f>F133*2.47</f>
        <v>4.9400000000000006E-2</v>
      </c>
      <c r="G138" s="37" t="s">
        <v>534</v>
      </c>
      <c r="H138" s="37" t="s">
        <v>535</v>
      </c>
      <c r="I138" s="119" t="s">
        <v>124</v>
      </c>
    </row>
    <row r="139" spans="1:9">
      <c r="B139" s="1" t="s">
        <v>481</v>
      </c>
      <c r="C139" s="94">
        <f>F140</f>
        <v>1391.4709030477161</v>
      </c>
      <c r="E139" s="30" t="s">
        <v>5</v>
      </c>
      <c r="F139" s="109">
        <f>F138/F135/F136*10^6</f>
        <v>330.10357500835283</v>
      </c>
      <c r="G139" s="37" t="s">
        <v>485</v>
      </c>
      <c r="H139" s="4"/>
      <c r="I139" s="49" t="s">
        <v>71</v>
      </c>
    </row>
    <row r="140" spans="1:9" ht="15" thickBot="1">
      <c r="B140" s="1" t="s">
        <v>482</v>
      </c>
      <c r="C140" s="104">
        <f>SUM(C132,C138)</f>
        <v>346.60875375877049</v>
      </c>
      <c r="E140" s="61" t="s">
        <v>6</v>
      </c>
      <c r="F140" s="114">
        <f>F138/F134/F137*10^6</f>
        <v>1391.4709030477161</v>
      </c>
      <c r="G140" s="73" t="s">
        <v>485</v>
      </c>
      <c r="H140" s="8"/>
      <c r="I140" s="68" t="s">
        <v>71</v>
      </c>
    </row>
    <row r="141" spans="1:9" ht="15" thickBot="1">
      <c r="B141" s="2" t="s">
        <v>483</v>
      </c>
      <c r="C141" s="105">
        <f>SUM(C133,C139)</f>
        <v>1948.0592642668025</v>
      </c>
    </row>
    <row r="143" spans="1:9" s="9" customFormat="1" ht="18.600000000000001">
      <c r="A143"/>
      <c r="B143" s="12" t="s">
        <v>229</v>
      </c>
      <c r="G143" s="53"/>
    </row>
    <row r="144" spans="1:9" ht="15" thickBot="1">
      <c r="G144" s="25"/>
    </row>
    <row r="145" spans="1:9" ht="15" thickBot="1">
      <c r="B145" s="146" t="s">
        <v>462</v>
      </c>
      <c r="C145" s="148"/>
      <c r="E145" s="155" t="s">
        <v>36</v>
      </c>
      <c r="F145" s="156"/>
      <c r="G145" s="156"/>
      <c r="H145" s="156"/>
      <c r="I145" s="157"/>
    </row>
    <row r="146" spans="1:9">
      <c r="B146" s="13" t="s">
        <v>482</v>
      </c>
      <c r="C146" s="121" t="s">
        <v>15</v>
      </c>
      <c r="E146" s="46" t="s">
        <v>38</v>
      </c>
      <c r="F146" s="47" t="s">
        <v>39</v>
      </c>
      <c r="G146" s="55" t="s">
        <v>40</v>
      </c>
      <c r="H146" s="47" t="s">
        <v>41</v>
      </c>
      <c r="I146" s="65" t="s">
        <v>42</v>
      </c>
    </row>
    <row r="147" spans="1:9" ht="15" thickBot="1">
      <c r="B147" s="2" t="s">
        <v>483</v>
      </c>
      <c r="C147" s="63" t="s">
        <v>15</v>
      </c>
      <c r="E147" s="74" t="s">
        <v>15</v>
      </c>
      <c r="F147" s="74" t="s">
        <v>15</v>
      </c>
      <c r="G147" s="74" t="s">
        <v>15</v>
      </c>
      <c r="H147" s="74" t="s">
        <v>15</v>
      </c>
      <c r="I147" s="75" t="s">
        <v>15</v>
      </c>
    </row>
    <row r="148" spans="1:9">
      <c r="E148" s="25"/>
      <c r="F148" s="69"/>
      <c r="G148" s="25"/>
      <c r="H148" s="25"/>
      <c r="I148" s="56"/>
    </row>
    <row r="149" spans="1:9">
      <c r="E149" s="25"/>
      <c r="G149" s="25"/>
      <c r="H149" s="25"/>
      <c r="I149" s="56"/>
    </row>
    <row r="150" spans="1:9" s="9" customFormat="1" ht="18.600000000000001">
      <c r="A150"/>
      <c r="B150" s="12" t="s">
        <v>230</v>
      </c>
      <c r="G150" s="53"/>
    </row>
    <row r="151" spans="1:9" ht="15" thickBot="1">
      <c r="G151" s="25"/>
    </row>
    <row r="152" spans="1:9" ht="15" thickBot="1">
      <c r="B152" s="146" t="s">
        <v>462</v>
      </c>
      <c r="C152" s="148"/>
      <c r="E152" s="155" t="s">
        <v>36</v>
      </c>
      <c r="F152" s="156"/>
      <c r="G152" s="156"/>
      <c r="H152" s="156"/>
      <c r="I152" s="157"/>
    </row>
    <row r="153" spans="1:9">
      <c r="B153" s="92" t="s">
        <v>463</v>
      </c>
      <c r="C153" s="93">
        <f>(C159)*$F$6</f>
        <v>25</v>
      </c>
      <c r="E153" s="46" t="s">
        <v>38</v>
      </c>
      <c r="F153" s="47" t="s">
        <v>39</v>
      </c>
      <c r="G153" s="55" t="s">
        <v>40</v>
      </c>
      <c r="H153" s="47" t="s">
        <v>41</v>
      </c>
      <c r="I153" s="48" t="s">
        <v>42</v>
      </c>
    </row>
    <row r="154" spans="1:9" ht="43.5">
      <c r="B154" s="1" t="s">
        <v>464</v>
      </c>
      <c r="C154" s="94">
        <f>(C160)*$F$7</f>
        <v>280</v>
      </c>
      <c r="E154" s="30" t="s">
        <v>5</v>
      </c>
      <c r="F154" s="117">
        <v>500</v>
      </c>
      <c r="G154" s="26" t="s">
        <v>485</v>
      </c>
      <c r="H154" s="26" t="s">
        <v>495</v>
      </c>
      <c r="I154" s="41" t="s">
        <v>496</v>
      </c>
    </row>
    <row r="155" spans="1:9" ht="44.1" thickBot="1">
      <c r="B155" s="1" t="s">
        <v>469</v>
      </c>
      <c r="C155" s="94">
        <v>0</v>
      </c>
      <c r="E155" s="61" t="s">
        <v>6</v>
      </c>
      <c r="F155" s="118">
        <v>700</v>
      </c>
      <c r="G155" s="33" t="s">
        <v>485</v>
      </c>
      <c r="H155" s="26" t="s">
        <v>495</v>
      </c>
      <c r="I155" s="106" t="s">
        <v>496</v>
      </c>
    </row>
    <row r="156" spans="1:9" ht="55.5" customHeight="1">
      <c r="B156" s="1" t="s">
        <v>472</v>
      </c>
      <c r="C156" s="94">
        <v>0</v>
      </c>
      <c r="G156" s="25"/>
      <c r="I156" s="56"/>
    </row>
    <row r="157" spans="1:9">
      <c r="B157" s="1" t="s">
        <v>476</v>
      </c>
      <c r="C157" s="110">
        <v>0</v>
      </c>
      <c r="G157" s="25"/>
      <c r="I157" s="56"/>
    </row>
    <row r="158" spans="1:9">
      <c r="B158" s="1" t="s">
        <v>479</v>
      </c>
      <c r="C158" s="110">
        <v>0</v>
      </c>
      <c r="E158" s="25"/>
      <c r="G158" s="25"/>
      <c r="H158" s="25"/>
    </row>
    <row r="159" spans="1:9">
      <c r="B159" s="1" t="s">
        <v>480</v>
      </c>
      <c r="C159" s="94">
        <f>F154</f>
        <v>500</v>
      </c>
    </row>
    <row r="160" spans="1:9">
      <c r="B160" s="1" t="s">
        <v>481</v>
      </c>
      <c r="C160" s="94">
        <f>F155</f>
        <v>700</v>
      </c>
      <c r="G160" s="25"/>
    </row>
    <row r="161" spans="1:9">
      <c r="B161" s="1" t="s">
        <v>482</v>
      </c>
      <c r="C161" s="104">
        <f>SUM(C153,C159)</f>
        <v>525</v>
      </c>
    </row>
    <row r="162" spans="1:9" ht="15" thickBot="1">
      <c r="B162" s="2" t="s">
        <v>483</v>
      </c>
      <c r="C162" s="105">
        <f>SUM(C154,C160)</f>
        <v>980</v>
      </c>
    </row>
    <row r="164" spans="1:9" s="9" customFormat="1" ht="18.600000000000001">
      <c r="A164"/>
      <c r="B164" s="12" t="s">
        <v>245</v>
      </c>
      <c r="G164" s="53"/>
    </row>
    <row r="165" spans="1:9" ht="15" thickBot="1">
      <c r="G165" s="25"/>
    </row>
    <row r="166" spans="1:9" ht="15" thickBot="1">
      <c r="B166" s="146" t="s">
        <v>462</v>
      </c>
      <c r="C166" s="148"/>
      <c r="E166" s="146" t="s">
        <v>36</v>
      </c>
      <c r="F166" s="147"/>
      <c r="G166" s="147"/>
      <c r="H166" s="147"/>
      <c r="I166" s="148"/>
    </row>
    <row r="167" spans="1:9">
      <c r="B167" s="92" t="s">
        <v>463</v>
      </c>
      <c r="C167" s="93">
        <f>(C173)*$F$6</f>
        <v>65</v>
      </c>
      <c r="E167" s="46" t="s">
        <v>38</v>
      </c>
      <c r="F167" s="47" t="s">
        <v>39</v>
      </c>
      <c r="G167" s="55" t="s">
        <v>40</v>
      </c>
      <c r="H167" s="47" t="s">
        <v>41</v>
      </c>
      <c r="I167" s="48" t="s">
        <v>42</v>
      </c>
    </row>
    <row r="168" spans="1:9" ht="57.95">
      <c r="B168" s="1" t="s">
        <v>464</v>
      </c>
      <c r="C168" s="94">
        <f>(C174)*$F$7</f>
        <v>720</v>
      </c>
      <c r="E168" s="16" t="s">
        <v>523</v>
      </c>
      <c r="F168" s="10">
        <v>750</v>
      </c>
      <c r="G168" s="26" t="s">
        <v>485</v>
      </c>
      <c r="H168" s="26"/>
      <c r="I168" s="41" t="s">
        <v>486</v>
      </c>
    </row>
    <row r="169" spans="1:9" ht="57.95">
      <c r="B169" s="1" t="s">
        <v>469</v>
      </c>
      <c r="C169" s="94">
        <f>F170</f>
        <v>550</v>
      </c>
      <c r="E169" s="16" t="s">
        <v>525</v>
      </c>
      <c r="F169" s="10">
        <v>1050</v>
      </c>
      <c r="G169" s="26" t="s">
        <v>485</v>
      </c>
      <c r="H169" s="26"/>
      <c r="I169" s="41" t="s">
        <v>486</v>
      </c>
    </row>
    <row r="170" spans="1:9" ht="55.5" customHeight="1">
      <c r="B170" s="1" t="s">
        <v>472</v>
      </c>
      <c r="C170" s="94">
        <f>F171</f>
        <v>750</v>
      </c>
      <c r="E170" s="16" t="s">
        <v>526</v>
      </c>
      <c r="F170" s="10">
        <v>550</v>
      </c>
      <c r="G170" s="26" t="s">
        <v>485</v>
      </c>
      <c r="H170" s="26"/>
      <c r="I170" s="41" t="s">
        <v>486</v>
      </c>
    </row>
    <row r="171" spans="1:9" ht="58.5" thickBot="1">
      <c r="B171" s="1" t="s">
        <v>476</v>
      </c>
      <c r="C171" s="94">
        <f>F168</f>
        <v>750</v>
      </c>
      <c r="E171" s="17" t="s">
        <v>527</v>
      </c>
      <c r="F171" s="18">
        <v>750</v>
      </c>
      <c r="G171" s="33" t="s">
        <v>485</v>
      </c>
      <c r="H171" s="33"/>
      <c r="I171" s="106" t="s">
        <v>486</v>
      </c>
    </row>
    <row r="172" spans="1:9">
      <c r="B172" s="1" t="s">
        <v>479</v>
      </c>
      <c r="C172" s="94">
        <f>F169</f>
        <v>1050</v>
      </c>
      <c r="E172" s="25"/>
      <c r="G172" s="25"/>
      <c r="H172" s="25"/>
    </row>
    <row r="173" spans="1:9">
      <c r="B173" s="1" t="s">
        <v>480</v>
      </c>
      <c r="C173" s="104">
        <f>SUM(C169,C171)</f>
        <v>1300</v>
      </c>
    </row>
    <row r="174" spans="1:9">
      <c r="B174" s="1" t="s">
        <v>481</v>
      </c>
      <c r="C174" s="104">
        <f>SUM(C170,C172)</f>
        <v>1800</v>
      </c>
      <c r="G174" s="25"/>
    </row>
    <row r="175" spans="1:9">
      <c r="B175" s="1" t="s">
        <v>482</v>
      </c>
      <c r="C175" s="104">
        <f>SUM(C167,C173)</f>
        <v>1365</v>
      </c>
    </row>
    <row r="176" spans="1:9" ht="15" thickBot="1">
      <c r="B176" s="2" t="s">
        <v>483</v>
      </c>
      <c r="C176" s="105">
        <f>SUM(C168,C174)</f>
        <v>2520</v>
      </c>
    </row>
    <row r="178" spans="1:9" s="9" customFormat="1" ht="18.600000000000001">
      <c r="A178"/>
      <c r="B178" s="12" t="s">
        <v>257</v>
      </c>
      <c r="G178" s="53"/>
    </row>
    <row r="179" spans="1:9" ht="15" thickBot="1">
      <c r="G179" s="25"/>
    </row>
    <row r="180" spans="1:9" ht="15" thickBot="1">
      <c r="B180" s="146" t="s">
        <v>462</v>
      </c>
      <c r="C180" s="148"/>
      <c r="E180" s="146" t="s">
        <v>36</v>
      </c>
      <c r="F180" s="147"/>
      <c r="G180" s="147"/>
      <c r="H180" s="147"/>
      <c r="I180" s="148"/>
    </row>
    <row r="181" spans="1:9">
      <c r="B181" s="92" t="s">
        <v>463</v>
      </c>
      <c r="C181" s="93">
        <f>(C187)*$F$6</f>
        <v>65</v>
      </c>
      <c r="E181" s="46" t="s">
        <v>38</v>
      </c>
      <c r="F181" s="47" t="s">
        <v>39</v>
      </c>
      <c r="G181" s="55" t="s">
        <v>40</v>
      </c>
      <c r="H181" s="47" t="s">
        <v>41</v>
      </c>
      <c r="I181" s="48" t="s">
        <v>42</v>
      </c>
    </row>
    <row r="182" spans="1:9" ht="57.95">
      <c r="B182" s="1" t="s">
        <v>464</v>
      </c>
      <c r="C182" s="94">
        <f>(C188)*$F$7</f>
        <v>720</v>
      </c>
      <c r="E182" s="16" t="s">
        <v>523</v>
      </c>
      <c r="F182" s="10">
        <v>750</v>
      </c>
      <c r="G182" s="26" t="s">
        <v>485</v>
      </c>
      <c r="H182" s="26"/>
      <c r="I182" s="41" t="s">
        <v>486</v>
      </c>
    </row>
    <row r="183" spans="1:9" ht="57.95">
      <c r="B183" s="1" t="s">
        <v>469</v>
      </c>
      <c r="C183" s="94">
        <f>F184</f>
        <v>550</v>
      </c>
      <c r="E183" s="16" t="s">
        <v>525</v>
      </c>
      <c r="F183" s="10">
        <v>1050</v>
      </c>
      <c r="G183" s="26" t="s">
        <v>485</v>
      </c>
      <c r="H183" s="26"/>
      <c r="I183" s="41" t="s">
        <v>486</v>
      </c>
    </row>
    <row r="184" spans="1:9" ht="55.5" customHeight="1">
      <c r="B184" s="1" t="s">
        <v>472</v>
      </c>
      <c r="C184" s="94">
        <f>F185</f>
        <v>750</v>
      </c>
      <c r="E184" s="16" t="s">
        <v>526</v>
      </c>
      <c r="F184" s="10">
        <v>550</v>
      </c>
      <c r="G184" s="26" t="s">
        <v>485</v>
      </c>
      <c r="H184" s="26"/>
      <c r="I184" s="41" t="s">
        <v>486</v>
      </c>
    </row>
    <row r="185" spans="1:9" ht="58.5" thickBot="1">
      <c r="B185" s="1" t="s">
        <v>476</v>
      </c>
      <c r="C185" s="94">
        <f>F182</f>
        <v>750</v>
      </c>
      <c r="E185" s="17" t="s">
        <v>527</v>
      </c>
      <c r="F185" s="18">
        <v>750</v>
      </c>
      <c r="G185" s="33" t="s">
        <v>485</v>
      </c>
      <c r="H185" s="33"/>
      <c r="I185" s="106" t="s">
        <v>486</v>
      </c>
    </row>
    <row r="186" spans="1:9">
      <c r="B186" s="1" t="s">
        <v>479</v>
      </c>
      <c r="C186" s="94">
        <f>F183</f>
        <v>1050</v>
      </c>
      <c r="E186" s="25"/>
      <c r="G186" s="25"/>
      <c r="H186" s="25"/>
    </row>
    <row r="187" spans="1:9">
      <c r="B187" s="1" t="s">
        <v>480</v>
      </c>
      <c r="C187" s="104">
        <f>SUM(C183,C185)</f>
        <v>1300</v>
      </c>
    </row>
    <row r="188" spans="1:9">
      <c r="B188" s="1" t="s">
        <v>481</v>
      </c>
      <c r="C188" s="104">
        <f>SUM(C184,C186)</f>
        <v>1800</v>
      </c>
      <c r="G188" s="25"/>
    </row>
    <row r="189" spans="1:9">
      <c r="B189" s="1" t="s">
        <v>482</v>
      </c>
      <c r="C189" s="104">
        <f>SUM(C181,C187)</f>
        <v>1365</v>
      </c>
    </row>
    <row r="190" spans="1:9" ht="15" thickBot="1">
      <c r="B190" s="2" t="s">
        <v>483</v>
      </c>
      <c r="C190" s="105">
        <f>SUM(C182,C188)</f>
        <v>2520</v>
      </c>
    </row>
    <row r="192" spans="1:9" s="9" customFormat="1" ht="18.600000000000001">
      <c r="A192"/>
      <c r="B192" s="12" t="s">
        <v>261</v>
      </c>
      <c r="G192" s="53"/>
    </row>
    <row r="193" spans="1:9" ht="15" thickBot="1">
      <c r="G193" s="25"/>
    </row>
    <row r="194" spans="1:9" ht="15" thickBot="1">
      <c r="B194" s="146" t="s">
        <v>462</v>
      </c>
      <c r="C194" s="148"/>
      <c r="E194" s="146" t="s">
        <v>36</v>
      </c>
      <c r="F194" s="147"/>
      <c r="G194" s="147"/>
      <c r="H194" s="147"/>
      <c r="I194" s="148"/>
    </row>
    <row r="195" spans="1:9">
      <c r="B195" s="92" t="s">
        <v>463</v>
      </c>
      <c r="C195" s="93">
        <f>(C201)*$F$6</f>
        <v>61.25</v>
      </c>
      <c r="E195" s="46" t="s">
        <v>38</v>
      </c>
      <c r="F195" s="47" t="s">
        <v>39</v>
      </c>
      <c r="G195" s="55" t="s">
        <v>40</v>
      </c>
      <c r="H195" s="47" t="s">
        <v>41</v>
      </c>
      <c r="I195" s="48" t="s">
        <v>42</v>
      </c>
    </row>
    <row r="196" spans="1:9" ht="57.95">
      <c r="B196" s="1" t="s">
        <v>464</v>
      </c>
      <c r="C196" s="94">
        <f>(C202)*$F$7</f>
        <v>650</v>
      </c>
      <c r="E196" s="16" t="s">
        <v>523</v>
      </c>
      <c r="F196" s="10">
        <v>1100</v>
      </c>
      <c r="G196" s="26" t="s">
        <v>485</v>
      </c>
      <c r="H196" s="26" t="s">
        <v>536</v>
      </c>
      <c r="I196" s="41" t="s">
        <v>486</v>
      </c>
    </row>
    <row r="197" spans="1:9" ht="57.95">
      <c r="B197" s="1" t="s">
        <v>469</v>
      </c>
      <c r="C197" s="94">
        <f>F198</f>
        <v>125</v>
      </c>
      <c r="E197" s="16" t="s">
        <v>525</v>
      </c>
      <c r="F197" s="10">
        <v>1475</v>
      </c>
      <c r="G197" s="26" t="s">
        <v>485</v>
      </c>
      <c r="H197" s="26" t="s">
        <v>536</v>
      </c>
      <c r="I197" s="41" t="s">
        <v>486</v>
      </c>
    </row>
    <row r="198" spans="1:9" ht="55.5" customHeight="1">
      <c r="B198" s="1" t="s">
        <v>472</v>
      </c>
      <c r="C198" s="94">
        <f>F199</f>
        <v>150</v>
      </c>
      <c r="E198" s="16" t="s">
        <v>526</v>
      </c>
      <c r="F198" s="10">
        <v>125</v>
      </c>
      <c r="G198" s="26" t="s">
        <v>485</v>
      </c>
      <c r="H198" s="26" t="s">
        <v>536</v>
      </c>
      <c r="I198" s="41" t="s">
        <v>486</v>
      </c>
    </row>
    <row r="199" spans="1:9" ht="58.5" thickBot="1">
      <c r="B199" s="1" t="s">
        <v>476</v>
      </c>
      <c r="C199" s="94">
        <f>F196</f>
        <v>1100</v>
      </c>
      <c r="E199" s="17" t="s">
        <v>527</v>
      </c>
      <c r="F199" s="18">
        <v>150</v>
      </c>
      <c r="G199" s="33" t="s">
        <v>485</v>
      </c>
      <c r="H199" s="33" t="s">
        <v>536</v>
      </c>
      <c r="I199" s="106" t="s">
        <v>486</v>
      </c>
    </row>
    <row r="200" spans="1:9">
      <c r="B200" s="1" t="s">
        <v>479</v>
      </c>
      <c r="C200" s="94">
        <f>F197</f>
        <v>1475</v>
      </c>
      <c r="E200" s="25"/>
      <c r="G200" s="25"/>
      <c r="H200" s="25"/>
    </row>
    <row r="201" spans="1:9">
      <c r="B201" s="1" t="s">
        <v>480</v>
      </c>
      <c r="C201" s="104">
        <f>SUM(C197,C199)</f>
        <v>1225</v>
      </c>
    </row>
    <row r="202" spans="1:9">
      <c r="B202" s="1" t="s">
        <v>481</v>
      </c>
      <c r="C202" s="104">
        <f>SUM(C198,C200)</f>
        <v>1625</v>
      </c>
      <c r="G202" s="25"/>
    </row>
    <row r="203" spans="1:9">
      <c r="B203" s="1" t="s">
        <v>482</v>
      </c>
      <c r="C203" s="104">
        <f>SUM(C195,C201)</f>
        <v>1286.25</v>
      </c>
    </row>
    <row r="204" spans="1:9" ht="15" thickBot="1">
      <c r="B204" s="2" t="s">
        <v>483</v>
      </c>
      <c r="C204" s="105">
        <f>SUM(C196,C202)</f>
        <v>2275</v>
      </c>
    </row>
    <row r="206" spans="1:9" s="9" customFormat="1" ht="18.600000000000001">
      <c r="A206"/>
      <c r="B206" s="12" t="s">
        <v>308</v>
      </c>
      <c r="G206" s="53"/>
    </row>
    <row r="207" spans="1:9" ht="15" thickBot="1">
      <c r="G207" s="25"/>
    </row>
    <row r="208" spans="1:9" ht="15" thickBot="1">
      <c r="B208" s="146" t="s">
        <v>462</v>
      </c>
      <c r="C208" s="148"/>
      <c r="E208" s="146" t="s">
        <v>36</v>
      </c>
      <c r="F208" s="147"/>
      <c r="G208" s="147"/>
      <c r="H208" s="147"/>
      <c r="I208" s="148"/>
    </row>
    <row r="209" spans="1:9">
      <c r="B209" s="92" t="s">
        <v>463</v>
      </c>
      <c r="C209" s="93">
        <f>(C215)*$F$6</f>
        <v>61.25</v>
      </c>
      <c r="E209" s="46" t="s">
        <v>38</v>
      </c>
      <c r="F209" s="47" t="s">
        <v>39</v>
      </c>
      <c r="G209" s="55" t="s">
        <v>40</v>
      </c>
      <c r="H209" s="47" t="s">
        <v>41</v>
      </c>
      <c r="I209" s="48" t="s">
        <v>42</v>
      </c>
    </row>
    <row r="210" spans="1:9" ht="57.95">
      <c r="B210" s="1" t="s">
        <v>464</v>
      </c>
      <c r="C210" s="94">
        <f>(C216)*$F$7</f>
        <v>650</v>
      </c>
      <c r="E210" s="16" t="s">
        <v>523</v>
      </c>
      <c r="F210" s="10">
        <v>1100</v>
      </c>
      <c r="G210" s="26" t="s">
        <v>485</v>
      </c>
      <c r="H210" s="26"/>
      <c r="I210" s="41" t="s">
        <v>486</v>
      </c>
    </row>
    <row r="211" spans="1:9" ht="57.95">
      <c r="B211" s="1" t="s">
        <v>469</v>
      </c>
      <c r="C211" s="94">
        <f>F212</f>
        <v>125</v>
      </c>
      <c r="E211" s="16" t="s">
        <v>525</v>
      </c>
      <c r="F211" s="10">
        <v>1475</v>
      </c>
      <c r="G211" s="26" t="s">
        <v>485</v>
      </c>
      <c r="H211" s="26"/>
      <c r="I211" s="41" t="s">
        <v>486</v>
      </c>
    </row>
    <row r="212" spans="1:9" ht="55.5" customHeight="1">
      <c r="B212" s="1" t="s">
        <v>472</v>
      </c>
      <c r="C212" s="94">
        <f>F213</f>
        <v>150</v>
      </c>
      <c r="E212" s="16" t="s">
        <v>526</v>
      </c>
      <c r="F212" s="10">
        <v>125</v>
      </c>
      <c r="G212" s="26" t="s">
        <v>485</v>
      </c>
      <c r="H212" s="26"/>
      <c r="I212" s="41" t="s">
        <v>486</v>
      </c>
    </row>
    <row r="213" spans="1:9" ht="58.5" thickBot="1">
      <c r="B213" s="1" t="s">
        <v>476</v>
      </c>
      <c r="C213" s="94">
        <f>F210</f>
        <v>1100</v>
      </c>
      <c r="E213" s="17" t="s">
        <v>527</v>
      </c>
      <c r="F213" s="18">
        <v>150</v>
      </c>
      <c r="G213" s="33" t="s">
        <v>485</v>
      </c>
      <c r="H213" s="33"/>
      <c r="I213" s="106" t="s">
        <v>486</v>
      </c>
    </row>
    <row r="214" spans="1:9">
      <c r="B214" s="1" t="s">
        <v>479</v>
      </c>
      <c r="C214" s="94">
        <f>F211</f>
        <v>1475</v>
      </c>
      <c r="E214" s="25"/>
      <c r="G214" s="25"/>
      <c r="H214" s="25"/>
    </row>
    <row r="215" spans="1:9">
      <c r="B215" s="1" t="s">
        <v>480</v>
      </c>
      <c r="C215" s="104">
        <f>SUM(C211,C213)</f>
        <v>1225</v>
      </c>
    </row>
    <row r="216" spans="1:9">
      <c r="B216" s="1" t="s">
        <v>481</v>
      </c>
      <c r="C216" s="104">
        <f>SUM(C212,C214)</f>
        <v>1625</v>
      </c>
      <c r="G216" s="25"/>
    </row>
    <row r="217" spans="1:9">
      <c r="B217" s="1" t="s">
        <v>482</v>
      </c>
      <c r="C217" s="104">
        <f>SUM(C209,C215)</f>
        <v>1286.25</v>
      </c>
    </row>
    <row r="218" spans="1:9" ht="15" thickBot="1">
      <c r="B218" s="2" t="s">
        <v>483</v>
      </c>
      <c r="C218" s="105">
        <f>SUM(C210,C216)</f>
        <v>2275</v>
      </c>
    </row>
    <row r="220" spans="1:9" s="9" customFormat="1" ht="18.600000000000001">
      <c r="A220"/>
      <c r="B220" s="12" t="s">
        <v>342</v>
      </c>
      <c r="G220" s="53"/>
    </row>
    <row r="221" spans="1:9" ht="15" thickBot="1">
      <c r="G221" s="25"/>
    </row>
    <row r="222" spans="1:9" ht="15" thickBot="1">
      <c r="B222" s="146" t="s">
        <v>462</v>
      </c>
      <c r="C222" s="148"/>
      <c r="E222" s="146" t="s">
        <v>36</v>
      </c>
      <c r="F222" s="147"/>
      <c r="G222" s="147"/>
      <c r="H222" s="147"/>
      <c r="I222" s="148"/>
    </row>
    <row r="223" spans="1:9">
      <c r="B223" s="92" t="s">
        <v>463</v>
      </c>
      <c r="C223" s="93">
        <f>(C229)*$F$6</f>
        <v>61.25</v>
      </c>
      <c r="E223" s="46" t="s">
        <v>38</v>
      </c>
      <c r="F223" s="47" t="s">
        <v>39</v>
      </c>
      <c r="G223" s="55" t="s">
        <v>40</v>
      </c>
      <c r="H223" s="47" t="s">
        <v>41</v>
      </c>
      <c r="I223" s="48" t="s">
        <v>42</v>
      </c>
    </row>
    <row r="224" spans="1:9" ht="57.95">
      <c r="B224" s="1" t="s">
        <v>464</v>
      </c>
      <c r="C224" s="94">
        <f>(C230)*$F$7</f>
        <v>650</v>
      </c>
      <c r="E224" s="16" t="s">
        <v>523</v>
      </c>
      <c r="F224" s="10">
        <v>1100</v>
      </c>
      <c r="G224" s="26" t="s">
        <v>485</v>
      </c>
      <c r="H224" s="26" t="s">
        <v>536</v>
      </c>
      <c r="I224" s="41" t="s">
        <v>486</v>
      </c>
    </row>
    <row r="225" spans="1:9" ht="57.95">
      <c r="B225" s="1" t="s">
        <v>469</v>
      </c>
      <c r="C225" s="94">
        <f>F226</f>
        <v>125</v>
      </c>
      <c r="E225" s="16" t="s">
        <v>525</v>
      </c>
      <c r="F225" s="10">
        <v>1475</v>
      </c>
      <c r="G225" s="26" t="s">
        <v>485</v>
      </c>
      <c r="H225" s="26" t="s">
        <v>536</v>
      </c>
      <c r="I225" s="41" t="s">
        <v>486</v>
      </c>
    </row>
    <row r="226" spans="1:9" ht="55.5" customHeight="1">
      <c r="B226" s="1" t="s">
        <v>472</v>
      </c>
      <c r="C226" s="94">
        <f>F227</f>
        <v>150</v>
      </c>
      <c r="E226" s="16" t="s">
        <v>526</v>
      </c>
      <c r="F226" s="10">
        <v>125</v>
      </c>
      <c r="G226" s="26" t="s">
        <v>485</v>
      </c>
      <c r="H226" s="26" t="s">
        <v>536</v>
      </c>
      <c r="I226" s="41" t="s">
        <v>486</v>
      </c>
    </row>
    <row r="227" spans="1:9" ht="58.5" thickBot="1">
      <c r="B227" s="1" t="s">
        <v>476</v>
      </c>
      <c r="C227" s="94">
        <f>F224</f>
        <v>1100</v>
      </c>
      <c r="E227" s="17" t="s">
        <v>527</v>
      </c>
      <c r="F227" s="18">
        <v>150</v>
      </c>
      <c r="G227" s="33" t="s">
        <v>485</v>
      </c>
      <c r="H227" s="33" t="s">
        <v>536</v>
      </c>
      <c r="I227" s="106" t="s">
        <v>486</v>
      </c>
    </row>
    <row r="228" spans="1:9">
      <c r="B228" s="1" t="s">
        <v>479</v>
      </c>
      <c r="C228" s="94">
        <f>F225</f>
        <v>1475</v>
      </c>
      <c r="E228" s="25"/>
      <c r="G228" s="25"/>
      <c r="H228" s="25"/>
    </row>
    <row r="229" spans="1:9">
      <c r="B229" s="1" t="s">
        <v>480</v>
      </c>
      <c r="C229" s="104">
        <f>SUM(C225,C227)</f>
        <v>1225</v>
      </c>
    </row>
    <row r="230" spans="1:9">
      <c r="B230" s="1" t="s">
        <v>481</v>
      </c>
      <c r="C230" s="104">
        <f>SUM(C226,C228)</f>
        <v>1625</v>
      </c>
      <c r="G230" s="25"/>
    </row>
    <row r="231" spans="1:9">
      <c r="B231" s="1" t="s">
        <v>482</v>
      </c>
      <c r="C231" s="104">
        <f>SUM(C223,C229)</f>
        <v>1286.25</v>
      </c>
    </row>
    <row r="232" spans="1:9" ht="15" thickBot="1">
      <c r="B232" s="2" t="s">
        <v>483</v>
      </c>
      <c r="C232" s="105">
        <f>SUM(C224,C230)</f>
        <v>2275</v>
      </c>
    </row>
    <row r="234" spans="1:9" s="9" customFormat="1" ht="18.600000000000001">
      <c r="A234"/>
      <c r="B234" s="12" t="s">
        <v>371</v>
      </c>
      <c r="G234" s="53"/>
    </row>
    <row r="235" spans="1:9" ht="15" thickBot="1">
      <c r="G235" s="25"/>
    </row>
    <row r="236" spans="1:9" ht="15" thickBot="1">
      <c r="B236" s="146" t="s">
        <v>462</v>
      </c>
      <c r="C236" s="148"/>
      <c r="E236" s="146" t="s">
        <v>36</v>
      </c>
      <c r="F236" s="147"/>
      <c r="G236" s="147"/>
      <c r="H236" s="147"/>
      <c r="I236" s="148"/>
    </row>
    <row r="237" spans="1:9">
      <c r="B237" s="92" t="s">
        <v>463</v>
      </c>
      <c r="C237" s="93">
        <f>(C243)*$F$6</f>
        <v>43.75</v>
      </c>
      <c r="E237" s="46" t="s">
        <v>38</v>
      </c>
      <c r="F237" s="47" t="s">
        <v>39</v>
      </c>
      <c r="G237" s="55" t="s">
        <v>40</v>
      </c>
      <c r="H237" s="47" t="s">
        <v>41</v>
      </c>
      <c r="I237" s="48" t="s">
        <v>42</v>
      </c>
    </row>
    <row r="238" spans="1:9" ht="57.95">
      <c r="B238" s="1" t="s">
        <v>464</v>
      </c>
      <c r="C238" s="94">
        <f>(C244)*$F$7</f>
        <v>470</v>
      </c>
      <c r="E238" s="16" t="s">
        <v>523</v>
      </c>
      <c r="F238" s="10">
        <v>650</v>
      </c>
      <c r="G238" s="26" t="s">
        <v>485</v>
      </c>
      <c r="H238" s="26" t="s">
        <v>537</v>
      </c>
      <c r="I238" s="41" t="s">
        <v>486</v>
      </c>
    </row>
    <row r="239" spans="1:9" ht="57.95">
      <c r="B239" s="1" t="s">
        <v>469</v>
      </c>
      <c r="C239" s="94">
        <f>F240</f>
        <v>225</v>
      </c>
      <c r="E239" s="16" t="s">
        <v>525</v>
      </c>
      <c r="F239" s="10">
        <v>875</v>
      </c>
      <c r="G239" s="26" t="s">
        <v>485</v>
      </c>
      <c r="H239" s="26" t="s">
        <v>537</v>
      </c>
      <c r="I239" s="41" t="s">
        <v>486</v>
      </c>
    </row>
    <row r="240" spans="1:9" ht="55.5" customHeight="1">
      <c r="B240" s="1" t="s">
        <v>472</v>
      </c>
      <c r="C240" s="94">
        <f>F241</f>
        <v>300</v>
      </c>
      <c r="E240" s="16" t="s">
        <v>526</v>
      </c>
      <c r="F240" s="10">
        <v>225</v>
      </c>
      <c r="G240" s="26" t="s">
        <v>485</v>
      </c>
      <c r="H240" s="26" t="s">
        <v>537</v>
      </c>
      <c r="I240" s="41" t="s">
        <v>486</v>
      </c>
    </row>
    <row r="241" spans="1:9" ht="58.5" thickBot="1">
      <c r="B241" s="1" t="s">
        <v>476</v>
      </c>
      <c r="C241" s="94">
        <f>F238</f>
        <v>650</v>
      </c>
      <c r="E241" s="17" t="s">
        <v>527</v>
      </c>
      <c r="F241" s="18">
        <v>300</v>
      </c>
      <c r="G241" s="33" t="s">
        <v>485</v>
      </c>
      <c r="H241" s="33" t="s">
        <v>537</v>
      </c>
      <c r="I241" s="106" t="s">
        <v>486</v>
      </c>
    </row>
    <row r="242" spans="1:9">
      <c r="B242" s="1" t="s">
        <v>479</v>
      </c>
      <c r="C242" s="94">
        <f>F239</f>
        <v>875</v>
      </c>
      <c r="E242" s="25"/>
      <c r="G242" s="25"/>
      <c r="H242" s="25"/>
    </row>
    <row r="243" spans="1:9">
      <c r="B243" s="1" t="s">
        <v>480</v>
      </c>
      <c r="C243" s="104">
        <f>SUM(C239,C241)</f>
        <v>875</v>
      </c>
    </row>
    <row r="244" spans="1:9">
      <c r="B244" s="1" t="s">
        <v>481</v>
      </c>
      <c r="C244" s="104">
        <f>SUM(C240,C242)</f>
        <v>1175</v>
      </c>
      <c r="G244" s="25"/>
    </row>
    <row r="245" spans="1:9">
      <c r="B245" s="1" t="s">
        <v>482</v>
      </c>
      <c r="C245" s="104">
        <f>SUM(C237,C243)</f>
        <v>918.75</v>
      </c>
    </row>
    <row r="246" spans="1:9" ht="15" thickBot="1">
      <c r="B246" s="2" t="s">
        <v>483</v>
      </c>
      <c r="C246" s="105">
        <f>SUM(C238,C244)</f>
        <v>1645</v>
      </c>
    </row>
    <row r="248" spans="1:9" s="9" customFormat="1" ht="18.600000000000001">
      <c r="A248"/>
      <c r="B248" s="12" t="s">
        <v>398</v>
      </c>
      <c r="G248" s="53"/>
    </row>
    <row r="249" spans="1:9" ht="15" thickBot="1">
      <c r="G249" s="25"/>
    </row>
    <row r="250" spans="1:9" ht="15" thickBot="1">
      <c r="B250" s="146" t="s">
        <v>462</v>
      </c>
      <c r="C250" s="148"/>
      <c r="E250" s="146" t="s">
        <v>36</v>
      </c>
      <c r="F250" s="147"/>
      <c r="G250" s="147"/>
      <c r="H250" s="147"/>
      <c r="I250" s="148"/>
    </row>
    <row r="251" spans="1:9">
      <c r="B251" s="92" t="s">
        <v>463</v>
      </c>
      <c r="C251" s="93">
        <f>(C257)*$F$6</f>
        <v>28.75</v>
      </c>
      <c r="E251" s="46" t="s">
        <v>38</v>
      </c>
      <c r="F251" s="47" t="s">
        <v>39</v>
      </c>
      <c r="G251" s="55" t="s">
        <v>40</v>
      </c>
      <c r="H251" s="47" t="s">
        <v>41</v>
      </c>
      <c r="I251" s="48" t="s">
        <v>42</v>
      </c>
    </row>
    <row r="252" spans="1:9" ht="57.95">
      <c r="B252" s="1" t="s">
        <v>464</v>
      </c>
      <c r="C252" s="94">
        <f>(C258)*$F$7</f>
        <v>330</v>
      </c>
      <c r="E252" s="16" t="s">
        <v>523</v>
      </c>
      <c r="F252" s="10">
        <v>250</v>
      </c>
      <c r="G252" s="26" t="s">
        <v>485</v>
      </c>
      <c r="H252" s="26" t="s">
        <v>538</v>
      </c>
      <c r="I252" s="41" t="s">
        <v>486</v>
      </c>
    </row>
    <row r="253" spans="1:9" ht="57.95">
      <c r="B253" s="1" t="s">
        <v>469</v>
      </c>
      <c r="C253" s="94">
        <f>F254</f>
        <v>325</v>
      </c>
      <c r="E253" s="16" t="s">
        <v>525</v>
      </c>
      <c r="F253" s="10">
        <v>375</v>
      </c>
      <c r="G253" s="26" t="s">
        <v>485</v>
      </c>
      <c r="H253" s="26" t="s">
        <v>538</v>
      </c>
      <c r="I253" s="41" t="s">
        <v>486</v>
      </c>
    </row>
    <row r="254" spans="1:9" ht="55.5" customHeight="1">
      <c r="B254" s="1" t="s">
        <v>472</v>
      </c>
      <c r="C254" s="94">
        <f>F255</f>
        <v>450</v>
      </c>
      <c r="E254" s="16" t="s">
        <v>526</v>
      </c>
      <c r="F254" s="10">
        <v>325</v>
      </c>
      <c r="G254" s="26" t="s">
        <v>485</v>
      </c>
      <c r="H254" s="26" t="s">
        <v>538</v>
      </c>
      <c r="I254" s="41" t="s">
        <v>486</v>
      </c>
    </row>
    <row r="255" spans="1:9" ht="58.5" thickBot="1">
      <c r="B255" s="1" t="s">
        <v>476</v>
      </c>
      <c r="C255" s="94">
        <f>F252</f>
        <v>250</v>
      </c>
      <c r="E255" s="17" t="s">
        <v>527</v>
      </c>
      <c r="F255" s="18">
        <v>450</v>
      </c>
      <c r="G255" s="33" t="s">
        <v>485</v>
      </c>
      <c r="H255" s="26" t="s">
        <v>538</v>
      </c>
      <c r="I255" s="106" t="s">
        <v>486</v>
      </c>
    </row>
    <row r="256" spans="1:9">
      <c r="B256" s="1" t="s">
        <v>479</v>
      </c>
      <c r="C256" s="94">
        <f>F253</f>
        <v>375</v>
      </c>
      <c r="E256" s="25"/>
      <c r="G256" s="25"/>
      <c r="H256" s="25"/>
    </row>
    <row r="257" spans="1:9">
      <c r="B257" s="1" t="s">
        <v>480</v>
      </c>
      <c r="C257" s="104">
        <f>SUM(C253,C255)</f>
        <v>575</v>
      </c>
    </row>
    <row r="258" spans="1:9">
      <c r="B258" s="1" t="s">
        <v>481</v>
      </c>
      <c r="C258" s="104">
        <f>SUM(C254,C256)</f>
        <v>825</v>
      </c>
      <c r="G258" s="25"/>
    </row>
    <row r="259" spans="1:9">
      <c r="B259" s="1" t="s">
        <v>482</v>
      </c>
      <c r="C259" s="104">
        <f>SUM(C251,C257)</f>
        <v>603.75</v>
      </c>
    </row>
    <row r="260" spans="1:9" ht="15" thickBot="1">
      <c r="B260" s="2" t="s">
        <v>483</v>
      </c>
      <c r="C260" s="105">
        <f>SUM(C252,C258)</f>
        <v>1155</v>
      </c>
    </row>
    <row r="262" spans="1:9" s="9" customFormat="1" ht="18.600000000000001">
      <c r="A262"/>
      <c r="B262" s="12" t="s">
        <v>539</v>
      </c>
      <c r="G262" s="53"/>
    </row>
    <row r="263" spans="1:9" ht="15" thickBot="1">
      <c r="G263" s="25"/>
    </row>
    <row r="264" spans="1:9" ht="15" thickBot="1">
      <c r="B264" s="146" t="s">
        <v>462</v>
      </c>
      <c r="C264" s="148"/>
      <c r="E264" s="146" t="s">
        <v>36</v>
      </c>
      <c r="F264" s="147"/>
      <c r="G264" s="147"/>
      <c r="H264" s="147"/>
      <c r="I264" s="148"/>
    </row>
    <row r="265" spans="1:9">
      <c r="B265" s="92" t="s">
        <v>463</v>
      </c>
      <c r="C265" s="93">
        <f>(C271)*$F$6</f>
        <v>43.75</v>
      </c>
      <c r="E265" s="46" t="s">
        <v>38</v>
      </c>
      <c r="F265" s="47" t="s">
        <v>39</v>
      </c>
      <c r="G265" s="55" t="s">
        <v>40</v>
      </c>
      <c r="H265" s="47" t="s">
        <v>41</v>
      </c>
      <c r="I265" s="48" t="s">
        <v>42</v>
      </c>
    </row>
    <row r="266" spans="1:9" ht="57.95">
      <c r="B266" s="1" t="s">
        <v>464</v>
      </c>
      <c r="C266" s="94">
        <f>(C272)*$F$7</f>
        <v>470</v>
      </c>
      <c r="E266" s="16" t="s">
        <v>523</v>
      </c>
      <c r="F266" s="10">
        <v>650</v>
      </c>
      <c r="G266" s="26" t="s">
        <v>485</v>
      </c>
      <c r="H266" s="26" t="s">
        <v>537</v>
      </c>
      <c r="I266" s="41" t="s">
        <v>486</v>
      </c>
    </row>
    <row r="267" spans="1:9" ht="57.95">
      <c r="B267" s="1" t="s">
        <v>469</v>
      </c>
      <c r="C267" s="94">
        <f>F268</f>
        <v>225</v>
      </c>
      <c r="E267" s="16" t="s">
        <v>525</v>
      </c>
      <c r="F267" s="10">
        <v>875</v>
      </c>
      <c r="G267" s="26" t="s">
        <v>485</v>
      </c>
      <c r="H267" s="26" t="s">
        <v>537</v>
      </c>
      <c r="I267" s="41" t="s">
        <v>486</v>
      </c>
    </row>
    <row r="268" spans="1:9" ht="55.5" customHeight="1">
      <c r="B268" s="1" t="s">
        <v>472</v>
      </c>
      <c r="C268" s="94">
        <f>F269</f>
        <v>300</v>
      </c>
      <c r="E268" s="16" t="s">
        <v>526</v>
      </c>
      <c r="F268" s="10">
        <v>225</v>
      </c>
      <c r="G268" s="26" t="s">
        <v>485</v>
      </c>
      <c r="H268" s="26" t="s">
        <v>537</v>
      </c>
      <c r="I268" s="41" t="s">
        <v>486</v>
      </c>
    </row>
    <row r="269" spans="1:9" ht="58.5" thickBot="1">
      <c r="B269" s="1" t="s">
        <v>476</v>
      </c>
      <c r="C269" s="94">
        <f>F266</f>
        <v>650</v>
      </c>
      <c r="E269" s="17" t="s">
        <v>527</v>
      </c>
      <c r="F269" s="18">
        <v>300</v>
      </c>
      <c r="G269" s="33" t="s">
        <v>485</v>
      </c>
      <c r="H269" s="33" t="s">
        <v>537</v>
      </c>
      <c r="I269" s="106" t="s">
        <v>486</v>
      </c>
    </row>
    <row r="270" spans="1:9">
      <c r="B270" s="1" t="s">
        <v>479</v>
      </c>
      <c r="C270" s="94">
        <f>F267</f>
        <v>875</v>
      </c>
      <c r="E270" s="25"/>
      <c r="G270" s="25"/>
      <c r="H270" s="25"/>
    </row>
    <row r="271" spans="1:9">
      <c r="B271" s="1" t="s">
        <v>480</v>
      </c>
      <c r="C271" s="104">
        <f>SUM(C267,C269)</f>
        <v>875</v>
      </c>
    </row>
    <row r="272" spans="1:9">
      <c r="B272" s="1" t="s">
        <v>481</v>
      </c>
      <c r="C272" s="104">
        <f>SUM(C268,C270)</f>
        <v>1175</v>
      </c>
      <c r="G272" s="25"/>
    </row>
    <row r="273" spans="1:9">
      <c r="B273" s="1" t="s">
        <v>482</v>
      </c>
      <c r="C273" s="104">
        <f>SUM(C265,C271)</f>
        <v>918.75</v>
      </c>
    </row>
    <row r="274" spans="1:9" ht="15" thickBot="1">
      <c r="B274" s="2" t="s">
        <v>483</v>
      </c>
      <c r="C274" s="105">
        <f>SUM(C266,C272)</f>
        <v>1645</v>
      </c>
    </row>
    <row r="276" spans="1:9" s="9" customFormat="1" ht="18.600000000000001">
      <c r="A276"/>
      <c r="B276" s="12" t="s">
        <v>431</v>
      </c>
      <c r="G276" s="53"/>
    </row>
    <row r="277" spans="1:9" ht="15" thickBot="1">
      <c r="G277" s="25"/>
    </row>
    <row r="278" spans="1:9" ht="15" thickBot="1">
      <c r="B278" s="146" t="s">
        <v>462</v>
      </c>
      <c r="C278" s="148"/>
      <c r="E278" s="146" t="s">
        <v>36</v>
      </c>
      <c r="F278" s="147"/>
      <c r="G278" s="147"/>
      <c r="H278" s="147"/>
      <c r="I278" s="148"/>
    </row>
    <row r="279" spans="1:9">
      <c r="B279" s="92" t="s">
        <v>463</v>
      </c>
      <c r="C279" s="93">
        <f>(C285)*$F$6</f>
        <v>40</v>
      </c>
      <c r="E279" s="46" t="s">
        <v>38</v>
      </c>
      <c r="F279" s="47" t="s">
        <v>39</v>
      </c>
      <c r="G279" s="55" t="s">
        <v>40</v>
      </c>
      <c r="H279" s="47" t="s">
        <v>41</v>
      </c>
      <c r="I279" s="48" t="s">
        <v>42</v>
      </c>
    </row>
    <row r="280" spans="1:9" ht="57.95">
      <c r="B280" s="1" t="s">
        <v>464</v>
      </c>
      <c r="C280" s="94">
        <f>(C286)*$F$7</f>
        <v>440</v>
      </c>
      <c r="E280" s="16" t="s">
        <v>523</v>
      </c>
      <c r="F280" s="10">
        <v>250</v>
      </c>
      <c r="G280" s="26" t="s">
        <v>485</v>
      </c>
      <c r="H280" s="26"/>
      <c r="I280" s="41" t="s">
        <v>486</v>
      </c>
    </row>
    <row r="281" spans="1:9" ht="57.95">
      <c r="B281" s="1" t="s">
        <v>469</v>
      </c>
      <c r="C281" s="94">
        <f>F282</f>
        <v>550</v>
      </c>
      <c r="E281" s="16" t="s">
        <v>525</v>
      </c>
      <c r="F281" s="10">
        <v>375</v>
      </c>
      <c r="G281" s="26" t="s">
        <v>485</v>
      </c>
      <c r="H281" s="26"/>
      <c r="I281" s="41" t="s">
        <v>486</v>
      </c>
    </row>
    <row r="282" spans="1:9" ht="55.5" customHeight="1">
      <c r="B282" s="1" t="s">
        <v>472</v>
      </c>
      <c r="C282" s="94">
        <f>F283</f>
        <v>725</v>
      </c>
      <c r="E282" s="16" t="s">
        <v>526</v>
      </c>
      <c r="F282" s="10">
        <v>550</v>
      </c>
      <c r="G282" s="26" t="s">
        <v>485</v>
      </c>
      <c r="H282" s="26"/>
      <c r="I282" s="41" t="s">
        <v>486</v>
      </c>
    </row>
    <row r="283" spans="1:9" ht="58.5" thickBot="1">
      <c r="B283" s="1" t="s">
        <v>476</v>
      </c>
      <c r="C283" s="94">
        <f>F280</f>
        <v>250</v>
      </c>
      <c r="E283" s="17" t="s">
        <v>527</v>
      </c>
      <c r="F283" s="18">
        <v>725</v>
      </c>
      <c r="G283" s="33" t="s">
        <v>485</v>
      </c>
      <c r="H283" s="26"/>
      <c r="I283" s="106" t="s">
        <v>486</v>
      </c>
    </row>
    <row r="284" spans="1:9">
      <c r="B284" s="1" t="s">
        <v>479</v>
      </c>
      <c r="C284" s="94">
        <f>F281</f>
        <v>375</v>
      </c>
      <c r="E284" s="25"/>
      <c r="G284" s="25"/>
      <c r="H284" s="25"/>
    </row>
    <row r="285" spans="1:9">
      <c r="B285" s="1" t="s">
        <v>480</v>
      </c>
      <c r="C285" s="104">
        <f>SUM(C281,C283)</f>
        <v>800</v>
      </c>
    </row>
    <row r="286" spans="1:9">
      <c r="B286" s="1" t="s">
        <v>481</v>
      </c>
      <c r="C286" s="104">
        <f>SUM(C282,C284)</f>
        <v>1100</v>
      </c>
      <c r="G286" s="25"/>
    </row>
    <row r="287" spans="1:9">
      <c r="B287" s="1" t="s">
        <v>482</v>
      </c>
      <c r="C287" s="104">
        <f>SUM(C279,C285)</f>
        <v>840</v>
      </c>
    </row>
    <row r="288" spans="1:9" ht="15" thickBot="1">
      <c r="B288" s="2" t="s">
        <v>483</v>
      </c>
      <c r="C288" s="105">
        <f>SUM(C280,C286)</f>
        <v>1540</v>
      </c>
    </row>
    <row r="290" spans="1:9" s="9" customFormat="1" ht="18.600000000000001">
      <c r="A290"/>
      <c r="B290" s="12" t="s">
        <v>439</v>
      </c>
      <c r="G290" s="53"/>
    </row>
    <row r="291" spans="1:9" ht="15" thickBot="1">
      <c r="G291" s="25"/>
    </row>
    <row r="292" spans="1:9" ht="15" thickBot="1">
      <c r="B292" s="146" t="s">
        <v>462</v>
      </c>
      <c r="C292" s="148"/>
      <c r="E292" s="146" t="s">
        <v>36</v>
      </c>
      <c r="F292" s="147"/>
      <c r="G292" s="147"/>
      <c r="H292" s="147"/>
      <c r="I292" s="148"/>
    </row>
    <row r="293" spans="1:9">
      <c r="B293" s="92" t="s">
        <v>463</v>
      </c>
      <c r="C293" s="93">
        <f>(C299)*$F$6</f>
        <v>88.15</v>
      </c>
      <c r="E293" s="46" t="s">
        <v>38</v>
      </c>
      <c r="F293" s="47" t="s">
        <v>39</v>
      </c>
      <c r="G293" s="55" t="s">
        <v>40</v>
      </c>
      <c r="H293" s="47" t="s">
        <v>41</v>
      </c>
      <c r="I293" s="48" t="s">
        <v>42</v>
      </c>
    </row>
    <row r="294" spans="1:9" ht="43.5">
      <c r="B294" s="1" t="s">
        <v>464</v>
      </c>
      <c r="C294" s="94">
        <f>(C300)*$F$7</f>
        <v>1032</v>
      </c>
      <c r="E294" s="30" t="s">
        <v>5</v>
      </c>
      <c r="F294" s="117">
        <v>1763</v>
      </c>
      <c r="G294" s="26" t="s">
        <v>485</v>
      </c>
      <c r="H294" s="26" t="s">
        <v>495</v>
      </c>
      <c r="I294" s="41" t="s">
        <v>496</v>
      </c>
    </row>
    <row r="295" spans="1:9" ht="44.1" thickBot="1">
      <c r="B295" s="1" t="s">
        <v>469</v>
      </c>
      <c r="C295" s="94">
        <v>0</v>
      </c>
      <c r="E295" s="61" t="s">
        <v>6</v>
      </c>
      <c r="F295" s="118">
        <v>2580</v>
      </c>
      <c r="G295" s="33" t="s">
        <v>485</v>
      </c>
      <c r="H295" s="26" t="s">
        <v>495</v>
      </c>
      <c r="I295" s="106" t="s">
        <v>496</v>
      </c>
    </row>
    <row r="296" spans="1:9" ht="55.5" customHeight="1">
      <c r="B296" s="1" t="s">
        <v>472</v>
      </c>
      <c r="C296" s="94">
        <v>0</v>
      </c>
      <c r="G296" s="25"/>
      <c r="I296" s="56"/>
    </row>
    <row r="297" spans="1:9">
      <c r="B297" s="1" t="s">
        <v>476</v>
      </c>
      <c r="C297" s="110">
        <v>0</v>
      </c>
      <c r="G297" s="25"/>
      <c r="I297" s="56"/>
    </row>
    <row r="298" spans="1:9">
      <c r="B298" s="1" t="s">
        <v>479</v>
      </c>
      <c r="C298" s="110">
        <v>0</v>
      </c>
      <c r="E298" s="25"/>
      <c r="G298" s="25"/>
      <c r="H298" s="25"/>
    </row>
    <row r="299" spans="1:9">
      <c r="B299" s="1" t="s">
        <v>480</v>
      </c>
      <c r="C299" s="94">
        <f>F294</f>
        <v>1763</v>
      </c>
    </row>
    <row r="300" spans="1:9">
      <c r="B300" s="1" t="s">
        <v>481</v>
      </c>
      <c r="C300" s="94">
        <f>F295</f>
        <v>2580</v>
      </c>
      <c r="G300" s="25"/>
    </row>
    <row r="301" spans="1:9">
      <c r="B301" s="1" t="s">
        <v>482</v>
      </c>
      <c r="C301" s="104">
        <f>SUM(C293,C299)</f>
        <v>1851.15</v>
      </c>
    </row>
    <row r="302" spans="1:9" ht="15" thickBot="1">
      <c r="B302" s="2" t="s">
        <v>483</v>
      </c>
      <c r="C302" s="105">
        <f>SUM(C294,C300)</f>
        <v>3612</v>
      </c>
    </row>
    <row r="304" spans="1:9" s="9" customFormat="1" ht="18.600000000000001">
      <c r="A304"/>
      <c r="B304" s="12" t="s">
        <v>442</v>
      </c>
      <c r="G304" s="53"/>
    </row>
    <row r="305" spans="1:9" ht="15" thickBot="1">
      <c r="G305" s="25"/>
    </row>
    <row r="306" spans="1:9" ht="15" thickBot="1">
      <c r="B306" s="146" t="s">
        <v>462</v>
      </c>
      <c r="C306" s="148"/>
      <c r="E306" s="146" t="s">
        <v>36</v>
      </c>
      <c r="F306" s="147"/>
      <c r="G306" s="147"/>
      <c r="H306" s="147"/>
      <c r="I306" s="148"/>
    </row>
    <row r="307" spans="1:9">
      <c r="B307" s="92" t="s">
        <v>463</v>
      </c>
      <c r="C307" s="93">
        <f>(C313)*$F$6</f>
        <v>88.15</v>
      </c>
      <c r="E307" s="46" t="s">
        <v>38</v>
      </c>
      <c r="F307" s="47" t="s">
        <v>39</v>
      </c>
      <c r="G307" s="55" t="s">
        <v>40</v>
      </c>
      <c r="H307" s="47" t="s">
        <v>41</v>
      </c>
      <c r="I307" s="48" t="s">
        <v>42</v>
      </c>
    </row>
    <row r="308" spans="1:9" ht="43.5">
      <c r="B308" s="1" t="s">
        <v>464</v>
      </c>
      <c r="C308" s="94">
        <f>(C314)*$F$7</f>
        <v>1032</v>
      </c>
      <c r="E308" s="30" t="s">
        <v>5</v>
      </c>
      <c r="F308" s="117">
        <v>1763</v>
      </c>
      <c r="G308" s="26" t="s">
        <v>485</v>
      </c>
      <c r="H308" s="26" t="s">
        <v>495</v>
      </c>
      <c r="I308" s="41" t="s">
        <v>496</v>
      </c>
    </row>
    <row r="309" spans="1:9" ht="44.1" thickBot="1">
      <c r="B309" s="1" t="s">
        <v>469</v>
      </c>
      <c r="C309" s="94">
        <v>0</v>
      </c>
      <c r="E309" s="61" t="s">
        <v>6</v>
      </c>
      <c r="F309" s="118">
        <v>2580</v>
      </c>
      <c r="G309" s="33" t="s">
        <v>485</v>
      </c>
      <c r="H309" s="26" t="s">
        <v>495</v>
      </c>
      <c r="I309" s="106" t="s">
        <v>496</v>
      </c>
    </row>
    <row r="310" spans="1:9" ht="55.5" customHeight="1">
      <c r="B310" s="1" t="s">
        <v>472</v>
      </c>
      <c r="C310" s="94">
        <v>0</v>
      </c>
      <c r="G310" s="25"/>
      <c r="I310" s="56"/>
    </row>
    <row r="311" spans="1:9">
      <c r="B311" s="1" t="s">
        <v>476</v>
      </c>
      <c r="C311" s="110">
        <v>0</v>
      </c>
      <c r="G311" s="25"/>
      <c r="I311" s="56"/>
    </row>
    <row r="312" spans="1:9">
      <c r="B312" s="1" t="s">
        <v>479</v>
      </c>
      <c r="C312" s="110">
        <v>0</v>
      </c>
      <c r="E312" s="25"/>
      <c r="G312" s="25"/>
      <c r="H312" s="25"/>
    </row>
    <row r="313" spans="1:9">
      <c r="B313" s="1" t="s">
        <v>480</v>
      </c>
      <c r="C313" s="94">
        <f>F308</f>
        <v>1763</v>
      </c>
    </row>
    <row r="314" spans="1:9">
      <c r="B314" s="1" t="s">
        <v>481</v>
      </c>
      <c r="C314" s="94">
        <f>F309</f>
        <v>2580</v>
      </c>
      <c r="G314" s="25"/>
    </row>
    <row r="315" spans="1:9">
      <c r="B315" s="1" t="s">
        <v>482</v>
      </c>
      <c r="C315" s="104">
        <f>SUM(C307,C313)</f>
        <v>1851.15</v>
      </c>
    </row>
    <row r="316" spans="1:9" ht="15" thickBot="1">
      <c r="B316" s="2" t="s">
        <v>483</v>
      </c>
      <c r="C316" s="105">
        <f>SUM(C308,C314)</f>
        <v>3612</v>
      </c>
    </row>
    <row r="318" spans="1:9" s="9" customFormat="1" ht="18.600000000000001">
      <c r="A318"/>
      <c r="B318" s="12" t="s">
        <v>444</v>
      </c>
      <c r="G318" s="53"/>
    </row>
    <row r="319" spans="1:9" ht="15" thickBot="1">
      <c r="G319" s="25"/>
    </row>
    <row r="320" spans="1:9" ht="15" thickBot="1">
      <c r="B320" s="146" t="s">
        <v>462</v>
      </c>
      <c r="C320" s="148"/>
      <c r="E320" s="146" t="s">
        <v>36</v>
      </c>
      <c r="F320" s="147"/>
      <c r="G320" s="147"/>
      <c r="H320" s="147"/>
      <c r="I320" s="148"/>
    </row>
    <row r="321" spans="2:9">
      <c r="B321" s="92" t="s">
        <v>463</v>
      </c>
      <c r="C321" s="93">
        <f>(C327)*$F$6</f>
        <v>40</v>
      </c>
      <c r="E321" s="46" t="s">
        <v>38</v>
      </c>
      <c r="F321" s="47" t="s">
        <v>39</v>
      </c>
      <c r="G321" s="55" t="s">
        <v>40</v>
      </c>
      <c r="H321" s="47" t="s">
        <v>41</v>
      </c>
      <c r="I321" s="48" t="s">
        <v>42</v>
      </c>
    </row>
    <row r="322" spans="2:9" ht="57.95">
      <c r="B322" s="1" t="s">
        <v>464</v>
      </c>
      <c r="C322" s="94">
        <f>(C328)*$F$7</f>
        <v>440</v>
      </c>
      <c r="E322" s="16" t="s">
        <v>523</v>
      </c>
      <c r="F322" s="10">
        <v>250</v>
      </c>
      <c r="G322" s="26" t="s">
        <v>485</v>
      </c>
      <c r="H322" s="26" t="s">
        <v>540</v>
      </c>
      <c r="I322" s="41" t="s">
        <v>486</v>
      </c>
    </row>
    <row r="323" spans="2:9" ht="57.95">
      <c r="B323" s="1" t="s">
        <v>469</v>
      </c>
      <c r="C323" s="94">
        <f>F324</f>
        <v>550</v>
      </c>
      <c r="E323" s="16" t="s">
        <v>525</v>
      </c>
      <c r="F323" s="10">
        <v>375</v>
      </c>
      <c r="G323" s="26" t="s">
        <v>485</v>
      </c>
      <c r="H323" s="26" t="s">
        <v>540</v>
      </c>
      <c r="I323" s="41" t="s">
        <v>486</v>
      </c>
    </row>
    <row r="324" spans="2:9" ht="55.5" customHeight="1">
      <c r="B324" s="1" t="s">
        <v>472</v>
      </c>
      <c r="C324" s="94">
        <f>F325</f>
        <v>725</v>
      </c>
      <c r="E324" s="16" t="s">
        <v>526</v>
      </c>
      <c r="F324" s="10">
        <v>550</v>
      </c>
      <c r="G324" s="26" t="s">
        <v>485</v>
      </c>
      <c r="H324" s="26" t="s">
        <v>540</v>
      </c>
      <c r="I324" s="41" t="s">
        <v>486</v>
      </c>
    </row>
    <row r="325" spans="2:9" ht="58.5" thickBot="1">
      <c r="B325" s="1" t="s">
        <v>476</v>
      </c>
      <c r="C325" s="94">
        <f>F322</f>
        <v>250</v>
      </c>
      <c r="E325" s="17" t="s">
        <v>527</v>
      </c>
      <c r="F325" s="18">
        <v>725</v>
      </c>
      <c r="G325" s="33" t="s">
        <v>485</v>
      </c>
      <c r="H325" s="26" t="s">
        <v>540</v>
      </c>
      <c r="I325" s="106" t="s">
        <v>486</v>
      </c>
    </row>
    <row r="326" spans="2:9">
      <c r="B326" s="1" t="s">
        <v>479</v>
      </c>
      <c r="C326" s="94">
        <f>F323</f>
        <v>375</v>
      </c>
      <c r="E326" s="25"/>
      <c r="G326" s="25"/>
      <c r="H326" s="25"/>
    </row>
    <row r="327" spans="2:9">
      <c r="B327" s="1" t="s">
        <v>480</v>
      </c>
      <c r="C327" s="104">
        <f>SUM(C323,C325)</f>
        <v>800</v>
      </c>
    </row>
    <row r="328" spans="2:9">
      <c r="B328" s="1" t="s">
        <v>481</v>
      </c>
      <c r="C328" s="104">
        <f>SUM(C324,C326)</f>
        <v>1100</v>
      </c>
      <c r="G328" s="25"/>
    </row>
    <row r="329" spans="2:9">
      <c r="B329" s="1" t="s">
        <v>482</v>
      </c>
      <c r="C329" s="104">
        <f>SUM(C321,C327)</f>
        <v>840</v>
      </c>
    </row>
    <row r="330" spans="2:9" ht="15" thickBot="1">
      <c r="B330" s="2" t="s">
        <v>483</v>
      </c>
      <c r="C330" s="105">
        <f>SUM(C322,C328)</f>
        <v>1540</v>
      </c>
    </row>
  </sheetData>
  <mergeCells count="47">
    <mergeCell ref="E4:I4"/>
    <mergeCell ref="B60:C60"/>
    <mergeCell ref="E60:I60"/>
    <mergeCell ref="B74:C74"/>
    <mergeCell ref="E74:I74"/>
    <mergeCell ref="B45:C45"/>
    <mergeCell ref="E45:I45"/>
    <mergeCell ref="B15:C15"/>
    <mergeCell ref="E15:I15"/>
    <mergeCell ref="B29:C29"/>
    <mergeCell ref="E29:I29"/>
    <mergeCell ref="B88:C88"/>
    <mergeCell ref="E88:I88"/>
    <mergeCell ref="B103:C103"/>
    <mergeCell ref="E103:I103"/>
    <mergeCell ref="B117:C117"/>
    <mergeCell ref="E117:I117"/>
    <mergeCell ref="B145:C145"/>
    <mergeCell ref="E145:I145"/>
    <mergeCell ref="B152:C152"/>
    <mergeCell ref="E152:I152"/>
    <mergeCell ref="B166:C166"/>
    <mergeCell ref="E166:I166"/>
    <mergeCell ref="B250:C250"/>
    <mergeCell ref="E250:I250"/>
    <mergeCell ref="B180:C180"/>
    <mergeCell ref="E180:I180"/>
    <mergeCell ref="B194:C194"/>
    <mergeCell ref="E194:I194"/>
    <mergeCell ref="B208:C208"/>
    <mergeCell ref="E208:I208"/>
    <mergeCell ref="B306:C306"/>
    <mergeCell ref="E306:I306"/>
    <mergeCell ref="B320:C320"/>
    <mergeCell ref="E320:I320"/>
    <mergeCell ref="B131:C131"/>
    <mergeCell ref="E131:I131"/>
    <mergeCell ref="B264:C264"/>
    <mergeCell ref="E264:I264"/>
    <mergeCell ref="B278:C278"/>
    <mergeCell ref="E278:I278"/>
    <mergeCell ref="B292:C292"/>
    <mergeCell ref="E292:I292"/>
    <mergeCell ref="B222:C222"/>
    <mergeCell ref="E222:I222"/>
    <mergeCell ref="B236:C236"/>
    <mergeCell ref="E236:I236"/>
  </mergeCells>
  <hyperlinks>
    <hyperlink ref="I17" r:id="rId1" display="https://www.americanforests.org/wp-content/uploads/2023/10/Key-Log-Economics-Memo_Potential-Employment-Impacts-of-Reforestation-Investments-May-2020.pdf?utm_source=chatgpt.comhttps://preview-www.nature.com/articles/s41558-024-02068-1.pdf" xr:uid="{AA027DA8-73BB-45ED-AD77-472C344A13E9}"/>
    <hyperlink ref="I18" r:id="rId2" display="https://www.americanforests.org/wp-content/uploads/2023/10/Key-Log-Economics-Memo_Potential-Employment-Impacts-of-Reforestation-Investments-May-2020.pdf?utm_source=chatgpt.comhttps://preview-www.nature.com/articles/s41558-024-02068-1.pdf" xr:uid="{7100A40B-8004-4EB9-A75C-D2BE449DDFE9}"/>
    <hyperlink ref="I19" r:id="rId3" display="https://assets.publishing.service.gov.uk/media/68f8d27a0794bb80118bb764/independent-review-of-ggr.pdf" xr:uid="{3FAB5989-7162-436F-ADD1-29BDF868E3A1}"/>
    <hyperlink ref="I20" r:id="rId4" display="https://carboncredits.com/what-makes-forest-project-quality-carbon-removal-for-pachama/" xr:uid="{6823B5BA-D67F-4022-9054-D5C0DFBDA718}"/>
    <hyperlink ref="I33" r:id="rId5" display="https://assets.publishing.service.gov.uk/media/68f8d27a0794bb80118bb764/independent-review-of-ggr.pdf" xr:uid="{AB740032-CE21-4833-B7CF-5C91F357AA32}"/>
    <hyperlink ref="I31" r:id="rId6" display="https://a-us.storyblok.com/f/1020427/x/fd2f5080ab/the-benefits-of-innovation-an-assessment-of-the-economic-opportunities-of-highly-durable-carbon-dioxide-removal.pdf" xr:uid="{5D482AF2-9DEE-45B4-BF53-78254C39146F}"/>
    <hyperlink ref="I32" r:id="rId7" display="https://a-us.storyblok.com/f/1020427/x/fd2f5080ab/the-benefits-of-innovation-an-assessment-of-the-economic-opportunities-of-highly-durable-carbon-dioxide-removal.pdf" xr:uid="{8664C166-F2BB-40C2-AD2F-772F35118668}"/>
    <hyperlink ref="I49" r:id="rId8" display="https://assets.publishing.service.gov.uk/media/616ff80ce90e07197b571c95/ggr-methods-potential-deployment.pdf" xr:uid="{F550071E-526C-4D85-B448-BA20B48E834E}"/>
    <hyperlink ref="I50" r:id="rId9" display="https://assets.publishing.service.gov.uk/media/616ff80ce90e07197b571c95/ggr-methods-potential-deployment.pdf" xr:uid="{BF9518E6-382D-4D3F-9BF8-A12DAD052B48}"/>
    <hyperlink ref="I62" r:id="rId10" display="https://rmi.org/insight/scaling-technological-greenhouse-gas-removal-a-global-roadmap-to-2050/" xr:uid="{F6C177BE-527E-44CA-94FF-25875DF63609}"/>
    <hyperlink ref="I63" r:id="rId11" display="https://rmi.org/insight/scaling-technological-greenhouse-gas-removal-a-global-roadmap-to-2050/" xr:uid="{7676CC08-0ED5-4268-B1C6-C471990BC842}"/>
    <hyperlink ref="I76" r:id="rId12" display="https://rmi.org/wp-content/uploads/dlm_uploads/2023/11/applied_innovation_roadmap_CDR.pdf" xr:uid="{7EEBCBD2-992F-4771-BFE0-99B3E78459E7}"/>
    <hyperlink ref="I77" r:id="rId13" display="https://rmi.org/wp-content/uploads/dlm_uploads/2023/11/applied_innovation_roadmap_CDR.pdf" xr:uid="{83661967-889A-472C-8FB4-F33419E26453}"/>
    <hyperlink ref="I78" r:id="rId14" display="https://bber.umt.edu/pubs/forest/workforce/JournalForestryJul2016.pdf" xr:uid="{4A20EE4A-3DDB-4A37-8F22-CB290E90653E}"/>
    <hyperlink ref="I94" r:id="rId15" location=":~:text=The%20weight%20fraction%20of%20carbon,deemed%20to%20be%20less%20controversial" xr:uid="{1992A807-8F0F-4C7F-9B14-C558376ADE02}"/>
    <hyperlink ref="I95" r:id="rId16" location=":~:text=The%20weight%20fraction%20of%20carbon,deemed%20to%20be%20less%20controversial" xr:uid="{684D87A9-F431-4C9E-8DC6-912F054A1BEC}"/>
    <hyperlink ref="I105" r:id="rId17" display="https://a-us.storyblok.com/f/1020427/x/fd2f5080ab/the-benefits-of-innovation-an-assessment-of-the-economic-opportunities-of-highly-durable-carbon-dioxide-removal.pdf" xr:uid="{8F54CCCB-EACE-48DD-B095-1BB8E7D7CAB1}"/>
    <hyperlink ref="I106" r:id="rId18" display="https://a-us.storyblok.com/f/1020427/x/fd2f5080ab/the-benefits-of-innovation-an-assessment-of-the-economic-opportunities-of-highly-durable-carbon-dioxide-removal.pdf" xr:uid="{18ACAEA9-59EA-4EEE-8291-BD8D60ADBCEE}"/>
    <hyperlink ref="I107" r:id="rId19" display="https://a-us.storyblok.com/f/1020427/x/fd2f5080ab/the-benefits-of-innovation-an-assessment-of-the-economic-opportunities-of-highly-durable-carbon-dioxide-removal.pdf" xr:uid="{308E666A-A579-4D82-BF41-BAB5D672D216}"/>
    <hyperlink ref="I108" r:id="rId20" display="https://a-us.storyblok.com/f/1020427/x/fd2f5080ab/the-benefits-of-innovation-an-assessment-of-the-economic-opportunities-of-highly-durable-carbon-dioxide-removal.pdf" xr:uid="{BE9997C2-2E09-46E6-A123-29F6946563AB}"/>
    <hyperlink ref="I119" r:id="rId21" display="https://a-us.storyblok.com/f/1020427/x/fd2f5080ab/the-benefits-of-innovation-an-assessment-of-the-economic-opportunities-of-highly-durable-carbon-dioxide-removal.pdf" xr:uid="{8CF8B5F5-373C-4498-88A6-91274B851066}"/>
    <hyperlink ref="I120" r:id="rId22" display="https://a-us.storyblok.com/f/1020427/x/fd2f5080ab/the-benefits-of-innovation-an-assessment-of-the-economic-opportunities-of-highly-durable-carbon-dioxide-removal.pdf" xr:uid="{27858F9A-C949-490A-A6C4-D8AA26A2AD85}"/>
    <hyperlink ref="I121" r:id="rId23" display="https://a-us.storyblok.com/f/1020427/x/fd2f5080ab/the-benefits-of-innovation-an-assessment-of-the-economic-opportunities-of-highly-durable-carbon-dioxide-removal.pdf" xr:uid="{A95A16FF-23FB-41EE-A559-F422BC4448CF}"/>
    <hyperlink ref="I122" r:id="rId24" display="https://a-us.storyblok.com/f/1020427/x/fd2f5080ab/the-benefits-of-innovation-an-assessment-of-the-economic-opportunities-of-highly-durable-carbon-dioxide-removal.pdf" xr:uid="{7BD24756-065B-48C4-80EE-4AA672A7BD69}"/>
    <hyperlink ref="I154" r:id="rId25" display="https://rmi.org/insight/scaling-technological-greenhouse-gas-removal-a-global-roadmap-to-2050/" xr:uid="{1D8DAE30-F2D3-4796-B6B1-A2F6441CFE9A}"/>
    <hyperlink ref="I155" r:id="rId26" display="https://rmi.org/insight/scaling-technological-greenhouse-gas-removal-a-global-roadmap-to-2050/" xr:uid="{CA169C9A-F071-4DB0-A211-A32AB0C05008}"/>
    <hyperlink ref="I168" r:id="rId27" display="https://a-us.storyblok.com/f/1020427/x/fd2f5080ab/the-benefits-of-innovation-an-assessment-of-the-economic-opportunities-of-highly-durable-carbon-dioxide-removal.pdf" xr:uid="{9EA655F0-58C8-4767-BB6A-6690044BA85C}"/>
    <hyperlink ref="I169" r:id="rId28" display="https://a-us.storyblok.com/f/1020427/x/fd2f5080ab/the-benefits-of-innovation-an-assessment-of-the-economic-opportunities-of-highly-durable-carbon-dioxide-removal.pdf" xr:uid="{9CEE07C1-E267-4AEC-A2A0-90B75F18FBFF}"/>
    <hyperlink ref="I170" r:id="rId29" display="https://a-us.storyblok.com/f/1020427/x/fd2f5080ab/the-benefits-of-innovation-an-assessment-of-the-economic-opportunities-of-highly-durable-carbon-dioxide-removal.pdf" xr:uid="{A8A3EE51-0B17-42E9-90AE-BB5A38BECE9B}"/>
    <hyperlink ref="I171" r:id="rId30" display="https://a-us.storyblok.com/f/1020427/x/fd2f5080ab/the-benefits-of-innovation-an-assessment-of-the-economic-opportunities-of-highly-durable-carbon-dioxide-removal.pdf" xr:uid="{01924685-5E27-424D-8DC0-52824A2B69AF}"/>
    <hyperlink ref="I182" r:id="rId31" display="https://a-us.storyblok.com/f/1020427/x/fd2f5080ab/the-benefits-of-innovation-an-assessment-of-the-economic-opportunities-of-highly-durable-carbon-dioxide-removal.pdf" xr:uid="{6483237D-2AA8-4DB8-A4C4-CBB9E34D1A59}"/>
    <hyperlink ref="I183" r:id="rId32" display="https://a-us.storyblok.com/f/1020427/x/fd2f5080ab/the-benefits-of-innovation-an-assessment-of-the-economic-opportunities-of-highly-durable-carbon-dioxide-removal.pdf" xr:uid="{827C3E92-1AE0-4408-9FA9-A53735A24150}"/>
    <hyperlink ref="I184" r:id="rId33" display="https://a-us.storyblok.com/f/1020427/x/fd2f5080ab/the-benefits-of-innovation-an-assessment-of-the-economic-opportunities-of-highly-durable-carbon-dioxide-removal.pdf" xr:uid="{5C168C8D-F9C7-49E8-A7A9-62A7E0F8FCC8}"/>
    <hyperlink ref="I185" r:id="rId34" display="https://a-us.storyblok.com/f/1020427/x/fd2f5080ab/the-benefits-of-innovation-an-assessment-of-the-economic-opportunities-of-highly-durable-carbon-dioxide-removal.pdf" xr:uid="{CBE122BE-3929-461E-A634-C2CAA503BC26}"/>
    <hyperlink ref="I196" r:id="rId35" display="https://a-us.storyblok.com/f/1020427/x/fd2f5080ab/the-benefits-of-innovation-an-assessment-of-the-economic-opportunities-of-highly-durable-carbon-dioxide-removal.pdf" xr:uid="{93AF5B19-0383-46F8-B429-F7D29000318D}"/>
    <hyperlink ref="I197" r:id="rId36" display="https://a-us.storyblok.com/f/1020427/x/fd2f5080ab/the-benefits-of-innovation-an-assessment-of-the-economic-opportunities-of-highly-durable-carbon-dioxide-removal.pdf" xr:uid="{D9152812-0B3F-40F9-96FC-E8D35EBE65BC}"/>
    <hyperlink ref="I198" r:id="rId37" display="https://a-us.storyblok.com/f/1020427/x/fd2f5080ab/the-benefits-of-innovation-an-assessment-of-the-economic-opportunities-of-highly-durable-carbon-dioxide-removal.pdf" xr:uid="{10151E86-6A5B-482C-8DCD-272E0ED71DD1}"/>
    <hyperlink ref="I199" r:id="rId38" display="https://a-us.storyblok.com/f/1020427/x/fd2f5080ab/the-benefits-of-innovation-an-assessment-of-the-economic-opportunities-of-highly-durable-carbon-dioxide-removal.pdf" xr:uid="{882FA90D-BE59-4291-A705-F917AD954130}"/>
    <hyperlink ref="I210" r:id="rId39" display="https://a-us.storyblok.com/f/1020427/x/fd2f5080ab/the-benefits-of-innovation-an-assessment-of-the-economic-opportunities-of-highly-durable-carbon-dioxide-removal.pdf" xr:uid="{A16E0B22-8ED2-4AEC-92CB-6F02161D03DE}"/>
    <hyperlink ref="I211" r:id="rId40" display="https://a-us.storyblok.com/f/1020427/x/fd2f5080ab/the-benefits-of-innovation-an-assessment-of-the-economic-opportunities-of-highly-durable-carbon-dioxide-removal.pdf" xr:uid="{C9E1BBBF-AF0B-4821-B4C9-81344E8051F7}"/>
    <hyperlink ref="I212" r:id="rId41" display="https://a-us.storyblok.com/f/1020427/x/fd2f5080ab/the-benefits-of-innovation-an-assessment-of-the-economic-opportunities-of-highly-durable-carbon-dioxide-removal.pdf" xr:uid="{11231332-40A4-41E8-B1A6-99400C4F5419}"/>
    <hyperlink ref="I213" r:id="rId42" display="https://a-us.storyblok.com/f/1020427/x/fd2f5080ab/the-benefits-of-innovation-an-assessment-of-the-economic-opportunities-of-highly-durable-carbon-dioxide-removal.pdf" xr:uid="{4483EB26-A319-47A1-9152-1E8CFE5EACA6}"/>
    <hyperlink ref="I224" r:id="rId43" display="https://a-us.storyblok.com/f/1020427/x/fd2f5080ab/the-benefits-of-innovation-an-assessment-of-the-economic-opportunities-of-highly-durable-carbon-dioxide-removal.pdf" xr:uid="{B4286EAF-B3B5-4A56-BC8E-B5053EC43382}"/>
    <hyperlink ref="I225" r:id="rId44" display="https://a-us.storyblok.com/f/1020427/x/fd2f5080ab/the-benefits-of-innovation-an-assessment-of-the-economic-opportunities-of-highly-durable-carbon-dioxide-removal.pdf" xr:uid="{2837F689-04EA-4A76-9DAC-E5EC11CA5492}"/>
    <hyperlink ref="I226" r:id="rId45" display="https://a-us.storyblok.com/f/1020427/x/fd2f5080ab/the-benefits-of-innovation-an-assessment-of-the-economic-opportunities-of-highly-durable-carbon-dioxide-removal.pdf" xr:uid="{A1019E84-97A2-4617-8700-7B5C0AA1E872}"/>
    <hyperlink ref="I227" r:id="rId46" display="https://a-us.storyblok.com/f/1020427/x/fd2f5080ab/the-benefits-of-innovation-an-assessment-of-the-economic-opportunities-of-highly-durable-carbon-dioxide-removal.pdf" xr:uid="{EDB63208-C473-4C56-986B-C72602B44AF7}"/>
    <hyperlink ref="I238" r:id="rId47" display="https://a-us.storyblok.com/f/1020427/x/fd2f5080ab/the-benefits-of-innovation-an-assessment-of-the-economic-opportunities-of-highly-durable-carbon-dioxide-removal.pdf" xr:uid="{81912AC1-50F5-4995-AA2D-4D0F488304F1}"/>
    <hyperlink ref="I239" r:id="rId48" display="https://a-us.storyblok.com/f/1020427/x/fd2f5080ab/the-benefits-of-innovation-an-assessment-of-the-economic-opportunities-of-highly-durable-carbon-dioxide-removal.pdf" xr:uid="{8B6754F4-7CB7-4F6E-96B8-87BC79D29999}"/>
    <hyperlink ref="I240" r:id="rId49" display="https://a-us.storyblok.com/f/1020427/x/fd2f5080ab/the-benefits-of-innovation-an-assessment-of-the-economic-opportunities-of-highly-durable-carbon-dioxide-removal.pdf" xr:uid="{0EE3F7DB-320B-4D15-984B-8EDA8EA8F020}"/>
    <hyperlink ref="I241" r:id="rId50" display="https://a-us.storyblok.com/f/1020427/x/fd2f5080ab/the-benefits-of-innovation-an-assessment-of-the-economic-opportunities-of-highly-durable-carbon-dioxide-removal.pdf" xr:uid="{4AD97647-710D-4136-B7FB-B7A7828FECC7}"/>
    <hyperlink ref="I252" r:id="rId51" display="https://a-us.storyblok.com/f/1020427/x/fd2f5080ab/the-benefits-of-innovation-an-assessment-of-the-economic-opportunities-of-highly-durable-carbon-dioxide-removal.pdf" xr:uid="{95D7D410-71E0-4B71-B8CB-0384C84C040C}"/>
    <hyperlink ref="I253" r:id="rId52" display="https://a-us.storyblok.com/f/1020427/x/fd2f5080ab/the-benefits-of-innovation-an-assessment-of-the-economic-opportunities-of-highly-durable-carbon-dioxide-removal.pdf" xr:uid="{FCEB38F4-0CFF-441A-8C21-F58668738E15}"/>
    <hyperlink ref="I254" r:id="rId53" display="https://a-us.storyblok.com/f/1020427/x/fd2f5080ab/the-benefits-of-innovation-an-assessment-of-the-economic-opportunities-of-highly-durable-carbon-dioxide-removal.pdf" xr:uid="{631ACAA8-050F-40C6-B9F1-2B387804F8AA}"/>
    <hyperlink ref="I255" r:id="rId54" display="https://a-us.storyblok.com/f/1020427/x/fd2f5080ab/the-benefits-of-innovation-an-assessment-of-the-economic-opportunities-of-highly-durable-carbon-dioxide-removal.pdf" xr:uid="{D7226BA2-811B-4A0F-AE21-D7592BA5E1A9}"/>
    <hyperlink ref="I266" r:id="rId55" display="https://a-us.storyblok.com/f/1020427/x/fd2f5080ab/the-benefits-of-innovation-an-assessment-of-the-economic-opportunities-of-highly-durable-carbon-dioxide-removal.pdf" xr:uid="{4BB7098A-6F81-41EF-A2D2-C7DD9AE7B4AE}"/>
    <hyperlink ref="I267" r:id="rId56" display="https://a-us.storyblok.com/f/1020427/x/fd2f5080ab/the-benefits-of-innovation-an-assessment-of-the-economic-opportunities-of-highly-durable-carbon-dioxide-removal.pdf" xr:uid="{A18B3257-7041-4534-9435-84C474F48D38}"/>
    <hyperlink ref="I268" r:id="rId57" display="https://a-us.storyblok.com/f/1020427/x/fd2f5080ab/the-benefits-of-innovation-an-assessment-of-the-economic-opportunities-of-highly-durable-carbon-dioxide-removal.pdf" xr:uid="{76ADD49F-9368-4898-8AFE-72806726AD5E}"/>
    <hyperlink ref="I269" r:id="rId58" display="https://a-us.storyblok.com/f/1020427/x/fd2f5080ab/the-benefits-of-innovation-an-assessment-of-the-economic-opportunities-of-highly-durable-carbon-dioxide-removal.pdf" xr:uid="{5B9401F0-8D8D-42E8-A9C7-FB95E8AE8CF9}"/>
    <hyperlink ref="I280" r:id="rId59" display="https://a-us.storyblok.com/f/1020427/x/fd2f5080ab/the-benefits-of-innovation-an-assessment-of-the-economic-opportunities-of-highly-durable-carbon-dioxide-removal.pdf" xr:uid="{AB8FE6BD-10FC-4E63-9852-2832B306A933}"/>
    <hyperlink ref="I281" r:id="rId60" display="https://a-us.storyblok.com/f/1020427/x/fd2f5080ab/the-benefits-of-innovation-an-assessment-of-the-economic-opportunities-of-highly-durable-carbon-dioxide-removal.pdf" xr:uid="{7F44E82C-CDB2-4A45-AB9F-8286135A30CA}"/>
    <hyperlink ref="I282" r:id="rId61" display="https://a-us.storyblok.com/f/1020427/x/fd2f5080ab/the-benefits-of-innovation-an-assessment-of-the-economic-opportunities-of-highly-durable-carbon-dioxide-removal.pdf" xr:uid="{69A66B27-D191-44E4-B9B2-CC9DA5419040}"/>
    <hyperlink ref="I283" r:id="rId62" display="https://a-us.storyblok.com/f/1020427/x/fd2f5080ab/the-benefits-of-innovation-an-assessment-of-the-economic-opportunities-of-highly-durable-carbon-dioxide-removal.pdf" xr:uid="{00F48B83-E6C7-411C-8A44-0DBA53AA2A5A}"/>
    <hyperlink ref="I294" r:id="rId63" display="https://rmi.org/insight/scaling-technological-greenhouse-gas-removal-a-global-roadmap-to-2050/" xr:uid="{9D146767-16F7-4A51-B988-30A38FF41BD7}"/>
    <hyperlink ref="I295" r:id="rId64" display="https://rmi.org/insight/scaling-technological-greenhouse-gas-removal-a-global-roadmap-to-2050/" xr:uid="{CAA33197-CBC0-4DC2-9E10-40987CB647D4}"/>
    <hyperlink ref="I308" r:id="rId65" display="https://rmi.org/insight/scaling-technological-greenhouse-gas-removal-a-global-roadmap-to-2050/" xr:uid="{FEAFD592-DDE5-4072-A016-277CB3CB5F0A}"/>
    <hyperlink ref="I309" r:id="rId66" display="https://rmi.org/insight/scaling-technological-greenhouse-gas-removal-a-global-roadmap-to-2050/" xr:uid="{8CCB7E0F-42F8-448E-A7DA-ABE7174481F5}"/>
    <hyperlink ref="I322" r:id="rId67" display="https://a-us.storyblok.com/f/1020427/x/fd2f5080ab/the-benefits-of-innovation-an-assessment-of-the-economic-opportunities-of-highly-durable-carbon-dioxide-removal.pdf" xr:uid="{B89F7E38-268D-4139-80AF-3419A8854C78}"/>
    <hyperlink ref="I323" r:id="rId68" display="https://a-us.storyblok.com/f/1020427/x/fd2f5080ab/the-benefits-of-innovation-an-assessment-of-the-economic-opportunities-of-highly-durable-carbon-dioxide-removal.pdf" xr:uid="{043B54D1-8C63-4A55-89F6-87B4737C8F3A}"/>
    <hyperlink ref="I324" r:id="rId69" display="https://a-us.storyblok.com/f/1020427/x/fd2f5080ab/the-benefits-of-innovation-an-assessment-of-the-economic-opportunities-of-highly-durable-carbon-dioxide-removal.pdf" xr:uid="{1441706C-8F69-45F6-9712-E72AC1CCFC07}"/>
    <hyperlink ref="I325" r:id="rId70" display="https://a-us.storyblok.com/f/1020427/x/fd2f5080ab/the-benefits-of-innovation-an-assessment-of-the-economic-opportunities-of-highly-durable-carbon-dioxide-removal.pdf" xr:uid="{3B7D8D0B-BB82-4040-A042-11A8AA782B11}"/>
    <hyperlink ref="I133" r:id="rId71" display="https://docs.nrel.gov/docs/fy16osti/64772.pdf" xr:uid="{8AE97853-01A9-4133-BEE9-1021189E52F9}"/>
    <hyperlink ref="I136" r:id="rId72" location=":~:text=The%20weight%20fraction%20of%20carbon,deemed%20to%20be%20less%20controversial" xr:uid="{8121B49E-EA90-4708-ACF3-32628CED66BB}"/>
    <hyperlink ref="I137" r:id="rId73" location=":~:text=The%20weight%20fraction%20of%20carbon,deemed%20to%20be%20less%20controversial" xr:uid="{F579E2A5-9228-4A30-B490-C104CC593FDC}"/>
    <hyperlink ref="I47" r:id="rId74" xr:uid="{A0DEFE2D-30A9-4C64-938C-C6211835D2D2}"/>
    <hyperlink ref="I48" r:id="rId75" xr:uid="{5480727F-254E-474C-A009-968480BFFAF5}"/>
    <hyperlink ref="I90" r:id="rId76" xr:uid="{30E7CC1B-3420-4422-8774-153A95338982}"/>
    <hyperlink ref="I91" r:id="rId77" xr:uid="{924E6E0C-FE37-4395-A125-B2E323F5C264}"/>
  </hyperlinks>
  <pageMargins left="0.7" right="0.7" top="0.75" bottom="0.75" header="0.3" footer="0.3"/>
  <drawing r:id="rId7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65A2D25AEA9304AAFD8C49346BC90ED" ma:contentTypeVersion="21" ma:contentTypeDescription="Create a new document." ma:contentTypeScope="" ma:versionID="e8d72c732991a623214f9bfd6d9cc7ac">
  <xsd:schema xmlns:xsd="http://www.w3.org/2001/XMLSchema" xmlns:xs="http://www.w3.org/2001/XMLSchema" xmlns:p="http://schemas.microsoft.com/office/2006/metadata/properties" xmlns:ns1="http://schemas.microsoft.com/sharepoint/v3" xmlns:ns2="89755542-b848-4b3c-b55e-53b440191046" xmlns:ns3="edaa3f65-a4bc-4798-8342-1877022639e4" xmlns:ns4="a1df9832-fa29-4d0b-8301-c5ccf72ca850" targetNamespace="http://schemas.microsoft.com/office/2006/metadata/properties" ma:root="true" ma:fieldsID="4a78bb0bb0ceb74bed98def14bccbbff" ns1:_="" ns2:_="" ns3:_="" ns4:_="">
    <xsd:import namespace="http://schemas.microsoft.com/sharepoint/v3"/>
    <xsd:import namespace="89755542-b848-4b3c-b55e-53b440191046"/>
    <xsd:import namespace="edaa3f65-a4bc-4798-8342-1877022639e4"/>
    <xsd:import namespace="a1df9832-fa29-4d0b-8301-c5ccf72ca85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4:TaxCatchAll" minOccurs="0"/>
                <xsd:element ref="ns2:MediaServiceObjectDetectorVersions" minOccurs="0"/>
                <xsd:element ref="ns2:MediaServiceOCR" minOccurs="0"/>
                <xsd:element ref="ns2:MediaServiceGenerationTime" minOccurs="0"/>
                <xsd:element ref="ns2:MediaServiceEventHashCode" minOccurs="0"/>
                <xsd:element ref="ns2:lcf76f155ced4ddcb4097134ff3c332f" minOccurs="0"/>
                <xsd:element ref="ns2:Notes" minOccurs="0"/>
                <xsd:element ref="ns2:MediaServiceDateTaken" minOccurs="0"/>
                <xsd:element ref="ns2:MediaLengthInSeconds" minOccurs="0"/>
                <xsd:element ref="ns2:MediaServiceSearchProperties" minOccurs="0"/>
                <xsd:element ref="ns1:_ip_UnifiedCompliancePolicyProperties" minOccurs="0"/>
                <xsd:element ref="ns1:_ip_UnifiedCompliancePolicyUIAction"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755542-b848-4b3c-b55e-53b4401910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8ca830c-a034-4168-b956-d7763e68b615" ma:termSetId="09814cd3-568e-fe90-9814-8d621ff8fb84" ma:anchorId="fba54fb3-c3e1-fe81-a776-ca4b69148c4d" ma:open="true" ma:isKeyword="false">
      <xsd:complexType>
        <xsd:sequence>
          <xsd:element ref="pc:Terms" minOccurs="0" maxOccurs="1"/>
        </xsd:sequence>
      </xsd:complexType>
    </xsd:element>
    <xsd:element name="Notes" ma:index="19" nillable="true" ma:displayName="Notes" ma:format="Dropdown" ma:internalName="Notes">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aa3f65-a4bc-4798-8342-1877022639e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df9832-fa29-4d0b-8301-c5ccf72ca85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c3dd968-0126-4d7c-8cc6-a3b40c886937}" ma:internalName="TaxCatchAll" ma:showField="CatchAllData" ma:web="edaa3f65-a4bc-4798-8342-1877022639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9755542-b848-4b3c-b55e-53b440191046">
      <Terms xmlns="http://schemas.microsoft.com/office/infopath/2007/PartnerControls"/>
    </lcf76f155ced4ddcb4097134ff3c332f>
    <TaxCatchAll xmlns="a1df9832-fa29-4d0b-8301-c5ccf72ca850" xsi:nil="true"/>
    <Notes xmlns="89755542-b848-4b3c-b55e-53b440191046"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F5B399B-F242-4EBC-8840-FEDF1FF3DB40}"/>
</file>

<file path=customXml/itemProps2.xml><?xml version="1.0" encoding="utf-8"?>
<ds:datastoreItem xmlns:ds="http://schemas.openxmlformats.org/officeDocument/2006/customXml" ds:itemID="{96BE7B6A-D034-4D9C-87A8-F79779694223}"/>
</file>

<file path=customXml/itemProps3.xml><?xml version="1.0" encoding="utf-8"?>
<ds:datastoreItem xmlns:ds="http://schemas.openxmlformats.org/officeDocument/2006/customXml" ds:itemID="{42E277B4-4FF0-4387-BBB3-84F15246860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2025-12-04T14:36:29Z</dcterms:created>
  <dcterms:modified xsi:type="dcterms:W3CDTF">2026-01-30T19:02:26Z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0x010100465A2D25AEA9304AAFD8C49346BC90ED</vt:lpwstr>
  </property>
  <property fmtid="{D5CDD505-2E9C-101B-9397-08002B2CF9AE}" pid="3" name="MediaServiceImageTags">
    <vt:lpwstr/>
  </property>
</Properties>
</file>