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5.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defaultThemeVersion="166925"/>
  <mc:AlternateContent xmlns:mc="http://schemas.openxmlformats.org/markup-compatibility/2006">
    <mc:Choice Requires="x15">
      <x15ac:absPath xmlns:x15ac="http://schemas.microsoft.com/office/spreadsheetml/2010/11/ac" url="https://rockmtnins.sharepoint.com/sites/ClimateAlignedIndustries/CDR/Workstreams/Policy/Readiness Dashboard/"/>
    </mc:Choice>
  </mc:AlternateContent>
  <xr:revisionPtr revIDLastSave="0" documentId="8_{368A7750-4D13-45AF-9FF1-1F21BC9F8E6F}" xr6:coauthVersionLast="47" xr6:coauthVersionMax="47" xr10:uidLastSave="{00000000-0000-0000-0000-000000000000}"/>
  <bookViews>
    <workbookView xWindow="-110" yWindow="-110" windowWidth="19420" windowHeight="11500" firstSheet="15" activeTab="15" xr2:uid="{B403461C-EFEF-F646-B8DA-BE7515DB8F0E}"/>
  </bookViews>
  <sheets>
    <sheet name="READ ME" sheetId="19" r:id="rId1"/>
    <sheet name="Data Summary" sheetId="29" r:id="rId2"/>
    <sheet name="Metric Metadata" sheetId="9" r:id="rId3"/>
    <sheet name="Metric Categories 1-14" sheetId="7" r:id="rId4"/>
    <sheet name="15. Workforce Calcs" sheetId="26" r:id="rId5"/>
    <sheet name="16. Existing HQs and Projects" sheetId="27" r:id="rId6"/>
    <sheet name="Direct Air Capture" sheetId="18" r:id="rId7"/>
    <sheet name="Direct Ocean Capture" sheetId="20" r:id="rId8"/>
    <sheet name="Ocean Geochemical CDR" sheetId="21" r:id="rId9"/>
    <sheet name="Carbon mineralization" sheetId="17" r:id="rId10"/>
    <sheet name="Terrestrial Enhanced Weathering" sheetId="22" r:id="rId11"/>
    <sheet name="Ocean Biomass CDR" sheetId="23" r:id="rId12"/>
    <sheet name="Terrestrial Biomass CDR" sheetId="24" r:id="rId13"/>
    <sheet name="Bioenergy + CCS" sheetId="25" r:id="rId14"/>
    <sheet name="State Resources" sheetId="31" r:id="rId15"/>
    <sheet name="Approach Resources" sheetId="32" r:id="rId16"/>
    <sheet name="ADMIN" sheetId="30" r:id="rId17"/>
  </sheets>
  <externalReferences>
    <externalReference r:id="rId18"/>
  </externalReferences>
  <definedNames>
    <definedName name="_xlnm._FilterDatabase" localSheetId="2" hidden="1">'Metric Metadata'!$A$4:$R$91</definedName>
    <definedName name="_xlchart.v5.0" hidden="1">'Direct Air Capture'!$A$6</definedName>
    <definedName name="_xlchart.v5.1" hidden="1">'Direct Air Capture'!$A$7:$A$56</definedName>
    <definedName name="_xlchart.v5.10" hidden="1">'[1]Direct Ocean Capture'!$H$6</definedName>
    <definedName name="_xlchart.v5.11" hidden="1">'[1]Direct Ocean Capture'!$H$7:$H$57</definedName>
    <definedName name="_xlchart.v5.12" hidden="1">'[1]Direct Ocean Capture'!$A$6</definedName>
    <definedName name="_xlchart.v5.13" hidden="1">'[1]Direct Ocean Capture'!$A$7:$A$57</definedName>
    <definedName name="_xlchart.v5.14" hidden="1">'[1]Direct Ocean Capture'!$H$6</definedName>
    <definedName name="_xlchart.v5.15" hidden="1">'[1]Direct Ocean Capture'!$H$7:$H$57</definedName>
    <definedName name="_xlchart.v5.16" hidden="1">'[1]Direct Ocean Capture'!$A$6</definedName>
    <definedName name="_xlchart.v5.17" hidden="1">'[1]Direct Ocean Capture'!$A$7:$A$57</definedName>
    <definedName name="_xlchart.v5.18" hidden="1">'[1]Direct Ocean Capture'!$Q$6</definedName>
    <definedName name="_xlchart.v5.19" hidden="1">'[1]Direct Ocean Capture'!$Q$7:$Q$57</definedName>
    <definedName name="_xlchart.v5.2" hidden="1">'Direct Air Capture'!$G$6</definedName>
    <definedName name="_xlchart.v5.20" hidden="1">'Direct Ocean Capture'!$A$6</definedName>
    <definedName name="_xlchart.v5.21" hidden="1">'Direct Ocean Capture'!$A$7:$A$56</definedName>
    <definedName name="_xlchart.v5.22" hidden="1">'Direct Ocean Capture'!$O$6</definedName>
    <definedName name="_xlchart.v5.23" hidden="1">'Direct Ocean Capture'!$O$7:$O$56</definedName>
    <definedName name="_xlchart.v5.24" hidden="1">'Direct Ocean Capture'!$A$6</definedName>
    <definedName name="_xlchart.v5.25" hidden="1">'Direct Ocean Capture'!$A$7:$A$56</definedName>
    <definedName name="_xlchart.v5.26" hidden="1">'Direct Ocean Capture'!$F$6</definedName>
    <definedName name="_xlchart.v5.27" hidden="1">'Direct Ocean Capture'!$F$7:$F$56</definedName>
    <definedName name="_xlchart.v5.28" hidden="1">'[1]Direct Ocean Capture'!$A$6</definedName>
    <definedName name="_xlchart.v5.29" hidden="1">'[1]Direct Ocean Capture'!$A$7:$A$57</definedName>
    <definedName name="_xlchart.v5.3" hidden="1">'Direct Air Capture'!$G$7:$G$56</definedName>
    <definedName name="_xlchart.v5.30" hidden="1">'[1]Direct Ocean Capture'!$H$6</definedName>
    <definedName name="_xlchart.v5.31" hidden="1">'[1]Direct Ocean Capture'!$H$7:$H$57</definedName>
    <definedName name="_xlchart.v5.32" hidden="1">'[1]Direct Ocean Capture'!$A$6</definedName>
    <definedName name="_xlchart.v5.33" hidden="1">'[1]Direct Ocean Capture'!$A$7:$A$57</definedName>
    <definedName name="_xlchart.v5.34" hidden="1">'[1]Direct Ocean Capture'!$Q$6</definedName>
    <definedName name="_xlchart.v5.35" hidden="1">'[1]Direct Ocean Capture'!$Q$7:$Q$57</definedName>
    <definedName name="_xlchart.v5.36" hidden="1">'Ocean Geochemical CDR'!$A$6</definedName>
    <definedName name="_xlchart.v5.37" hidden="1">'Ocean Geochemical CDR'!$A$7:$A$56</definedName>
    <definedName name="_xlchart.v5.38" hidden="1">'Ocean Geochemical CDR'!$M$6</definedName>
    <definedName name="_xlchart.v5.39" hidden="1">'Ocean Geochemical CDR'!$M$7:$M$56</definedName>
    <definedName name="_xlchart.v5.4" hidden="1">'Direct Air Capture'!$A$6</definedName>
    <definedName name="_xlchart.v5.40" hidden="1">'Ocean Geochemical CDR'!$A$6</definedName>
    <definedName name="_xlchart.v5.41" hidden="1">'Ocean Geochemical CDR'!$A$7:$A$56</definedName>
    <definedName name="_xlchart.v5.42" hidden="1">'Ocean Geochemical CDR'!$F$6</definedName>
    <definedName name="_xlchart.v5.43" hidden="1">'Ocean Geochemical CDR'!$F$7:$F$56</definedName>
    <definedName name="_xlchart.v5.44" hidden="1">'Carbon mineralization'!$A$6</definedName>
    <definedName name="_xlchart.v5.45" hidden="1">'Carbon mineralization'!$A$7:$A$56</definedName>
    <definedName name="_xlchart.v5.46" hidden="1">'Carbon mineralization'!$F$6</definedName>
    <definedName name="_xlchart.v5.47" hidden="1">'Carbon mineralization'!$F$7:$F$56</definedName>
    <definedName name="_xlchart.v5.48" hidden="1">'Carbon mineralization'!$A$6</definedName>
    <definedName name="_xlchart.v5.49" hidden="1">'Carbon mineralization'!$A$7:$A$56</definedName>
    <definedName name="_xlchart.v5.5" hidden="1">'Direct Air Capture'!$A$7:$A$56</definedName>
    <definedName name="_xlchart.v5.50" hidden="1">'Carbon mineralization'!$N$6</definedName>
    <definedName name="_xlchart.v5.51" hidden="1">'Carbon mineralization'!$N$7:$N$56</definedName>
    <definedName name="_xlchart.v5.52" hidden="1">'Terrestrial Enhanced Weathering'!$A$6</definedName>
    <definedName name="_xlchart.v5.53" hidden="1">'Terrestrial Enhanced Weathering'!$A$7:$A$56</definedName>
    <definedName name="_xlchart.v5.54" hidden="1">'Terrestrial Enhanced Weathering'!$L$6</definedName>
    <definedName name="_xlchart.v5.55" hidden="1">'Terrestrial Enhanced Weathering'!$L$7:$L$56</definedName>
    <definedName name="_xlchart.v5.56" hidden="1">'Terrestrial Enhanced Weathering'!$A$6</definedName>
    <definedName name="_xlchart.v5.57" hidden="1">'Terrestrial Enhanced Weathering'!$A$7:$A$56</definedName>
    <definedName name="_xlchart.v5.58" hidden="1">'Terrestrial Enhanced Weathering'!$F$6</definedName>
    <definedName name="_xlchart.v5.59" hidden="1">'Terrestrial Enhanced Weathering'!$F$7:$F$56</definedName>
    <definedName name="_xlchart.v5.6" hidden="1">'Direct Air Capture'!$N$6</definedName>
    <definedName name="_xlchart.v5.60" hidden="1">'Ocean Biomass CDR'!$A$6</definedName>
    <definedName name="_xlchart.v5.61" hidden="1">'Ocean Biomass CDR'!$A$7:$A$56</definedName>
    <definedName name="_xlchart.v5.62" hidden="1">'Ocean Biomass CDR'!$L$6</definedName>
    <definedName name="_xlchart.v5.63" hidden="1">'Ocean Biomass CDR'!$L$7:$L$56</definedName>
    <definedName name="_xlchart.v5.64" hidden="1">'Ocean Biomass CDR'!$A$6</definedName>
    <definedName name="_xlchart.v5.65" hidden="1">'Ocean Biomass CDR'!$A$7:$A$56</definedName>
    <definedName name="_xlchart.v5.66" hidden="1">'Ocean Biomass CDR'!$F$6</definedName>
    <definedName name="_xlchart.v5.67" hidden="1">'Ocean Biomass CDR'!$F$7:$F$56</definedName>
    <definedName name="_xlchart.v5.68" hidden="1">'Terrestrial Biomass CDR'!$A$6</definedName>
    <definedName name="_xlchart.v5.69" hidden="1">'Terrestrial Biomass CDR'!$A$7:$A$56</definedName>
    <definedName name="_xlchart.v5.7" hidden="1">'Direct Air Capture'!$N$7:$N$56</definedName>
    <definedName name="_xlchart.v5.70" hidden="1">'Terrestrial Biomass CDR'!$M$6</definedName>
    <definedName name="_xlchart.v5.71" hidden="1">'Terrestrial Biomass CDR'!$M$7:$M$56</definedName>
    <definedName name="_xlchart.v5.72" hidden="1">'Terrestrial Biomass CDR'!$A$6</definedName>
    <definedName name="_xlchart.v5.73" hidden="1">'Terrestrial Biomass CDR'!$A$7:$A$56</definedName>
    <definedName name="_xlchart.v5.74" hidden="1">'Terrestrial Biomass CDR'!$G$6</definedName>
    <definedName name="_xlchart.v5.75" hidden="1">'Terrestrial Biomass CDR'!$G$7:$G$56</definedName>
    <definedName name="_xlchart.v5.76" hidden="1">'Bioenergy + CCS'!$A$6</definedName>
    <definedName name="_xlchart.v5.77" hidden="1">'Bioenergy + CCS'!$A$7:$A$56</definedName>
    <definedName name="_xlchart.v5.78" hidden="1">'Bioenergy + CCS'!$G$6</definedName>
    <definedName name="_xlchart.v5.79" hidden="1">'Bioenergy + CCS'!$G$7:$G$56</definedName>
    <definedName name="_xlchart.v5.8" hidden="1">'[1]Direct Ocean Capture'!$A$6</definedName>
    <definedName name="_xlchart.v5.80" hidden="1">'Bioenergy + CCS'!$A$6</definedName>
    <definedName name="_xlchart.v5.81" hidden="1">'Bioenergy + CCS'!$A$7:$A$56</definedName>
    <definedName name="_xlchart.v5.82" hidden="1">'Bioenergy + CCS'!$N$6</definedName>
    <definedName name="_xlchart.v5.83" hidden="1">'Bioenergy + CCS'!$N$7:$N$56</definedName>
    <definedName name="_xlchart.v5.9" hidden="1">'[1]Direct Ocean Capture'!$A$7:$A$57</definedName>
    <definedName name="states">ADMIN!$B$4:$B$53</definedName>
    <definedName name="YM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 i="7" l="1"/>
  <c r="L8" i="7"/>
  <c r="EF8" i="7"/>
  <c r="EG8" i="7" a="1"/>
  <c r="EG8" i="7"/>
  <c r="FF60" i="7"/>
  <c r="FF59" i="7"/>
  <c r="DG6" i="7"/>
  <c r="DE6" i="7"/>
  <c r="DC6" i="7"/>
  <c r="DF61" i="7"/>
  <c r="DG20" i="7" s="1" a="1"/>
  <c r="DG20" i="7" s="1"/>
  <c r="DF60" i="7"/>
  <c r="CK6" i="7"/>
  <c r="AD11" i="26"/>
  <c r="AD12" i="26"/>
  <c r="AD13" i="26"/>
  <c r="AD14" i="26"/>
  <c r="AD15" i="26"/>
  <c r="AD16" i="26"/>
  <c r="AD17" i="26"/>
  <c r="AD18" i="26"/>
  <c r="AD19" i="26"/>
  <c r="AD20" i="26"/>
  <c r="AD21" i="26"/>
  <c r="AD22" i="26"/>
  <c r="AD23" i="26"/>
  <c r="AD24" i="26"/>
  <c r="AD25" i="26"/>
  <c r="AD26" i="26"/>
  <c r="AD27" i="26"/>
  <c r="AD28" i="26"/>
  <c r="AD29" i="26"/>
  <c r="AD30" i="26"/>
  <c r="AD31" i="26"/>
  <c r="AD32" i="26"/>
  <c r="AD33" i="26"/>
  <c r="AD34" i="26"/>
  <c r="AD35" i="26"/>
  <c r="AD36" i="26"/>
  <c r="AD37" i="26"/>
  <c r="AD38" i="26"/>
  <c r="AD39" i="26"/>
  <c r="AD40" i="26"/>
  <c r="AD41" i="26"/>
  <c r="AD42" i="26"/>
  <c r="AD43" i="26"/>
  <c r="AD44" i="26"/>
  <c r="AD45" i="26"/>
  <c r="AD46" i="26"/>
  <c r="AD47" i="26"/>
  <c r="AD48" i="26"/>
  <c r="AD49" i="26"/>
  <c r="AD50" i="26"/>
  <c r="AD51" i="26"/>
  <c r="AD52" i="26"/>
  <c r="AD53" i="26"/>
  <c r="AD54" i="26"/>
  <c r="AD55" i="26"/>
  <c r="AD56" i="26"/>
  <c r="AD57" i="26"/>
  <c r="AD58" i="26"/>
  <c r="AD59" i="26"/>
  <c r="AD10" i="26"/>
  <c r="CI60" i="7"/>
  <c r="CI61" i="7"/>
  <c r="F5" i="20"/>
  <c r="FG21" i="7" l="1" a="1"/>
  <c r="FG21" i="7" s="1"/>
  <c r="FG53" i="7" a="1"/>
  <c r="FG53" i="7" s="1"/>
  <c r="FG48" i="7" a="1"/>
  <c r="FG48" i="7" s="1"/>
  <c r="FG39" i="7" a="1"/>
  <c r="FG39" i="7" s="1"/>
  <c r="FG30" i="7" a="1"/>
  <c r="FG30" i="7" s="1"/>
  <c r="FG25" i="7" a="1"/>
  <c r="FG25" i="7" s="1"/>
  <c r="FG20" i="7" a="1"/>
  <c r="FG20" i="7" s="1"/>
  <c r="FG16" i="7" a="1"/>
  <c r="FG16" i="7" s="1"/>
  <c r="FG13" i="7" a="1"/>
  <c r="FG13" i="7" s="1"/>
  <c r="FG9" i="7" a="1"/>
  <c r="FG9" i="7" s="1"/>
  <c r="FG57" i="7" a="1"/>
  <c r="FG57" i="7" s="1"/>
  <c r="FG52" i="7" a="1"/>
  <c r="FG52" i="7" s="1"/>
  <c r="FG43" i="7" a="1"/>
  <c r="FG43" i="7" s="1"/>
  <c r="FG34" i="7" a="1"/>
  <c r="FG34" i="7" s="1"/>
  <c r="FG24" i="7" a="1"/>
  <c r="FG24" i="7" s="1"/>
  <c r="FG56" i="7" a="1"/>
  <c r="FG56" i="7" s="1"/>
  <c r="FG47" i="7" a="1"/>
  <c r="FG47" i="7" s="1"/>
  <c r="FG38" i="7" a="1"/>
  <c r="FG38" i="7" s="1"/>
  <c r="FG29" i="7" a="1"/>
  <c r="FG29" i="7" s="1"/>
  <c r="FG19" i="7" a="1"/>
  <c r="FG19" i="7" s="1"/>
  <c r="FG12" i="7" a="1"/>
  <c r="FG12" i="7" s="1"/>
  <c r="FG51" i="7" a="1"/>
  <c r="FG51" i="7" s="1"/>
  <c r="FG42" i="7" a="1"/>
  <c r="FG42" i="7" s="1"/>
  <c r="FG33" i="7" a="1"/>
  <c r="FG33" i="7" s="1"/>
  <c r="FG28" i="7" a="1"/>
  <c r="FG28" i="7" s="1"/>
  <c r="FG23" i="7" a="1"/>
  <c r="FG23" i="7" s="1"/>
  <c r="FG50" i="7" a="1"/>
  <c r="FG50" i="7" s="1"/>
  <c r="FG41" i="7" a="1"/>
  <c r="FG41" i="7" s="1"/>
  <c r="FG36" i="7" a="1"/>
  <c r="FG36" i="7" s="1"/>
  <c r="FG27" i="7" a="1"/>
  <c r="FG27" i="7" s="1"/>
  <c r="FG22" i="7" a="1"/>
  <c r="FG22" i="7" s="1"/>
  <c r="FG55" i="7" a="1"/>
  <c r="FG55" i="7" s="1"/>
  <c r="FG46" i="7" a="1"/>
  <c r="FG46" i="7" s="1"/>
  <c r="FG37" i="7" a="1"/>
  <c r="FG37" i="7" s="1"/>
  <c r="FG32" i="7" a="1"/>
  <c r="FG32" i="7" s="1"/>
  <c r="FG18" i="7" a="1"/>
  <c r="FG18" i="7" s="1"/>
  <c r="FG15" i="7" a="1"/>
  <c r="FG15" i="7" s="1"/>
  <c r="FG11" i="7" a="1"/>
  <c r="FG11" i="7" s="1"/>
  <c r="FG54" i="7" a="1"/>
  <c r="FG54" i="7" s="1"/>
  <c r="FG45" i="7" a="1"/>
  <c r="FG45" i="7" s="1"/>
  <c r="FG40" i="7" a="1"/>
  <c r="FG40" i="7" s="1"/>
  <c r="FG31" i="7" a="1"/>
  <c r="FG31" i="7" s="1"/>
  <c r="FG26" i="7" a="1"/>
  <c r="FG26" i="7" s="1"/>
  <c r="FG17" i="7" a="1"/>
  <c r="FG17" i="7" s="1"/>
  <c r="FG14" i="7" a="1"/>
  <c r="FG14" i="7" s="1"/>
  <c r="FG10" i="7" a="1"/>
  <c r="FG10" i="7" s="1"/>
  <c r="FG8" i="7" a="1"/>
  <c r="FG8" i="7" s="1"/>
  <c r="FG49" i="7" a="1"/>
  <c r="FG49" i="7" s="1"/>
  <c r="FG44" i="7" a="1"/>
  <c r="FG44" i="7" s="1"/>
  <c r="FG35" i="7" a="1"/>
  <c r="FG35" i="7" s="1"/>
  <c r="DH6" i="7"/>
  <c r="DG12" i="7" a="1"/>
  <c r="DG12" i="7" s="1"/>
  <c r="DG22" i="7" a="1"/>
  <c r="DG22" i="7" s="1"/>
  <c r="DG55" i="7" a="1"/>
  <c r="DG55" i="7" s="1"/>
  <c r="DG51" i="7" a="1"/>
  <c r="DG51" i="7" s="1"/>
  <c r="DG47" i="7" a="1"/>
  <c r="DG47" i="7" s="1"/>
  <c r="DG43" i="7" a="1"/>
  <c r="DG43" i="7" s="1"/>
  <c r="DG39" i="7" a="1"/>
  <c r="DG39" i="7" s="1"/>
  <c r="DG35" i="7" a="1"/>
  <c r="DG35" i="7" s="1"/>
  <c r="DG31" i="7" a="1"/>
  <c r="DG31" i="7" s="1"/>
  <c r="DG27" i="7" a="1"/>
  <c r="DG27" i="7" s="1"/>
  <c r="DG23" i="7" a="1"/>
  <c r="DG23" i="7" s="1"/>
  <c r="DG19" i="7" a="1"/>
  <c r="DG19" i="7" s="1"/>
  <c r="DG18" i="7" a="1"/>
  <c r="DG18" i="7" s="1"/>
  <c r="DG15" i="7" a="1"/>
  <c r="DG15" i="7" s="1"/>
  <c r="DG11" i="7" a="1"/>
  <c r="DG11" i="7" s="1"/>
  <c r="DG8" i="7" a="1"/>
  <c r="DG8" i="7" s="1"/>
  <c r="DG54" i="7" a="1"/>
  <c r="DG54" i="7" s="1"/>
  <c r="DG50" i="7" a="1"/>
  <c r="DG50" i="7" s="1"/>
  <c r="DG46" i="7" a="1"/>
  <c r="DG46" i="7" s="1"/>
  <c r="DG42" i="7" a="1"/>
  <c r="DG42" i="7" s="1"/>
  <c r="DG38" i="7" a="1"/>
  <c r="DG38" i="7" s="1"/>
  <c r="DG34" i="7" a="1"/>
  <c r="DG34" i="7" s="1"/>
  <c r="DG30" i="7" a="1"/>
  <c r="DG30" i="7" s="1"/>
  <c r="DG26" i="7" a="1"/>
  <c r="DG26" i="7" s="1"/>
  <c r="DG17" i="7" a="1"/>
  <c r="DG17" i="7" s="1"/>
  <c r="DG14" i="7" a="1"/>
  <c r="DG14" i="7" s="1"/>
  <c r="DG10" i="7" a="1"/>
  <c r="DG10" i="7" s="1"/>
  <c r="DG57" i="7" a="1"/>
  <c r="DG57" i="7" s="1"/>
  <c r="DG53" i="7" a="1"/>
  <c r="DG53" i="7" s="1"/>
  <c r="DG49" i="7" a="1"/>
  <c r="DG49" i="7" s="1"/>
  <c r="DG45" i="7" a="1"/>
  <c r="DG45" i="7" s="1"/>
  <c r="DG41" i="7" a="1"/>
  <c r="DG41" i="7" s="1"/>
  <c r="DG37" i="7" a="1"/>
  <c r="DG37" i="7" s="1"/>
  <c r="DG33" i="7" a="1"/>
  <c r="DG33" i="7" s="1"/>
  <c r="DG29" i="7" a="1"/>
  <c r="DG29" i="7" s="1"/>
  <c r="DG25" i="7" a="1"/>
  <c r="DG25" i="7" s="1"/>
  <c r="DG21" i="7" a="1"/>
  <c r="DG21" i="7" s="1"/>
  <c r="DG16" i="7" a="1"/>
  <c r="DG16" i="7" s="1"/>
  <c r="DG13" i="7" a="1"/>
  <c r="DG13" i="7" s="1"/>
  <c r="DG9" i="7" a="1"/>
  <c r="DG9" i="7" s="1"/>
  <c r="DG56" i="7" a="1"/>
  <c r="DG56" i="7" s="1"/>
  <c r="DG52" i="7" a="1"/>
  <c r="DG52" i="7" s="1"/>
  <c r="DG48" i="7" a="1"/>
  <c r="DG48" i="7" s="1"/>
  <c r="DG44" i="7" a="1"/>
  <c r="DG44" i="7" s="1"/>
  <c r="DG40" i="7" a="1"/>
  <c r="DG40" i="7" s="1"/>
  <c r="DG36" i="7" a="1"/>
  <c r="DG36" i="7" s="1"/>
  <c r="DG32" i="7" a="1"/>
  <c r="DG32" i="7" s="1"/>
  <c r="DG28" i="7" a="1"/>
  <c r="DG28" i="7" s="1"/>
  <c r="DG24" i="7" a="1"/>
  <c r="DG24" i="7" s="1"/>
  <c r="CJ30" i="7" a="1"/>
  <c r="CJ30" i="7" s="1"/>
  <c r="CJ17" i="7" a="1"/>
  <c r="CJ17" i="7" s="1"/>
  <c r="CJ48" i="7" a="1"/>
  <c r="CJ48" i="7" s="1"/>
  <c r="CJ55" i="7" a="1"/>
  <c r="CJ55" i="7" s="1"/>
  <c r="CJ29" i="7" a="1"/>
  <c r="CJ29" i="7" s="1"/>
  <c r="CJ49" i="7" a="1"/>
  <c r="CJ49" i="7" s="1"/>
  <c r="CJ23" i="7" a="1"/>
  <c r="CJ23" i="7" s="1"/>
  <c r="CJ22" i="7" a="1"/>
  <c r="CJ22" i="7" s="1"/>
  <c r="CJ37" i="7" a="1"/>
  <c r="CJ37" i="7" s="1"/>
  <c r="CJ14" i="7" a="1"/>
  <c r="CJ14" i="7" s="1"/>
  <c r="CJ42" i="7" a="1"/>
  <c r="CJ42" i="7" s="1"/>
  <c r="CJ36" i="7" a="1"/>
  <c r="CJ36" i="7" s="1"/>
  <c r="CJ56" i="7" a="1"/>
  <c r="CJ56" i="7" s="1"/>
  <c r="CJ54" i="7" a="1"/>
  <c r="CJ54" i="7" s="1"/>
  <c r="CJ46" i="7" a="1"/>
  <c r="CJ46" i="7" s="1"/>
  <c r="CJ11" i="7" a="1"/>
  <c r="CJ11" i="7" s="1"/>
  <c r="CJ13" i="7" a="1"/>
  <c r="CJ13" i="7" s="1"/>
  <c r="CJ47" i="7" a="1"/>
  <c r="CJ47" i="7" s="1"/>
  <c r="CJ41" i="7" a="1"/>
  <c r="CJ41" i="7" s="1"/>
  <c r="CJ35" i="7" a="1"/>
  <c r="CJ35" i="7" s="1"/>
  <c r="CJ28" i="7" a="1"/>
  <c r="CJ28" i="7" s="1"/>
  <c r="CJ20" i="7" a="1"/>
  <c r="CJ20" i="7" s="1"/>
  <c r="CJ12" i="7" a="1"/>
  <c r="CJ12" i="7" s="1"/>
  <c r="CJ53" i="7" a="1"/>
  <c r="CJ53" i="7" s="1"/>
  <c r="CJ40" i="7" a="1"/>
  <c r="CJ40" i="7" s="1"/>
  <c r="CJ34" i="7" a="1"/>
  <c r="CJ34" i="7" s="1"/>
  <c r="CJ26" i="7" a="1"/>
  <c r="CJ26" i="7" s="1"/>
  <c r="CJ19" i="7" a="1"/>
  <c r="CJ19" i="7" s="1"/>
  <c r="CJ8" i="7" a="1"/>
  <c r="CJ8" i="7" s="1"/>
  <c r="CJ52" i="7" a="1"/>
  <c r="CJ52" i="7" s="1"/>
  <c r="CJ39" i="7" a="1"/>
  <c r="CJ39" i="7" s="1"/>
  <c r="CJ33" i="7" a="1"/>
  <c r="CJ33" i="7" s="1"/>
  <c r="CJ18" i="7" a="1"/>
  <c r="CJ18" i="7" s="1"/>
  <c r="CJ51" i="7" a="1"/>
  <c r="CJ51" i="7" s="1"/>
  <c r="CJ45" i="7" a="1"/>
  <c r="CJ45" i="7" s="1"/>
  <c r="CJ38" i="7" a="1"/>
  <c r="CJ38" i="7" s="1"/>
  <c r="CJ32" i="7" a="1"/>
  <c r="CJ32" i="7" s="1"/>
  <c r="CJ25" i="7" a="1"/>
  <c r="CJ25" i="7" s="1"/>
  <c r="CJ57" i="7" a="1"/>
  <c r="CJ57" i="7" s="1"/>
  <c r="CJ50" i="7" a="1"/>
  <c r="CJ50" i="7" s="1"/>
  <c r="CJ43" i="7" a="1"/>
  <c r="CJ43" i="7" s="1"/>
  <c r="CJ31" i="7" a="1"/>
  <c r="CJ31" i="7" s="1"/>
  <c r="CJ24" i="7" a="1"/>
  <c r="CJ24" i="7" s="1"/>
  <c r="CJ16" i="7" a="1"/>
  <c r="CJ16" i="7" s="1"/>
  <c r="CJ10" i="7" a="1"/>
  <c r="CJ10" i="7" s="1"/>
  <c r="CJ44" i="7" a="1"/>
  <c r="CJ44" i="7" s="1"/>
  <c r="CJ27" i="7" a="1"/>
  <c r="CJ27" i="7" s="1"/>
  <c r="CJ21" i="7" a="1"/>
  <c r="CJ21" i="7" s="1"/>
  <c r="CJ15" i="7" a="1"/>
  <c r="CJ15" i="7" s="1"/>
  <c r="CJ9" i="7" a="1"/>
  <c r="CJ9" i="7" s="1"/>
  <c r="CZ47" i="7" a="1"/>
  <c r="CZ47" i="7" s="1"/>
  <c r="CZ48" i="7" a="1"/>
  <c r="CZ48" i="7" s="1"/>
  <c r="CZ49" i="7" a="1"/>
  <c r="CZ49" i="7" s="1"/>
  <c r="CZ50" i="7" a="1"/>
  <c r="CZ50" i="7" s="1"/>
  <c r="CZ51" i="7" a="1"/>
  <c r="CZ51" i="7" s="1"/>
  <c r="CZ52" i="7" a="1"/>
  <c r="CZ52" i="7" s="1"/>
  <c r="CZ53" i="7" a="1"/>
  <c r="CZ53" i="7" s="1"/>
  <c r="CZ54" i="7" a="1"/>
  <c r="CZ54" i="7" s="1"/>
  <c r="CZ55" i="7" a="1"/>
  <c r="CZ55" i="7" s="1"/>
  <c r="CZ56" i="7" a="1"/>
  <c r="CZ56" i="7" s="1"/>
  <c r="CZ57" i="7" a="1"/>
  <c r="CZ57" i="7" s="1"/>
  <c r="CZ35" i="7" a="1"/>
  <c r="CZ35" i="7" s="1"/>
  <c r="CZ36" i="7" a="1"/>
  <c r="CZ36" i="7" s="1"/>
  <c r="CZ37" i="7" a="1"/>
  <c r="CZ37" i="7" s="1"/>
  <c r="CZ38" i="7" a="1"/>
  <c r="CZ38" i="7" s="1"/>
  <c r="CZ39" i="7" a="1"/>
  <c r="CZ39" i="7" s="1"/>
  <c r="CZ40" i="7" a="1"/>
  <c r="CZ40" i="7" s="1"/>
  <c r="CZ41" i="7" a="1"/>
  <c r="CZ41" i="7" s="1"/>
  <c r="CZ42" i="7" a="1"/>
  <c r="CZ42" i="7" s="1"/>
  <c r="CZ43" i="7" a="1"/>
  <c r="CZ43" i="7" s="1"/>
  <c r="CZ44" i="7" a="1"/>
  <c r="CZ44" i="7" s="1"/>
  <c r="CZ45" i="7" a="1"/>
  <c r="CZ45" i="7" s="1"/>
  <c r="CZ46" i="7" a="1"/>
  <c r="CZ46" i="7" s="1"/>
  <c r="CZ23" i="7" a="1"/>
  <c r="CZ23" i="7" s="1"/>
  <c r="CZ24" i="7" a="1"/>
  <c r="CZ24" i="7" s="1"/>
  <c r="CZ25" i="7" a="1"/>
  <c r="CZ25" i="7" s="1"/>
  <c r="CZ26" i="7" a="1"/>
  <c r="CZ26" i="7" s="1"/>
  <c r="CZ27" i="7" a="1"/>
  <c r="CZ27" i="7" s="1"/>
  <c r="CZ28" i="7" a="1"/>
  <c r="CZ28" i="7" s="1"/>
  <c r="CZ29" i="7" a="1"/>
  <c r="CZ29" i="7" s="1"/>
  <c r="CZ30" i="7" a="1"/>
  <c r="CZ30" i="7" s="1"/>
  <c r="CZ31" i="7" a="1"/>
  <c r="CZ31" i="7" s="1"/>
  <c r="CZ32" i="7" a="1"/>
  <c r="CZ32" i="7" s="1"/>
  <c r="CZ33" i="7" a="1"/>
  <c r="CZ33" i="7" s="1"/>
  <c r="CZ34" i="7" a="1"/>
  <c r="CZ34" i="7" s="1"/>
  <c r="CZ11" i="7" a="1"/>
  <c r="CZ11" i="7" s="1"/>
  <c r="CZ12" i="7" a="1"/>
  <c r="CZ12" i="7" s="1"/>
  <c r="CZ13" i="7" a="1"/>
  <c r="CZ13" i="7" s="1"/>
  <c r="CZ14" i="7" a="1"/>
  <c r="CZ14" i="7" s="1"/>
  <c r="CZ15" i="7" a="1"/>
  <c r="CZ15" i="7" s="1"/>
  <c r="CZ16" i="7" a="1"/>
  <c r="CZ16" i="7" s="1"/>
  <c r="CZ17" i="7" a="1"/>
  <c r="CZ17" i="7" s="1"/>
  <c r="CZ18" i="7" a="1"/>
  <c r="CZ18" i="7" s="1"/>
  <c r="CZ19" i="7" a="1"/>
  <c r="CZ19" i="7" s="1"/>
  <c r="CZ20" i="7" a="1"/>
  <c r="CZ20" i="7" s="1"/>
  <c r="CZ21" i="7" a="1"/>
  <c r="CZ21" i="7" s="1"/>
  <c r="CZ22" i="7" a="1"/>
  <c r="CZ22" i="7" s="1"/>
  <c r="CZ8" i="7" a="1"/>
  <c r="CZ8" i="7" s="1"/>
  <c r="CZ9" i="7" a="1"/>
  <c r="CZ9" i="7" s="1"/>
  <c r="CZ10" i="7" a="1"/>
  <c r="CZ10" i="7" s="1"/>
  <c r="CY61" i="7"/>
  <c r="CY60" i="7"/>
  <c r="DA6" i="7"/>
  <c r="CW8" i="7"/>
  <c r="CP20" i="7" a="1"/>
  <c r="CP20" i="7" s="1"/>
  <c r="CP21" i="7" a="1"/>
  <c r="CP21" i="7" s="1"/>
  <c r="CP22" i="7" a="1"/>
  <c r="CP22" i="7" s="1"/>
  <c r="CP23" i="7" a="1"/>
  <c r="CP23" i="7" s="1"/>
  <c r="CP24" i="7" a="1"/>
  <c r="CP24" i="7" s="1"/>
  <c r="CP25" i="7" a="1"/>
  <c r="CP25" i="7" s="1"/>
  <c r="CP26" i="7" a="1"/>
  <c r="CP26" i="7" s="1"/>
  <c r="CP27" i="7" a="1"/>
  <c r="CP27" i="7" s="1"/>
  <c r="CP28" i="7" a="1"/>
  <c r="CP28" i="7" s="1"/>
  <c r="CP29" i="7" a="1"/>
  <c r="CP29" i="7" s="1"/>
  <c r="CP30" i="7" a="1"/>
  <c r="CP30" i="7" s="1"/>
  <c r="CP31" i="7" a="1"/>
  <c r="CP31" i="7" s="1"/>
  <c r="CP32" i="7" a="1"/>
  <c r="CP32" i="7" s="1"/>
  <c r="CP33" i="7" a="1"/>
  <c r="CP33" i="7" s="1"/>
  <c r="CP34" i="7" a="1"/>
  <c r="CP34" i="7" s="1"/>
  <c r="CP35" i="7" a="1"/>
  <c r="CP35" i="7" s="1"/>
  <c r="CP36" i="7" a="1"/>
  <c r="CP36" i="7" s="1"/>
  <c r="CP37" i="7" a="1"/>
  <c r="CP37" i="7" s="1"/>
  <c r="CP38" i="7" a="1"/>
  <c r="CP38" i="7" s="1"/>
  <c r="CP39" i="7" a="1"/>
  <c r="CP39" i="7" s="1"/>
  <c r="CP40" i="7" a="1"/>
  <c r="CP40" i="7" s="1"/>
  <c r="CP41" i="7" a="1"/>
  <c r="CP41" i="7" s="1"/>
  <c r="CP42" i="7" a="1"/>
  <c r="CP42" i="7" s="1"/>
  <c r="CP43" i="7" a="1"/>
  <c r="CP43" i="7" s="1"/>
  <c r="CP44" i="7" a="1"/>
  <c r="CP44" i="7" s="1"/>
  <c r="CP45" i="7" a="1"/>
  <c r="CP45" i="7" s="1"/>
  <c r="CP46" i="7" a="1"/>
  <c r="CP46" i="7" s="1"/>
  <c r="CP47" i="7" a="1"/>
  <c r="CP47" i="7" s="1"/>
  <c r="CP48" i="7" a="1"/>
  <c r="CP48" i="7" s="1"/>
  <c r="CP49" i="7" a="1"/>
  <c r="CP49" i="7" s="1"/>
  <c r="CP50" i="7" a="1"/>
  <c r="CP50" i="7" s="1"/>
  <c r="CP51" i="7" a="1"/>
  <c r="CP51" i="7" s="1"/>
  <c r="CP52" i="7" a="1"/>
  <c r="CP52" i="7" s="1"/>
  <c r="CP53" i="7" a="1"/>
  <c r="CP53" i="7" s="1"/>
  <c r="CP54" i="7" a="1"/>
  <c r="CP54" i="7" s="1"/>
  <c r="CP55" i="7" a="1"/>
  <c r="CP55" i="7" s="1"/>
  <c r="CP56" i="7" a="1"/>
  <c r="CP56" i="7" s="1"/>
  <c r="CP57" i="7" a="1"/>
  <c r="CP57" i="7" s="1"/>
  <c r="CP9" i="7" a="1"/>
  <c r="CP9" i="7" s="1"/>
  <c r="CP10" i="7" a="1"/>
  <c r="CP10" i="7" s="1"/>
  <c r="CP11" i="7" a="1"/>
  <c r="CP11" i="7" s="1"/>
  <c r="CP12" i="7" a="1"/>
  <c r="CP12" i="7" s="1"/>
  <c r="CP13" i="7" a="1"/>
  <c r="CP13" i="7" s="1"/>
  <c r="CP14" i="7" a="1"/>
  <c r="CP14" i="7" s="1"/>
  <c r="CP15" i="7" a="1"/>
  <c r="CP15" i="7" s="1"/>
  <c r="CP16" i="7" a="1"/>
  <c r="CP16" i="7" s="1"/>
  <c r="CP17" i="7" a="1"/>
  <c r="CP17" i="7" s="1"/>
  <c r="CP18" i="7" a="1"/>
  <c r="CP18" i="7" s="1"/>
  <c r="CP19" i="7" a="1"/>
  <c r="CP19" i="7" s="1"/>
  <c r="CP8" i="7" a="1"/>
  <c r="CP8" i="7" s="1"/>
  <c r="AX9" i="7"/>
  <c r="AX10" i="7"/>
  <c r="AX11" i="7"/>
  <c r="AX12" i="7"/>
  <c r="AX13" i="7"/>
  <c r="AX14" i="7"/>
  <c r="AX15" i="7"/>
  <c r="AX16" i="7"/>
  <c r="AX17" i="7"/>
  <c r="AX18" i="7"/>
  <c r="AX19" i="7"/>
  <c r="AX20" i="7"/>
  <c r="AX21" i="7"/>
  <c r="AX22" i="7"/>
  <c r="AX23" i="7"/>
  <c r="AX24" i="7"/>
  <c r="AX25" i="7"/>
  <c r="AX26" i="7"/>
  <c r="AX27" i="7"/>
  <c r="AX28" i="7"/>
  <c r="AX29" i="7"/>
  <c r="AX30" i="7"/>
  <c r="AX31" i="7"/>
  <c r="AX32" i="7"/>
  <c r="AX33" i="7"/>
  <c r="AX34" i="7"/>
  <c r="AX35" i="7"/>
  <c r="AX36" i="7"/>
  <c r="AX37" i="7"/>
  <c r="AX38" i="7"/>
  <c r="AX39" i="7"/>
  <c r="AX40" i="7"/>
  <c r="AX41" i="7"/>
  <c r="AX42" i="7"/>
  <c r="AX43" i="7"/>
  <c r="AX44" i="7"/>
  <c r="AX45" i="7"/>
  <c r="AX46" i="7"/>
  <c r="AX47" i="7"/>
  <c r="AX48" i="7"/>
  <c r="AX49" i="7"/>
  <c r="AX50" i="7"/>
  <c r="AX51" i="7"/>
  <c r="AX52" i="7"/>
  <c r="AX53" i="7"/>
  <c r="AX54" i="7"/>
  <c r="AX55" i="7"/>
  <c r="AX56" i="7"/>
  <c r="AX57" i="7"/>
  <c r="AX8" i="7"/>
  <c r="BP57" i="7" a="1"/>
  <c r="BP57" i="7" s="1"/>
  <c r="BP56" i="7" a="1"/>
  <c r="BP56" i="7" s="1"/>
  <c r="BP55" i="7" a="1"/>
  <c r="BP55" i="7" s="1"/>
  <c r="BP54" i="7" a="1"/>
  <c r="BP54" i="7" s="1"/>
  <c r="BP53" i="7" a="1"/>
  <c r="BP53" i="7" s="1"/>
  <c r="BP52" i="7" a="1"/>
  <c r="BP52" i="7" s="1"/>
  <c r="BP51" i="7" a="1"/>
  <c r="BP51" i="7" s="1"/>
  <c r="BP50" i="7" a="1"/>
  <c r="BP50" i="7" s="1"/>
  <c r="BP49" i="7" a="1"/>
  <c r="BP49" i="7" s="1"/>
  <c r="BP48" i="7" a="1"/>
  <c r="BP48" i="7" s="1"/>
  <c r="BP47" i="7" a="1"/>
  <c r="BP47" i="7" s="1"/>
  <c r="BP46" i="7" a="1"/>
  <c r="BP46" i="7" s="1"/>
  <c r="BP45" i="7" a="1"/>
  <c r="BP45" i="7" s="1"/>
  <c r="BP44" i="7" a="1"/>
  <c r="BP44" i="7" s="1"/>
  <c r="BP43" i="7" a="1"/>
  <c r="BP43" i="7" s="1"/>
  <c r="BP42" i="7" a="1"/>
  <c r="BP42" i="7" s="1"/>
  <c r="BP41" i="7" a="1"/>
  <c r="BP41" i="7" s="1"/>
  <c r="BP40" i="7" a="1"/>
  <c r="BP40" i="7" s="1"/>
  <c r="BP39" i="7" a="1"/>
  <c r="BP39" i="7" s="1"/>
  <c r="BP38" i="7" a="1"/>
  <c r="BP38" i="7" s="1"/>
  <c r="BP37" i="7" a="1"/>
  <c r="BP37" i="7" s="1"/>
  <c r="BP36" i="7" a="1"/>
  <c r="BP36" i="7" s="1"/>
  <c r="BP35" i="7" a="1"/>
  <c r="BP35" i="7" s="1"/>
  <c r="BP34" i="7" a="1"/>
  <c r="BP34" i="7" s="1"/>
  <c r="BP33" i="7" a="1"/>
  <c r="BP33" i="7" s="1"/>
  <c r="BP32" i="7" a="1"/>
  <c r="BP32" i="7" s="1"/>
  <c r="BP31" i="7" a="1"/>
  <c r="BP31" i="7" s="1"/>
  <c r="BP30" i="7" a="1"/>
  <c r="BP30" i="7" s="1"/>
  <c r="BP29" i="7" a="1"/>
  <c r="BP29" i="7" s="1"/>
  <c r="BP28" i="7" a="1"/>
  <c r="BP28" i="7" s="1"/>
  <c r="BP27" i="7" a="1"/>
  <c r="BP27" i="7" s="1"/>
  <c r="BP26" i="7" a="1"/>
  <c r="BP26" i="7" s="1"/>
  <c r="BP25" i="7" a="1"/>
  <c r="BP25" i="7" s="1"/>
  <c r="BP24" i="7" a="1"/>
  <c r="BP24" i="7" s="1"/>
  <c r="BP23" i="7" a="1"/>
  <c r="BP23" i="7" s="1"/>
  <c r="BP22" i="7" a="1"/>
  <c r="BP22" i="7" s="1"/>
  <c r="BP21" i="7" a="1"/>
  <c r="BP21" i="7" s="1"/>
  <c r="BP20" i="7" a="1"/>
  <c r="BP20" i="7" s="1"/>
  <c r="BP19" i="7" a="1"/>
  <c r="BP19" i="7" s="1"/>
  <c r="BP18" i="7" a="1"/>
  <c r="BP18" i="7" s="1"/>
  <c r="BP17" i="7" a="1"/>
  <c r="BP17" i="7" s="1"/>
  <c r="BP16" i="7" a="1"/>
  <c r="BP16" i="7" s="1"/>
  <c r="BP15" i="7" a="1"/>
  <c r="BP15" i="7" s="1"/>
  <c r="BP14" i="7" a="1"/>
  <c r="BP14" i="7" s="1"/>
  <c r="BP13" i="7" a="1"/>
  <c r="BP13" i="7" s="1"/>
  <c r="BP12" i="7" a="1"/>
  <c r="BP12" i="7" s="1"/>
  <c r="BP11" i="7" a="1"/>
  <c r="BP11" i="7" s="1"/>
  <c r="BP10" i="7" a="1"/>
  <c r="BP10" i="7" s="1"/>
  <c r="BP9" i="7" a="1"/>
  <c r="BP9" i="7" s="1"/>
  <c r="BP8" i="7" a="1"/>
  <c r="BP8" i="7" s="1"/>
  <c r="BN57" i="7" a="1"/>
  <c r="BN57" i="7" s="1"/>
  <c r="BN56" i="7" a="1"/>
  <c r="BN56" i="7" s="1"/>
  <c r="BN55" i="7" a="1"/>
  <c r="BN55" i="7" s="1"/>
  <c r="BN54" i="7" a="1"/>
  <c r="BN54" i="7" s="1"/>
  <c r="BN53" i="7" a="1"/>
  <c r="BN53" i="7" s="1"/>
  <c r="BN52" i="7" a="1"/>
  <c r="BN52" i="7" s="1"/>
  <c r="BN51" i="7" a="1"/>
  <c r="BN51" i="7" s="1"/>
  <c r="BN50" i="7" a="1"/>
  <c r="BN50" i="7" s="1"/>
  <c r="BN49" i="7" a="1"/>
  <c r="BN49" i="7" s="1"/>
  <c r="BN48" i="7" a="1"/>
  <c r="BN48" i="7" s="1"/>
  <c r="BN47" i="7" a="1"/>
  <c r="BN47" i="7" s="1"/>
  <c r="BN46" i="7" a="1"/>
  <c r="BN46" i="7" s="1"/>
  <c r="BN45" i="7" a="1"/>
  <c r="BN45" i="7" s="1"/>
  <c r="BN44" i="7" a="1"/>
  <c r="BN44" i="7" s="1"/>
  <c r="BN43" i="7" a="1"/>
  <c r="BN43" i="7" s="1"/>
  <c r="BN42" i="7" a="1"/>
  <c r="BN42" i="7" s="1"/>
  <c r="BN41" i="7" a="1"/>
  <c r="BN41" i="7" s="1"/>
  <c r="BN40" i="7" a="1"/>
  <c r="BN40" i="7" s="1"/>
  <c r="BN39" i="7" a="1"/>
  <c r="BN39" i="7" s="1"/>
  <c r="BN38" i="7" a="1"/>
  <c r="BN38" i="7" s="1"/>
  <c r="BN37" i="7" a="1"/>
  <c r="BN37" i="7" s="1"/>
  <c r="BN36" i="7" a="1"/>
  <c r="BN36" i="7" s="1"/>
  <c r="BN35" i="7" a="1"/>
  <c r="BN35" i="7" s="1"/>
  <c r="BN34" i="7" a="1"/>
  <c r="BN34" i="7" s="1"/>
  <c r="BN33" i="7" a="1"/>
  <c r="BN33" i="7" s="1"/>
  <c r="BN32" i="7" a="1"/>
  <c r="BN32" i="7" s="1"/>
  <c r="BN31" i="7" a="1"/>
  <c r="BN31" i="7" s="1"/>
  <c r="BN30" i="7" a="1"/>
  <c r="BN30" i="7" s="1"/>
  <c r="BN29" i="7" a="1"/>
  <c r="BN29" i="7" s="1"/>
  <c r="BN28" i="7" a="1"/>
  <c r="BN28" i="7" s="1"/>
  <c r="BN27" i="7" a="1"/>
  <c r="BN27" i="7" s="1"/>
  <c r="BN26" i="7" a="1"/>
  <c r="BN26" i="7" s="1"/>
  <c r="BN25" i="7" a="1"/>
  <c r="BN25" i="7" s="1"/>
  <c r="BN24" i="7" a="1"/>
  <c r="BN24" i="7" s="1"/>
  <c r="BN23" i="7" a="1"/>
  <c r="BN23" i="7" s="1"/>
  <c r="BN22" i="7" a="1"/>
  <c r="BN22" i="7" s="1"/>
  <c r="BN21" i="7" a="1"/>
  <c r="BN21" i="7" s="1"/>
  <c r="BN20" i="7" a="1"/>
  <c r="BN20" i="7" s="1"/>
  <c r="BN19" i="7" a="1"/>
  <c r="BN19" i="7" s="1"/>
  <c r="BN18" i="7" a="1"/>
  <c r="BN18" i="7" s="1"/>
  <c r="BN17" i="7" a="1"/>
  <c r="BN17" i="7" s="1"/>
  <c r="BN16" i="7" a="1"/>
  <c r="BN16" i="7" s="1"/>
  <c r="BN15" i="7" a="1"/>
  <c r="BN15" i="7" s="1"/>
  <c r="BN14" i="7" a="1"/>
  <c r="BN14" i="7" s="1"/>
  <c r="BN13" i="7" a="1"/>
  <c r="BN13" i="7" s="1"/>
  <c r="BN12" i="7" a="1"/>
  <c r="BN12" i="7" s="1"/>
  <c r="BN11" i="7" a="1"/>
  <c r="BN11" i="7" s="1"/>
  <c r="BN10" i="7" a="1"/>
  <c r="BN10" i="7" s="1"/>
  <c r="BN9" i="7" a="1"/>
  <c r="BN9" i="7" s="1"/>
  <c r="BN8" i="7" a="1"/>
  <c r="BN8" i="7" s="1"/>
  <c r="BQ8" i="7" s="1"/>
  <c r="G57" i="7" a="1"/>
  <c r="G57" i="7" s="1"/>
  <c r="L57" i="7" s="1"/>
  <c r="G56" i="7" a="1"/>
  <c r="G56" i="7" s="1"/>
  <c r="L56" i="7" s="1"/>
  <c r="G55" i="7" a="1"/>
  <c r="G55" i="7" s="1"/>
  <c r="L55" i="7" s="1"/>
  <c r="G54" i="7" a="1"/>
  <c r="G54" i="7" s="1"/>
  <c r="L54" i="7" s="1"/>
  <c r="G53" i="7" a="1"/>
  <c r="G53" i="7" s="1"/>
  <c r="L53" i="7" s="1"/>
  <c r="G52" i="7" a="1"/>
  <c r="G52" i="7" s="1"/>
  <c r="L52" i="7" s="1"/>
  <c r="G51" i="7" a="1"/>
  <c r="G51" i="7" s="1"/>
  <c r="L51" i="7" s="1"/>
  <c r="G50" i="7" a="1"/>
  <c r="G50" i="7" s="1"/>
  <c r="L50" i="7" s="1"/>
  <c r="G49" i="7" a="1"/>
  <c r="G49" i="7" s="1"/>
  <c r="L49" i="7" s="1"/>
  <c r="G48" i="7" a="1"/>
  <c r="G48" i="7" s="1"/>
  <c r="L48" i="7" s="1"/>
  <c r="G47" i="7" a="1"/>
  <c r="G47" i="7" s="1"/>
  <c r="L47" i="7" s="1"/>
  <c r="G46" i="7" a="1"/>
  <c r="G46" i="7" s="1"/>
  <c r="L46" i="7" s="1"/>
  <c r="G45" i="7" a="1"/>
  <c r="G45" i="7" s="1"/>
  <c r="L45" i="7" s="1"/>
  <c r="G44" i="7" a="1"/>
  <c r="G44" i="7" s="1"/>
  <c r="L44" i="7" s="1"/>
  <c r="G43" i="7" a="1"/>
  <c r="G43" i="7" s="1"/>
  <c r="L43" i="7" s="1"/>
  <c r="G42" i="7" a="1"/>
  <c r="G42" i="7" s="1"/>
  <c r="L42" i="7" s="1"/>
  <c r="G41" i="7" a="1"/>
  <c r="G41" i="7"/>
  <c r="L41" i="7" s="1"/>
  <c r="G40" i="7" a="1"/>
  <c r="G40" i="7" s="1"/>
  <c r="L40" i="7" s="1"/>
  <c r="G39" i="7" a="1"/>
  <c r="G39" i="7" s="1"/>
  <c r="L39" i="7" s="1"/>
  <c r="G38" i="7" a="1"/>
  <c r="G38" i="7" s="1"/>
  <c r="L38" i="7" s="1"/>
  <c r="G37" i="7" a="1"/>
  <c r="G37" i="7" s="1"/>
  <c r="L37" i="7" s="1"/>
  <c r="G36" i="7" a="1"/>
  <c r="G36" i="7" s="1"/>
  <c r="L36" i="7" s="1"/>
  <c r="G35" i="7" a="1"/>
  <c r="G35" i="7" s="1"/>
  <c r="L35" i="7" s="1"/>
  <c r="G34" i="7" a="1"/>
  <c r="G34" i="7" s="1"/>
  <c r="L34" i="7" s="1"/>
  <c r="G33" i="7" a="1"/>
  <c r="G33" i="7" s="1"/>
  <c r="L33" i="7" s="1"/>
  <c r="G32" i="7" a="1"/>
  <c r="G32" i="7" s="1"/>
  <c r="L32" i="7" s="1"/>
  <c r="G31" i="7" a="1"/>
  <c r="G31" i="7" s="1"/>
  <c r="L31" i="7" s="1"/>
  <c r="G30" i="7" a="1"/>
  <c r="G30" i="7" s="1"/>
  <c r="L30" i="7" s="1"/>
  <c r="G29" i="7" a="1"/>
  <c r="G29" i="7" s="1"/>
  <c r="L29" i="7" s="1"/>
  <c r="G28" i="7" a="1"/>
  <c r="G28" i="7" s="1"/>
  <c r="L28" i="7" s="1"/>
  <c r="G27" i="7" a="1"/>
  <c r="G27" i="7" s="1"/>
  <c r="L27" i="7" s="1"/>
  <c r="G26" i="7" a="1"/>
  <c r="G26" i="7"/>
  <c r="L26" i="7" s="1"/>
  <c r="G25" i="7" a="1"/>
  <c r="G25" i="7" s="1"/>
  <c r="L25" i="7" s="1"/>
  <c r="G24" i="7" a="1"/>
  <c r="G24" i="7" s="1"/>
  <c r="L24" i="7" s="1"/>
  <c r="G23" i="7" a="1"/>
  <c r="G23" i="7" s="1"/>
  <c r="L23" i="7" s="1"/>
  <c r="G22" i="7" a="1"/>
  <c r="G22" i="7" s="1"/>
  <c r="L22" i="7" s="1"/>
  <c r="G21" i="7" a="1"/>
  <c r="G21" i="7" s="1"/>
  <c r="L21" i="7" s="1"/>
  <c r="G20" i="7" a="1"/>
  <c r="G20" i="7" s="1"/>
  <c r="L20" i="7" s="1"/>
  <c r="G19" i="7" a="1"/>
  <c r="G19" i="7" s="1"/>
  <c r="L19" i="7" s="1"/>
  <c r="G18" i="7" a="1"/>
  <c r="G18" i="7" s="1"/>
  <c r="L18" i="7" s="1"/>
  <c r="G17" i="7" a="1"/>
  <c r="G17" i="7" s="1"/>
  <c r="L17" i="7" s="1"/>
  <c r="P9" i="29" s="1" a="1"/>
  <c r="P9" i="29" s="1"/>
  <c r="G16" i="7" a="1"/>
  <c r="G16" i="7" s="1"/>
  <c r="L16" i="7" s="1"/>
  <c r="G15" i="7" a="1"/>
  <c r="G15" i="7" s="1"/>
  <c r="L15" i="7" s="1"/>
  <c r="G14" i="7" a="1"/>
  <c r="G14" i="7" s="1"/>
  <c r="L14" i="7" s="1"/>
  <c r="G13" i="7" a="1"/>
  <c r="G13" i="7" s="1"/>
  <c r="L13" i="7" s="1"/>
  <c r="G12" i="7" a="1"/>
  <c r="G12" i="7" s="1"/>
  <c r="L12" i="7" s="1"/>
  <c r="G11" i="7" a="1"/>
  <c r="G11" i="7" s="1"/>
  <c r="L11" i="7" s="1"/>
  <c r="G10" i="7" a="1"/>
  <c r="G10" i="7" s="1"/>
  <c r="L10" i="7" s="1"/>
  <c r="G9" i="7" a="1"/>
  <c r="G9" i="7" s="1"/>
  <c r="L9" i="7" s="1"/>
  <c r="G8" i="7" a="1"/>
  <c r="G8" i="7" s="1"/>
  <c r="P17" i="29" l="1" a="1"/>
  <c r="P17" i="29" s="1"/>
  <c r="FC6" i="7" l="1"/>
  <c r="EP59" i="7"/>
  <c r="EP60" i="7"/>
  <c r="EQ13" i="7" s="1" a="1"/>
  <c r="EQ13" i="7" s="1"/>
  <c r="FB60" i="7"/>
  <c r="FB59" i="7"/>
  <c r="EZ59" i="7"/>
  <c r="EZ60" i="7"/>
  <c r="EX60" i="7"/>
  <c r="EX59" i="7"/>
  <c r="BL6" i="7"/>
  <c r="AZ8" i="7"/>
  <c r="DU10" i="7" a="1"/>
  <c r="DU10" i="7" s="1"/>
  <c r="DU11" i="7" a="1"/>
  <c r="DU11" i="7" s="1"/>
  <c r="DU12" i="7" a="1"/>
  <c r="DU12" i="7" s="1"/>
  <c r="DU13" i="7" a="1"/>
  <c r="DU13" i="7" s="1"/>
  <c r="DU14" i="7" a="1"/>
  <c r="DU14" i="7" s="1"/>
  <c r="DU15" i="7" a="1"/>
  <c r="DU15" i="7" s="1"/>
  <c r="DU16" i="7" a="1"/>
  <c r="DU16" i="7" s="1"/>
  <c r="DU17" i="7" a="1"/>
  <c r="DU17" i="7" s="1"/>
  <c r="DU19" i="7" a="1"/>
  <c r="DU19" i="7" s="1"/>
  <c r="DU20" i="7" a="1"/>
  <c r="DU20" i="7" s="1"/>
  <c r="DU21" i="7" a="1"/>
  <c r="DU21" i="7" s="1"/>
  <c r="DU22" i="7" a="1"/>
  <c r="DU22" i="7" s="1"/>
  <c r="DU23" i="7" a="1"/>
  <c r="DU23" i="7" s="1"/>
  <c r="DU24" i="7" a="1"/>
  <c r="DU24" i="7" s="1"/>
  <c r="DU25" i="7" a="1"/>
  <c r="DU25" i="7" s="1"/>
  <c r="DU26" i="7" a="1"/>
  <c r="DU26" i="7" s="1"/>
  <c r="DU27" i="7" a="1"/>
  <c r="DU27" i="7" s="1"/>
  <c r="DU28" i="7" a="1"/>
  <c r="DU28" i="7" s="1"/>
  <c r="DU29" i="7" a="1"/>
  <c r="DU29" i="7" s="1"/>
  <c r="DU30" i="7" a="1"/>
  <c r="DU30" i="7" s="1"/>
  <c r="DU31" i="7" a="1"/>
  <c r="DU31" i="7" s="1"/>
  <c r="DU32" i="7" a="1"/>
  <c r="DU32" i="7" s="1"/>
  <c r="DU33" i="7" a="1"/>
  <c r="DU33" i="7" s="1"/>
  <c r="DU34" i="7" a="1"/>
  <c r="DU34" i="7" s="1"/>
  <c r="DU35" i="7" a="1"/>
  <c r="DU35" i="7" s="1"/>
  <c r="DU36" i="7" a="1"/>
  <c r="DU36" i="7" s="1"/>
  <c r="DU37" i="7" a="1"/>
  <c r="DU37" i="7" s="1"/>
  <c r="DU38" i="7" a="1"/>
  <c r="DU38" i="7" s="1"/>
  <c r="DU39" i="7" a="1"/>
  <c r="DU39" i="7" s="1"/>
  <c r="DU40" i="7" a="1"/>
  <c r="DU40" i="7" s="1"/>
  <c r="DU41" i="7" a="1"/>
  <c r="DU41" i="7" s="1"/>
  <c r="DU42" i="7" a="1"/>
  <c r="DU42" i="7" s="1"/>
  <c r="DU43" i="7" a="1"/>
  <c r="DU43" i="7" s="1"/>
  <c r="DU44" i="7" a="1"/>
  <c r="DU44" i="7" s="1"/>
  <c r="DU45" i="7" a="1"/>
  <c r="DU45" i="7" s="1"/>
  <c r="DU46" i="7" a="1"/>
  <c r="DU46" i="7" s="1"/>
  <c r="DU47" i="7" a="1"/>
  <c r="DU47" i="7" s="1"/>
  <c r="DU48" i="7" a="1"/>
  <c r="DU48" i="7" s="1"/>
  <c r="DU49" i="7" a="1"/>
  <c r="DU49" i="7" s="1"/>
  <c r="DU50" i="7" a="1"/>
  <c r="DU50" i="7" s="1"/>
  <c r="DU51" i="7" a="1"/>
  <c r="DU51" i="7" s="1"/>
  <c r="DU52" i="7" a="1"/>
  <c r="DU52" i="7" s="1"/>
  <c r="DU53" i="7" a="1"/>
  <c r="DU53" i="7" s="1"/>
  <c r="DU54" i="7" a="1"/>
  <c r="DU54" i="7" s="1"/>
  <c r="DU55" i="7" a="1"/>
  <c r="DU55" i="7" s="1"/>
  <c r="DU56" i="7" a="1"/>
  <c r="DU56" i="7" s="1"/>
  <c r="DU57" i="7" a="1"/>
  <c r="DU57" i="7" s="1"/>
  <c r="DU8" i="7" a="1"/>
  <c r="DU8" i="7" s="1"/>
  <c r="BD8" i="7"/>
  <c r="ER59" i="7"/>
  <c r="L5" i="24"/>
  <c r="F5" i="24"/>
  <c r="EV6" i="7"/>
  <c r="EU57" i="7" a="1"/>
  <c r="EU57" i="7" s="1"/>
  <c r="EU56" i="7" a="1"/>
  <c r="EU56" i="7" s="1"/>
  <c r="EU55" i="7" a="1"/>
  <c r="EU55" i="7" s="1"/>
  <c r="EU54" i="7" a="1"/>
  <c r="EU54" i="7" s="1"/>
  <c r="EU53" i="7" a="1"/>
  <c r="EU53" i="7" s="1"/>
  <c r="EU52" i="7" a="1"/>
  <c r="EU52" i="7" s="1"/>
  <c r="EU51" i="7" a="1"/>
  <c r="EU51" i="7" s="1"/>
  <c r="EU50" i="7" a="1"/>
  <c r="EU50" i="7" s="1"/>
  <c r="EU49" i="7" a="1"/>
  <c r="EU49" i="7" s="1"/>
  <c r="EU48" i="7" a="1"/>
  <c r="EU48" i="7" s="1"/>
  <c r="EU47" i="7" a="1"/>
  <c r="EU47" i="7" s="1"/>
  <c r="EU46" i="7" a="1"/>
  <c r="EU46" i="7" s="1"/>
  <c r="EU45" i="7" a="1"/>
  <c r="EU45" i="7" s="1"/>
  <c r="EU44" i="7" a="1"/>
  <c r="EU44" i="7" s="1"/>
  <c r="EU43" i="7" a="1"/>
  <c r="EU43" i="7" s="1"/>
  <c r="EU42" i="7" a="1"/>
  <c r="EU42" i="7" s="1"/>
  <c r="EU41" i="7" a="1"/>
  <c r="EU41" i="7" s="1"/>
  <c r="EU40" i="7" a="1"/>
  <c r="EU40" i="7" s="1"/>
  <c r="EU39" i="7" a="1"/>
  <c r="EU39" i="7" s="1"/>
  <c r="EU38" i="7" a="1"/>
  <c r="EU38" i="7" s="1"/>
  <c r="EU37" i="7" a="1"/>
  <c r="EU37" i="7" s="1"/>
  <c r="EU36" i="7" a="1"/>
  <c r="EU36" i="7" s="1"/>
  <c r="EU35" i="7" a="1"/>
  <c r="EU35" i="7" s="1"/>
  <c r="EU34" i="7" a="1"/>
  <c r="EU34" i="7" s="1"/>
  <c r="EU33" i="7" a="1"/>
  <c r="EU33" i="7" s="1"/>
  <c r="EU32" i="7" a="1"/>
  <c r="EU32" i="7" s="1"/>
  <c r="EU31" i="7" a="1"/>
  <c r="EU31" i="7" s="1"/>
  <c r="EU30" i="7" a="1"/>
  <c r="EU30" i="7" s="1"/>
  <c r="EU29" i="7" a="1"/>
  <c r="EU29" i="7" s="1"/>
  <c r="EU28" i="7" a="1"/>
  <c r="EU28" i="7" s="1"/>
  <c r="EU27" i="7" a="1"/>
  <c r="EU27" i="7" s="1"/>
  <c r="EU26" i="7" a="1"/>
  <c r="EU26" i="7" s="1"/>
  <c r="EU25" i="7" a="1"/>
  <c r="EU25" i="7" s="1"/>
  <c r="EU24" i="7" a="1"/>
  <c r="EU24" i="7" s="1"/>
  <c r="EU23" i="7" a="1"/>
  <c r="EU23" i="7" s="1"/>
  <c r="EU22" i="7" a="1"/>
  <c r="EU22" i="7" s="1"/>
  <c r="EU21" i="7" a="1"/>
  <c r="EU21" i="7" s="1"/>
  <c r="EU20" i="7" a="1"/>
  <c r="EU20" i="7" s="1"/>
  <c r="EU19" i="7" a="1"/>
  <c r="EU19" i="7" s="1"/>
  <c r="EU18" i="7" a="1"/>
  <c r="EU18" i="7" s="1"/>
  <c r="EU17" i="7" a="1"/>
  <c r="EU17" i="7" s="1"/>
  <c r="EU16" i="7" a="1"/>
  <c r="EU16" i="7" s="1"/>
  <c r="EU15" i="7" a="1"/>
  <c r="EU15" i="7" s="1"/>
  <c r="EU14" i="7" a="1"/>
  <c r="EU14" i="7" s="1"/>
  <c r="EU13" i="7" a="1"/>
  <c r="EU13" i="7" s="1"/>
  <c r="EU12" i="7" a="1"/>
  <c r="EU12" i="7" s="1"/>
  <c r="EU11" i="7" a="1"/>
  <c r="EU11" i="7" s="1"/>
  <c r="EU10" i="7" a="1"/>
  <c r="EU10" i="7" s="1"/>
  <c r="EU9" i="7" a="1"/>
  <c r="EU9" i="7" s="1"/>
  <c r="EU8" i="7" a="1"/>
  <c r="EU8" i="7" s="1"/>
  <c r="FB26" i="7" l="1" a="1"/>
  <c r="FB26" i="7" s="1"/>
  <c r="EQ14" i="7" a="1"/>
  <c r="EQ14" i="7" s="1"/>
  <c r="EQ17" i="7" a="1"/>
  <c r="EQ17" i="7" s="1"/>
  <c r="EQ21" i="7" a="1"/>
  <c r="EQ21" i="7" s="1"/>
  <c r="EQ25" i="7" a="1"/>
  <c r="EQ25" i="7" s="1"/>
  <c r="EQ29" i="7" a="1"/>
  <c r="EQ29" i="7" s="1"/>
  <c r="EQ33" i="7" a="1"/>
  <c r="EQ33" i="7" s="1"/>
  <c r="EQ37" i="7" a="1"/>
  <c r="EQ37" i="7" s="1"/>
  <c r="EQ41" i="7" a="1"/>
  <c r="EQ41" i="7" s="1"/>
  <c r="EQ45" i="7" a="1"/>
  <c r="EQ45" i="7" s="1"/>
  <c r="EQ49" i="7" a="1"/>
  <c r="EQ49" i="7" s="1"/>
  <c r="EQ53" i="7" a="1"/>
  <c r="EQ53" i="7" s="1"/>
  <c r="EQ57" i="7" a="1"/>
  <c r="EQ57" i="7" s="1"/>
  <c r="EQ10" i="7" a="1"/>
  <c r="EQ10" i="7" s="1"/>
  <c r="EQ15" i="7" a="1"/>
  <c r="EQ15" i="7" s="1"/>
  <c r="EQ18" i="7" a="1"/>
  <c r="EQ18" i="7" s="1"/>
  <c r="EQ22" i="7" a="1"/>
  <c r="EQ22" i="7" s="1"/>
  <c r="EQ26" i="7" a="1"/>
  <c r="EQ26" i="7" s="1"/>
  <c r="EQ30" i="7" a="1"/>
  <c r="EQ30" i="7" s="1"/>
  <c r="EQ34" i="7" a="1"/>
  <c r="EQ34" i="7" s="1"/>
  <c r="EQ38" i="7" a="1"/>
  <c r="EQ38" i="7" s="1"/>
  <c r="EQ42" i="7" a="1"/>
  <c r="EQ42" i="7" s="1"/>
  <c r="EQ46" i="7" a="1"/>
  <c r="EQ46" i="7" s="1"/>
  <c r="EQ50" i="7" a="1"/>
  <c r="EQ50" i="7" s="1"/>
  <c r="EQ54" i="7" a="1"/>
  <c r="EQ54" i="7" s="1"/>
  <c r="EQ11" i="7" a="1"/>
  <c r="EQ11" i="7" s="1"/>
  <c r="EQ19" i="7" a="1"/>
  <c r="EQ19" i="7" s="1"/>
  <c r="EQ23" i="7" a="1"/>
  <c r="EQ23" i="7" s="1"/>
  <c r="EQ27" i="7" a="1"/>
  <c r="EQ27" i="7" s="1"/>
  <c r="EQ31" i="7" a="1"/>
  <c r="EQ31" i="7" s="1"/>
  <c r="EQ35" i="7" a="1"/>
  <c r="EQ35" i="7" s="1"/>
  <c r="EQ39" i="7" a="1"/>
  <c r="EQ39" i="7" s="1"/>
  <c r="EQ43" i="7" a="1"/>
  <c r="EQ43" i="7" s="1"/>
  <c r="EQ47" i="7" a="1"/>
  <c r="EQ47" i="7" s="1"/>
  <c r="EQ51" i="7" a="1"/>
  <c r="EQ51" i="7" s="1"/>
  <c r="EQ55" i="7" a="1"/>
  <c r="EQ55" i="7" s="1"/>
  <c r="EQ8" i="7" a="1"/>
  <c r="EQ8" i="7" s="1"/>
  <c r="EQ12" i="7" a="1"/>
  <c r="EQ12" i="7" s="1"/>
  <c r="EQ16" i="7" a="1"/>
  <c r="EQ16" i="7" s="1"/>
  <c r="EQ20" i="7" a="1"/>
  <c r="EQ20" i="7" s="1"/>
  <c r="EQ24" i="7" a="1"/>
  <c r="EQ24" i="7" s="1"/>
  <c r="EQ28" i="7" a="1"/>
  <c r="EQ28" i="7" s="1"/>
  <c r="EQ32" i="7" a="1"/>
  <c r="EQ32" i="7" s="1"/>
  <c r="EQ36" i="7" a="1"/>
  <c r="EQ36" i="7" s="1"/>
  <c r="EQ40" i="7" a="1"/>
  <c r="EQ40" i="7" s="1"/>
  <c r="EQ44" i="7" a="1"/>
  <c r="EQ44" i="7" s="1"/>
  <c r="EQ48" i="7" a="1"/>
  <c r="EQ48" i="7" s="1"/>
  <c r="EQ52" i="7" a="1"/>
  <c r="EQ52" i="7" s="1"/>
  <c r="EQ56" i="7" a="1"/>
  <c r="EQ56" i="7" s="1"/>
  <c r="EQ9" i="7" a="1"/>
  <c r="EQ9" i="7" s="1"/>
  <c r="EX11" i="7" a="1"/>
  <c r="EX11" i="7" s="1"/>
  <c r="EX54" i="7" a="1"/>
  <c r="EX54" i="7" s="1"/>
  <c r="EX49" i="7" a="1"/>
  <c r="EX49" i="7" s="1"/>
  <c r="FB11" i="7" a="1"/>
  <c r="FB11" i="7" s="1"/>
  <c r="EX38" i="7" a="1"/>
  <c r="EX38" i="7" s="1"/>
  <c r="EX32" i="7" a="1"/>
  <c r="EX32" i="7" s="1"/>
  <c r="EX27" i="7" a="1"/>
  <c r="EX27" i="7" s="1"/>
  <c r="EX13" i="7" a="1"/>
  <c r="EX13" i="7" s="1"/>
  <c r="EZ10" i="7" a="1"/>
  <c r="EZ10" i="7" s="1"/>
  <c r="EZ23" i="7" a="1"/>
  <c r="EZ23" i="7" s="1"/>
  <c r="EZ28" i="7" a="1"/>
  <c r="EZ28" i="7" s="1"/>
  <c r="EZ39" i="7" a="1"/>
  <c r="EZ39" i="7" s="1"/>
  <c r="EZ45" i="7" a="1"/>
  <c r="EZ45" i="7" s="1"/>
  <c r="EZ56" i="7" a="1"/>
  <c r="EZ56" i="7" s="1"/>
  <c r="EZ12" i="7" a="1"/>
  <c r="EZ12" i="7" s="1"/>
  <c r="EZ17" i="7" a="1"/>
  <c r="EZ17" i="7" s="1"/>
  <c r="EZ29" i="7" a="1"/>
  <c r="EZ29" i="7" s="1"/>
  <c r="EZ40" i="7" a="1"/>
  <c r="EZ40" i="7" s="1"/>
  <c r="EZ47" i="7" a="1"/>
  <c r="EZ47" i="7" s="1"/>
  <c r="EZ8" i="7" a="1"/>
  <c r="EZ8" i="7" s="1"/>
  <c r="EZ11" i="7" a="1"/>
  <c r="EZ11" i="7" s="1"/>
  <c r="EZ16" i="7" a="1"/>
  <c r="EZ16" i="7" s="1"/>
  <c r="EZ34" i="7" a="1"/>
  <c r="EZ34" i="7" s="1"/>
  <c r="EZ46" i="7" a="1"/>
  <c r="EZ46" i="7" s="1"/>
  <c r="EZ52" i="7" a="1"/>
  <c r="EZ52" i="7" s="1"/>
  <c r="EZ57" i="7" a="1"/>
  <c r="EZ57" i="7" s="1"/>
  <c r="EZ24" i="7" a="1"/>
  <c r="EZ24" i="7" s="1"/>
  <c r="EZ35" i="7" a="1"/>
  <c r="EZ35" i="7" s="1"/>
  <c r="EZ14" i="7" a="1"/>
  <c r="EZ14" i="7" s="1"/>
  <c r="EZ19" i="7" a="1"/>
  <c r="EZ19" i="7" s="1"/>
  <c r="EZ25" i="7" a="1"/>
  <c r="EZ25" i="7" s="1"/>
  <c r="EZ31" i="7" a="1"/>
  <c r="EZ31" i="7" s="1"/>
  <c r="EZ42" i="7" a="1"/>
  <c r="EZ42" i="7" s="1"/>
  <c r="EZ48" i="7" a="1"/>
  <c r="EZ48" i="7" s="1"/>
  <c r="EZ20" i="7" a="1"/>
  <c r="EZ20" i="7" s="1"/>
  <c r="EZ32" i="7" a="1"/>
  <c r="EZ32" i="7" s="1"/>
  <c r="EZ37" i="7" a="1"/>
  <c r="EZ37" i="7" s="1"/>
  <c r="EZ43" i="7" a="1"/>
  <c r="EZ43" i="7" s="1"/>
  <c r="EZ49" i="7" a="1"/>
  <c r="EZ49" i="7" s="1"/>
  <c r="EZ54" i="7" a="1"/>
  <c r="EZ54" i="7" s="1"/>
  <c r="EZ15" i="7" a="1"/>
  <c r="EZ15" i="7" s="1"/>
  <c r="EZ21" i="7" a="1"/>
  <c r="EZ21" i="7" s="1"/>
  <c r="EZ26" i="7" a="1"/>
  <c r="EZ26" i="7" s="1"/>
  <c r="EZ44" i="7" a="1"/>
  <c r="EZ44" i="7" s="1"/>
  <c r="EZ50" i="7" a="1"/>
  <c r="EZ50" i="7" s="1"/>
  <c r="EZ55" i="7" a="1"/>
  <c r="EZ55" i="7" s="1"/>
  <c r="EZ9" i="7" a="1"/>
  <c r="EZ9" i="7" s="1"/>
  <c r="EZ22" i="7" a="1"/>
  <c r="EZ22" i="7" s="1"/>
  <c r="EZ27" i="7" a="1"/>
  <c r="EZ27" i="7" s="1"/>
  <c r="EZ33" i="7" a="1"/>
  <c r="EZ33" i="7" s="1"/>
  <c r="EZ38" i="7" a="1"/>
  <c r="EZ38" i="7" s="1"/>
  <c r="EZ51" i="7" a="1"/>
  <c r="EZ51" i="7" s="1"/>
  <c r="EZ13" i="7" a="1"/>
  <c r="EZ13" i="7" s="1"/>
  <c r="EZ53" i="7" a="1"/>
  <c r="EZ53" i="7" s="1"/>
  <c r="EZ41" i="7" a="1"/>
  <c r="EZ41" i="7" s="1"/>
  <c r="EZ36" i="7" a="1"/>
  <c r="EZ36" i="7" s="1"/>
  <c r="EX15" i="7" a="1"/>
  <c r="EX15" i="7" s="1"/>
  <c r="EX19" i="7" a="1"/>
  <c r="EX19" i="7" s="1"/>
  <c r="EX24" i="7" a="1"/>
  <c r="EX24" i="7" s="1"/>
  <c r="EX35" i="7" a="1"/>
  <c r="EX35" i="7" s="1"/>
  <c r="EX41" i="7" a="1"/>
  <c r="EX41" i="7" s="1"/>
  <c r="EX46" i="7" a="1"/>
  <c r="EX46" i="7" s="1"/>
  <c r="EX57" i="7" a="1"/>
  <c r="EX57" i="7" s="1"/>
  <c r="EZ30" i="7" a="1"/>
  <c r="EZ30" i="7" s="1"/>
  <c r="EZ18" i="7" a="1"/>
  <c r="EZ18" i="7" s="1"/>
  <c r="FB52" i="7" a="1"/>
  <c r="FB52" i="7" s="1"/>
  <c r="FB33" i="7" a="1"/>
  <c r="FB33" i="7" s="1"/>
  <c r="FB14" i="7" a="1"/>
  <c r="FB14" i="7" s="1"/>
  <c r="FB55" i="7" a="1"/>
  <c r="FB55" i="7" s="1"/>
  <c r="FB49" i="7" a="1"/>
  <c r="FB49" i="7" s="1"/>
  <c r="FB42" i="7" a="1"/>
  <c r="FB42" i="7" s="1"/>
  <c r="FB36" i="7" a="1"/>
  <c r="FB36" i="7" s="1"/>
  <c r="FB22" i="7" a="1"/>
  <c r="FB22" i="7" s="1"/>
  <c r="FB16" i="7" a="1"/>
  <c r="FB16" i="7" s="1"/>
  <c r="EX56" i="7" a="1"/>
  <c r="EX56" i="7" s="1"/>
  <c r="EX51" i="7" a="1"/>
  <c r="EX51" i="7" s="1"/>
  <c r="EX40" i="7" a="1"/>
  <c r="EX40" i="7" s="1"/>
  <c r="EX34" i="7" a="1"/>
  <c r="EX34" i="7" s="1"/>
  <c r="EX29" i="7" a="1"/>
  <c r="EX29" i="7" s="1"/>
  <c r="EX18" i="7" a="1"/>
  <c r="EX18" i="7" s="1"/>
  <c r="EX10" i="7" a="1"/>
  <c r="EX10" i="7" s="1"/>
  <c r="FB54" i="7" a="1"/>
  <c r="FB54" i="7" s="1"/>
  <c r="FB48" i="7" a="1"/>
  <c r="FB48" i="7" s="1"/>
  <c r="FB35" i="7" a="1"/>
  <c r="FB35" i="7" s="1"/>
  <c r="FB29" i="7" a="1"/>
  <c r="FB29" i="7" s="1"/>
  <c r="FB10" i="7" a="1"/>
  <c r="FB10" i="7" s="1"/>
  <c r="EX50" i="7" a="1"/>
  <c r="EX50" i="7" s="1"/>
  <c r="EX45" i="7" a="1"/>
  <c r="EX45" i="7" s="1"/>
  <c r="EX28" i="7" a="1"/>
  <c r="EX28" i="7" s="1"/>
  <c r="EX23" i="7" a="1"/>
  <c r="EX23" i="7" s="1"/>
  <c r="EX14" i="7" a="1"/>
  <c r="EX14" i="7" s="1"/>
  <c r="FB8" i="7" a="1"/>
  <c r="FB8" i="7" s="1"/>
  <c r="FB47" i="7" a="1"/>
  <c r="FB47" i="7" s="1"/>
  <c r="FB41" i="7" a="1"/>
  <c r="FB41" i="7" s="1"/>
  <c r="FB34" i="7" a="1"/>
  <c r="FB34" i="7" s="1"/>
  <c r="FB28" i="7" a="1"/>
  <c r="FB28" i="7" s="1"/>
  <c r="FB21" i="7" a="1"/>
  <c r="FB21" i="7" s="1"/>
  <c r="FB15" i="7" a="1"/>
  <c r="FB15" i="7" s="1"/>
  <c r="FB9" i="7" a="1"/>
  <c r="FB9" i="7" s="1"/>
  <c r="FB19" i="7" a="1"/>
  <c r="FB19" i="7" s="1"/>
  <c r="EX55" i="7" a="1"/>
  <c r="EX55" i="7" s="1"/>
  <c r="EX44" i="7" a="1"/>
  <c r="EX44" i="7" s="1"/>
  <c r="EX39" i="7" a="1"/>
  <c r="EX39" i="7" s="1"/>
  <c r="EX33" i="7" a="1"/>
  <c r="EX33" i="7" s="1"/>
  <c r="EX22" i="7" a="1"/>
  <c r="EX22" i="7" s="1"/>
  <c r="EX17" i="7" a="1"/>
  <c r="EX17" i="7" s="1"/>
  <c r="EX9" i="7" a="1"/>
  <c r="EX9" i="7" s="1"/>
  <c r="FB53" i="7" a="1"/>
  <c r="FB53" i="7" s="1"/>
  <c r="FB46" i="7" a="1"/>
  <c r="FB46" i="7" s="1"/>
  <c r="FB40" i="7" a="1"/>
  <c r="FB40" i="7" s="1"/>
  <c r="FB27" i="7" a="1"/>
  <c r="FB27" i="7" s="1"/>
  <c r="FB20" i="7" a="1"/>
  <c r="FB20" i="7" s="1"/>
  <c r="EX43" i="7" a="1"/>
  <c r="EX43" i="7" s="1"/>
  <c r="EX21" i="7" a="1"/>
  <c r="EX21" i="7" s="1"/>
  <c r="FB51" i="7" a="1"/>
  <c r="FB51" i="7" s="1"/>
  <c r="FB32" i="7" a="1"/>
  <c r="FB32" i="7" s="1"/>
  <c r="FB25" i="7" a="1"/>
  <c r="FB25" i="7" s="1"/>
  <c r="FB13" i="7" a="1"/>
  <c r="FB13" i="7" s="1"/>
  <c r="EX8" i="7" a="1"/>
  <c r="EX8" i="7" s="1"/>
  <c r="EX53" i="7" a="1"/>
  <c r="EX53" i="7" s="1"/>
  <c r="EX42" i="7" a="1"/>
  <c r="EX42" i="7" s="1"/>
  <c r="EX36" i="7" a="1"/>
  <c r="EX36" i="7" s="1"/>
  <c r="EX31" i="7" a="1"/>
  <c r="EX31" i="7" s="1"/>
  <c r="EX20" i="7" a="1"/>
  <c r="EX20" i="7" s="1"/>
  <c r="EX12" i="7" a="1"/>
  <c r="EX12" i="7" s="1"/>
  <c r="FB57" i="7" a="1"/>
  <c r="FB57" i="7" s="1"/>
  <c r="FB50" i="7" a="1"/>
  <c r="FB50" i="7" s="1"/>
  <c r="FB44" i="7" a="1"/>
  <c r="FB44" i="7" s="1"/>
  <c r="FB31" i="7" a="1"/>
  <c r="FB31" i="7" s="1"/>
  <c r="FB24" i="7" a="1"/>
  <c r="FB24" i="7" s="1"/>
  <c r="FB12" i="7" a="1"/>
  <c r="FB12" i="7" s="1"/>
  <c r="FB39" i="7" a="1"/>
  <c r="FB39" i="7" s="1"/>
  <c r="EX48" i="7" a="1"/>
  <c r="EX48" i="7" s="1"/>
  <c r="EX37" i="7" a="1"/>
  <c r="EX37" i="7" s="1"/>
  <c r="EX26" i="7" a="1"/>
  <c r="EX26" i="7" s="1"/>
  <c r="EX16" i="7" a="1"/>
  <c r="EX16" i="7" s="1"/>
  <c r="FB45" i="7" a="1"/>
  <c r="FB45" i="7" s="1"/>
  <c r="FB38" i="7" a="1"/>
  <c r="FB38" i="7" s="1"/>
  <c r="FB18" i="7" a="1"/>
  <c r="FB18" i="7" s="1"/>
  <c r="EX52" i="7" a="1"/>
  <c r="EX52" i="7" s="1"/>
  <c r="EX47" i="7" a="1"/>
  <c r="EX47" i="7" s="1"/>
  <c r="EX30" i="7" a="1"/>
  <c r="EX30" i="7" s="1"/>
  <c r="EX25" i="7" a="1"/>
  <c r="EX25" i="7" s="1"/>
  <c r="FB56" i="7" a="1"/>
  <c r="FB56" i="7" s="1"/>
  <c r="FB43" i="7" a="1"/>
  <c r="FB43" i="7" s="1"/>
  <c r="FB37" i="7" a="1"/>
  <c r="FB37" i="7" s="1"/>
  <c r="FB30" i="7" a="1"/>
  <c r="FB30" i="7" s="1"/>
  <c r="FB23" i="7" a="1"/>
  <c r="FB23" i="7" s="1"/>
  <c r="FB17" i="7" a="1"/>
  <c r="FB17" i="7" s="1"/>
  <c r="ES18" i="7" a="1"/>
  <c r="ES18" i="7" s="1"/>
  <c r="ES15" i="7" a="1"/>
  <c r="ES15" i="7" s="1"/>
  <c r="ES22" i="7" a="1"/>
  <c r="ES22" i="7" s="1"/>
  <c r="ES10" i="7" a="1"/>
  <c r="ES10" i="7" s="1"/>
  <c r="ES11" i="7" a="1"/>
  <c r="ES11" i="7" s="1"/>
  <c r="ES19" i="7" a="1"/>
  <c r="ES19" i="7" s="1"/>
  <c r="ES23" i="7" a="1"/>
  <c r="ES23" i="7" s="1"/>
  <c r="ES27" i="7" a="1"/>
  <c r="ES27" i="7" s="1"/>
  <c r="ES31" i="7" a="1"/>
  <c r="ES31" i="7" s="1"/>
  <c r="ES35" i="7" a="1"/>
  <c r="ES35" i="7" s="1"/>
  <c r="ES39" i="7" a="1"/>
  <c r="ES39" i="7" s="1"/>
  <c r="ES43" i="7" a="1"/>
  <c r="ES43" i="7" s="1"/>
  <c r="ES47" i="7" a="1"/>
  <c r="ES47" i="7" s="1"/>
  <c r="ES51" i="7" a="1"/>
  <c r="ES51" i="7" s="1"/>
  <c r="ES55" i="7" a="1"/>
  <c r="ES55" i="7" s="1"/>
  <c r="ES56" i="7" a="1"/>
  <c r="ES56" i="7" s="1"/>
  <c r="ES26" i="7" a="1"/>
  <c r="ES26" i="7" s="1"/>
  <c r="ES30" i="7" a="1"/>
  <c r="ES30" i="7" s="1"/>
  <c r="ES34" i="7" a="1"/>
  <c r="ES34" i="7" s="1"/>
  <c r="ES38" i="7" a="1"/>
  <c r="ES38" i="7" s="1"/>
  <c r="ES42" i="7" a="1"/>
  <c r="ES42" i="7" s="1"/>
  <c r="ES46" i="7" a="1"/>
  <c r="ES46" i="7" s="1"/>
  <c r="ES50" i="7" a="1"/>
  <c r="ES50" i="7" s="1"/>
  <c r="ES54" i="7" a="1"/>
  <c r="ES54" i="7" s="1"/>
  <c r="ES14" i="7" a="1"/>
  <c r="ES14" i="7" s="1"/>
  <c r="ES8" i="7" a="1"/>
  <c r="ES8" i="7" s="1"/>
  <c r="ES12" i="7" a="1"/>
  <c r="ES12" i="7" s="1"/>
  <c r="ES16" i="7" a="1"/>
  <c r="ES16" i="7" s="1"/>
  <c r="ES20" i="7" a="1"/>
  <c r="ES20" i="7" s="1"/>
  <c r="ES24" i="7" a="1"/>
  <c r="ES24" i="7" s="1"/>
  <c r="ES28" i="7" a="1"/>
  <c r="ES28" i="7" s="1"/>
  <c r="ES32" i="7" a="1"/>
  <c r="ES32" i="7" s="1"/>
  <c r="ES36" i="7" a="1"/>
  <c r="ES36" i="7" s="1"/>
  <c r="ES40" i="7" a="1"/>
  <c r="ES40" i="7" s="1"/>
  <c r="ES44" i="7" a="1"/>
  <c r="ES44" i="7" s="1"/>
  <c r="ES48" i="7" a="1"/>
  <c r="ES48" i="7" s="1"/>
  <c r="ES52" i="7" a="1"/>
  <c r="ES52" i="7" s="1"/>
  <c r="ES57" i="7" a="1"/>
  <c r="ES57" i="7" s="1"/>
  <c r="ES9" i="7" a="1"/>
  <c r="ES9" i="7" s="1"/>
  <c r="ES13" i="7" a="1"/>
  <c r="ES13" i="7" s="1"/>
  <c r="ES17" i="7" a="1"/>
  <c r="ES17" i="7" s="1"/>
  <c r="ES21" i="7" a="1"/>
  <c r="ES21" i="7" s="1"/>
  <c r="ES25" i="7" a="1"/>
  <c r="ES25" i="7" s="1"/>
  <c r="ES29" i="7" a="1"/>
  <c r="ES29" i="7" s="1"/>
  <c r="ES33" i="7" a="1"/>
  <c r="ES33" i="7" s="1"/>
  <c r="ES37" i="7" a="1"/>
  <c r="ES37" i="7" s="1"/>
  <c r="ES41" i="7" a="1"/>
  <c r="ES41" i="7" s="1"/>
  <c r="ES45" i="7" a="1"/>
  <c r="ES45" i="7" s="1"/>
  <c r="ES49" i="7" a="1"/>
  <c r="ES49" i="7" s="1"/>
  <c r="ES53" i="7" a="1"/>
  <c r="ES53" i="7" s="1"/>
  <c r="BB9" i="7"/>
  <c r="BB10" i="7"/>
  <c r="BB11" i="7"/>
  <c r="BB12" i="7"/>
  <c r="BB13" i="7"/>
  <c r="BB14" i="7"/>
  <c r="BB15" i="7"/>
  <c r="BB16" i="7"/>
  <c r="BB17" i="7"/>
  <c r="BB18" i="7"/>
  <c r="BB19" i="7"/>
  <c r="BB20" i="7"/>
  <c r="BB21" i="7"/>
  <c r="BB22" i="7"/>
  <c r="BB23" i="7"/>
  <c r="BB24" i="7"/>
  <c r="BB25" i="7"/>
  <c r="BB26" i="7"/>
  <c r="BB27" i="7"/>
  <c r="BB28" i="7"/>
  <c r="BB29" i="7"/>
  <c r="BB30" i="7"/>
  <c r="BB31" i="7"/>
  <c r="BB32" i="7"/>
  <c r="BB33" i="7"/>
  <c r="BB34" i="7"/>
  <c r="BB35" i="7"/>
  <c r="BB36" i="7"/>
  <c r="BB37" i="7"/>
  <c r="BB38" i="7"/>
  <c r="BB39" i="7"/>
  <c r="BB40" i="7"/>
  <c r="BB41" i="7"/>
  <c r="BB42" i="7"/>
  <c r="BB43" i="7"/>
  <c r="BB44" i="7"/>
  <c r="BB45" i="7"/>
  <c r="BB46" i="7"/>
  <c r="BB47" i="7"/>
  <c r="BB48" i="7"/>
  <c r="BB49" i="7"/>
  <c r="BB50" i="7"/>
  <c r="BB51" i="7"/>
  <c r="BB52" i="7"/>
  <c r="BB53" i="7"/>
  <c r="BB54" i="7"/>
  <c r="BB55" i="7"/>
  <c r="BB56" i="7"/>
  <c r="BB57" i="7"/>
  <c r="BB8" i="7"/>
  <c r="BE8" i="7" s="1"/>
  <c r="BJ23" i="7"/>
  <c r="BJ31" i="7"/>
  <c r="BJ39" i="7"/>
  <c r="BJ47" i="7"/>
  <c r="BJ55" i="7"/>
  <c r="AP8" i="7"/>
  <c r="AU8" i="7"/>
  <c r="AS8" i="7"/>
  <c r="FM6" i="7"/>
  <c r="FK9" i="7"/>
  <c r="FK10" i="7"/>
  <c r="FK11" i="7"/>
  <c r="FK12" i="7"/>
  <c r="FK13" i="7"/>
  <c r="FK14" i="7"/>
  <c r="FK15" i="7"/>
  <c r="FK16" i="7"/>
  <c r="FK17" i="7"/>
  <c r="FK18" i="7"/>
  <c r="FK19" i="7"/>
  <c r="FK20" i="7"/>
  <c r="FK21" i="7"/>
  <c r="FK22" i="7"/>
  <c r="FK23" i="7"/>
  <c r="FK24" i="7"/>
  <c r="FK25" i="7"/>
  <c r="FK26" i="7"/>
  <c r="FK27" i="7"/>
  <c r="FK28" i="7"/>
  <c r="FK29" i="7"/>
  <c r="FK30" i="7"/>
  <c r="FK31" i="7"/>
  <c r="FK32" i="7"/>
  <c r="FK33" i="7"/>
  <c r="FK34" i="7"/>
  <c r="FK35" i="7"/>
  <c r="FK36" i="7"/>
  <c r="FK37" i="7"/>
  <c r="FK38" i="7"/>
  <c r="FK39" i="7"/>
  <c r="FK40" i="7"/>
  <c r="FK41" i="7"/>
  <c r="FK42" i="7"/>
  <c r="FK43" i="7"/>
  <c r="FK44" i="7"/>
  <c r="FK45" i="7"/>
  <c r="FK46" i="7"/>
  <c r="FK47" i="7"/>
  <c r="FK48" i="7"/>
  <c r="FK49" i="7"/>
  <c r="FK50" i="7"/>
  <c r="FK51" i="7"/>
  <c r="FK52" i="7"/>
  <c r="FK53" i="7"/>
  <c r="FK54" i="7"/>
  <c r="FK55" i="7"/>
  <c r="FK56" i="7"/>
  <c r="FK57" i="7"/>
  <c r="FK8" i="7"/>
  <c r="FH6" i="7"/>
  <c r="EN6" i="7"/>
  <c r="EK6" i="7"/>
  <c r="EG6" i="7"/>
  <c r="H11" i="23" a="1"/>
  <c r="H11" i="23" s="1"/>
  <c r="CR57" i="7" a="1"/>
  <c r="CR57" i="7" s="1"/>
  <c r="CR56" i="7" a="1"/>
  <c r="CR56" i="7" s="1"/>
  <c r="CR55" i="7" a="1"/>
  <c r="CR55" i="7" s="1"/>
  <c r="CR54" i="7" a="1"/>
  <c r="CR54" i="7" s="1"/>
  <c r="CR53" i="7" a="1"/>
  <c r="CR53" i="7" s="1"/>
  <c r="CR52" i="7" a="1"/>
  <c r="CR52" i="7" s="1"/>
  <c r="CR51" i="7" a="1"/>
  <c r="CR51" i="7" s="1"/>
  <c r="CR50" i="7" a="1"/>
  <c r="CR50" i="7" s="1"/>
  <c r="CR49" i="7" a="1"/>
  <c r="CR49" i="7" s="1"/>
  <c r="CR48" i="7" a="1"/>
  <c r="CR48" i="7" s="1"/>
  <c r="CR47" i="7" a="1"/>
  <c r="CR47" i="7" s="1"/>
  <c r="CR46" i="7" a="1"/>
  <c r="CR46" i="7" s="1"/>
  <c r="CR45" i="7" a="1"/>
  <c r="CR45" i="7" s="1"/>
  <c r="CR44" i="7" a="1"/>
  <c r="CR44" i="7" s="1"/>
  <c r="CR43" i="7" a="1"/>
  <c r="CR43" i="7" s="1"/>
  <c r="CR42" i="7" a="1"/>
  <c r="CR42" i="7" s="1"/>
  <c r="CR41" i="7" a="1"/>
  <c r="CR41" i="7" s="1"/>
  <c r="CR40" i="7" a="1"/>
  <c r="CR40" i="7" s="1"/>
  <c r="CR39" i="7" a="1"/>
  <c r="CR39" i="7" s="1"/>
  <c r="CR38" i="7" a="1"/>
  <c r="CR38" i="7" s="1"/>
  <c r="CR37" i="7" a="1"/>
  <c r="CR37" i="7" s="1"/>
  <c r="CR36" i="7" a="1"/>
  <c r="CR36" i="7" s="1"/>
  <c r="CR35" i="7" a="1"/>
  <c r="CR35" i="7" s="1"/>
  <c r="CR34" i="7" a="1"/>
  <c r="CR34" i="7" s="1"/>
  <c r="CR33" i="7" a="1"/>
  <c r="CR33" i="7" s="1"/>
  <c r="CR32" i="7" a="1"/>
  <c r="CR32" i="7" s="1"/>
  <c r="CR31" i="7" a="1"/>
  <c r="CR31" i="7" s="1"/>
  <c r="CR30" i="7" a="1"/>
  <c r="CR30" i="7" s="1"/>
  <c r="CR29" i="7" a="1"/>
  <c r="CR29" i="7" s="1"/>
  <c r="CR28" i="7" a="1"/>
  <c r="CR28" i="7" s="1"/>
  <c r="CR27" i="7" a="1"/>
  <c r="CR27" i="7" s="1"/>
  <c r="CR26" i="7" a="1"/>
  <c r="CR26" i="7" s="1"/>
  <c r="CR25" i="7" a="1"/>
  <c r="CR25" i="7" s="1"/>
  <c r="CR24" i="7" a="1"/>
  <c r="CR24" i="7" s="1"/>
  <c r="CR23" i="7" a="1"/>
  <c r="CR23" i="7" s="1"/>
  <c r="CR22" i="7" a="1"/>
  <c r="CR22" i="7" s="1"/>
  <c r="CR21" i="7" a="1"/>
  <c r="CR21" i="7" s="1"/>
  <c r="CR20" i="7" a="1"/>
  <c r="CR20" i="7" s="1"/>
  <c r="CR19" i="7" a="1"/>
  <c r="CR19" i="7" s="1"/>
  <c r="CR18" i="7" a="1"/>
  <c r="CR18" i="7" s="1"/>
  <c r="CR17" i="7" a="1"/>
  <c r="CR17" i="7" s="1"/>
  <c r="CR16" i="7" a="1"/>
  <c r="CR16" i="7" s="1"/>
  <c r="CR15" i="7" a="1"/>
  <c r="CR15" i="7" s="1"/>
  <c r="CR14" i="7" a="1"/>
  <c r="CR14" i="7" s="1"/>
  <c r="CR13" i="7" a="1"/>
  <c r="CR13" i="7" s="1"/>
  <c r="CR12" i="7" a="1"/>
  <c r="CR12" i="7" s="1"/>
  <c r="CR11" i="7" a="1"/>
  <c r="CR11" i="7" s="1"/>
  <c r="CR10" i="7" a="1"/>
  <c r="CR10" i="7" s="1"/>
  <c r="CR9" i="7" a="1"/>
  <c r="CR9" i="7" s="1"/>
  <c r="CR8" i="7" a="1"/>
  <c r="CR8" i="7" s="1"/>
  <c r="CN6" i="7"/>
  <c r="CB6" i="7"/>
  <c r="L6" i="7"/>
  <c r="FD60" i="7"/>
  <c r="FD59" i="7"/>
  <c r="B51" i="25" a="1"/>
  <c r="B51" i="25" s="1"/>
  <c r="B52" i="23" a="1"/>
  <c r="B52" i="23" s="1"/>
  <c r="AF57" i="7" a="1"/>
  <c r="AF57" i="7" s="1"/>
  <c r="AF56" i="7" a="1"/>
  <c r="AF56" i="7" s="1"/>
  <c r="AF55" i="7" a="1"/>
  <c r="AF55" i="7" s="1"/>
  <c r="AF54" i="7" a="1"/>
  <c r="AF54" i="7" s="1"/>
  <c r="AF53" i="7" a="1"/>
  <c r="AF53" i="7" s="1"/>
  <c r="AF52" i="7" a="1"/>
  <c r="AF52" i="7" s="1"/>
  <c r="AF51" i="7" a="1"/>
  <c r="AF51" i="7" s="1"/>
  <c r="AF50" i="7" a="1"/>
  <c r="AF50" i="7" s="1"/>
  <c r="AF49" i="7" a="1"/>
  <c r="AF49" i="7" s="1"/>
  <c r="AF48" i="7" a="1"/>
  <c r="AF48" i="7" s="1"/>
  <c r="AF47" i="7" a="1"/>
  <c r="AF47" i="7" s="1"/>
  <c r="AF46" i="7" a="1"/>
  <c r="AF46" i="7" s="1"/>
  <c r="AF45" i="7" a="1"/>
  <c r="AF45" i="7" s="1"/>
  <c r="AF44" i="7" a="1"/>
  <c r="AF44" i="7" s="1"/>
  <c r="AF43" i="7" a="1"/>
  <c r="AF43" i="7" s="1"/>
  <c r="AF42" i="7" a="1"/>
  <c r="AF42" i="7" s="1"/>
  <c r="AF41" i="7" a="1"/>
  <c r="AF41" i="7" s="1"/>
  <c r="AF40" i="7" a="1"/>
  <c r="AF40" i="7" s="1"/>
  <c r="AF39" i="7" a="1"/>
  <c r="AF39" i="7" s="1"/>
  <c r="AF38" i="7" a="1"/>
  <c r="AF38" i="7" s="1"/>
  <c r="AF37" i="7" a="1"/>
  <c r="AF37" i="7" s="1"/>
  <c r="AF36" i="7" a="1"/>
  <c r="AF36" i="7" s="1"/>
  <c r="AF35" i="7" a="1"/>
  <c r="AF35" i="7" s="1"/>
  <c r="AF34" i="7" a="1"/>
  <c r="AF34" i="7" s="1"/>
  <c r="AF33" i="7" a="1"/>
  <c r="AF33" i="7" s="1"/>
  <c r="AF32" i="7" a="1"/>
  <c r="AF32" i="7" s="1"/>
  <c r="AF31" i="7" a="1"/>
  <c r="AF31" i="7" s="1"/>
  <c r="AF30" i="7" a="1"/>
  <c r="AF30" i="7" s="1"/>
  <c r="AF29" i="7" a="1"/>
  <c r="AF29" i="7" s="1"/>
  <c r="AF28" i="7" a="1"/>
  <c r="AF28" i="7" s="1"/>
  <c r="AF27" i="7" a="1"/>
  <c r="AF27" i="7" s="1"/>
  <c r="AF26" i="7" a="1"/>
  <c r="AF26" i="7" s="1"/>
  <c r="AF25" i="7" a="1"/>
  <c r="AF25" i="7" s="1"/>
  <c r="AF24" i="7" a="1"/>
  <c r="AF24" i="7" s="1"/>
  <c r="AF23" i="7" a="1"/>
  <c r="AF23" i="7" s="1"/>
  <c r="AF22" i="7" a="1"/>
  <c r="AF22" i="7" s="1"/>
  <c r="AF21" i="7" a="1"/>
  <c r="AF21" i="7" s="1"/>
  <c r="AF20" i="7" a="1"/>
  <c r="AF20" i="7" s="1"/>
  <c r="AF19" i="7" a="1"/>
  <c r="AF19" i="7" s="1"/>
  <c r="AF18" i="7" a="1"/>
  <c r="AF18" i="7" s="1"/>
  <c r="AF17" i="7" a="1"/>
  <c r="AF17" i="7" s="1"/>
  <c r="AF16" i="7" a="1"/>
  <c r="AF16" i="7" s="1"/>
  <c r="AF15" i="7" a="1"/>
  <c r="AF15" i="7" s="1"/>
  <c r="AJ15" i="7" s="1"/>
  <c r="AF14" i="7" a="1"/>
  <c r="AF14" i="7" s="1"/>
  <c r="AJ14" i="7" s="1"/>
  <c r="AF13" i="7" a="1"/>
  <c r="AF13" i="7" s="1"/>
  <c r="AJ13" i="7" s="1"/>
  <c r="AF12" i="7" a="1"/>
  <c r="AF12" i="7" s="1"/>
  <c r="AJ12" i="7" s="1"/>
  <c r="AF11" i="7" a="1"/>
  <c r="AF11" i="7" s="1"/>
  <c r="AJ11" i="7" s="1"/>
  <c r="AF10" i="7" a="1"/>
  <c r="AF10" i="7" s="1"/>
  <c r="AJ10" i="7" s="1"/>
  <c r="AF9" i="7" a="1"/>
  <c r="AF9" i="7" s="1"/>
  <c r="AJ9" i="7" s="1"/>
  <c r="AF8" i="7" a="1"/>
  <c r="AF8" i="7" s="1"/>
  <c r="AJ8" i="7" s="1"/>
  <c r="DD62" i="7"/>
  <c r="DD61" i="7"/>
  <c r="DD60" i="7"/>
  <c r="DB61" i="7"/>
  <c r="DB62" i="7"/>
  <c r="DB60" i="7"/>
  <c r="BQ6" i="7"/>
  <c r="DY8" i="7" a="1"/>
  <c r="DY8" i="7" s="1"/>
  <c r="DV60" i="7"/>
  <c r="DV59" i="7"/>
  <c r="DO9" i="7"/>
  <c r="DO10" i="7"/>
  <c r="DO11" i="7"/>
  <c r="DO12" i="7"/>
  <c r="DO13" i="7"/>
  <c r="DO14" i="7"/>
  <c r="DO15" i="7"/>
  <c r="DO16" i="7"/>
  <c r="DO17" i="7"/>
  <c r="DO18" i="7"/>
  <c r="DO19" i="7"/>
  <c r="DO20" i="7"/>
  <c r="DO21" i="7"/>
  <c r="DO22" i="7"/>
  <c r="DO23" i="7"/>
  <c r="DO24" i="7"/>
  <c r="DO25" i="7"/>
  <c r="DO26" i="7"/>
  <c r="DO27" i="7"/>
  <c r="DO28" i="7"/>
  <c r="DO29" i="7"/>
  <c r="DO30" i="7"/>
  <c r="DO31" i="7"/>
  <c r="DO32" i="7"/>
  <c r="DO33" i="7"/>
  <c r="DO34" i="7"/>
  <c r="DO35" i="7"/>
  <c r="DO36" i="7"/>
  <c r="DO37" i="7"/>
  <c r="DO38" i="7"/>
  <c r="DO39" i="7"/>
  <c r="DO40" i="7"/>
  <c r="DO41" i="7"/>
  <c r="DO42" i="7"/>
  <c r="DO43" i="7"/>
  <c r="DO44" i="7"/>
  <c r="DO45" i="7"/>
  <c r="DO46" i="7"/>
  <c r="DO47" i="7"/>
  <c r="DO48" i="7"/>
  <c r="DO49" i="7"/>
  <c r="DO50" i="7"/>
  <c r="DO51" i="7"/>
  <c r="DO52" i="7"/>
  <c r="DO53" i="7"/>
  <c r="DO54" i="7"/>
  <c r="DO55" i="7"/>
  <c r="DO56" i="7"/>
  <c r="DO57" i="7"/>
  <c r="DO8" i="7"/>
  <c r="DJ9" i="7"/>
  <c r="DL9" i="7" s="1"/>
  <c r="DJ10" i="7"/>
  <c r="DL10" i="7" s="1"/>
  <c r="DJ11" i="7"/>
  <c r="DL11" i="7" s="1"/>
  <c r="DJ12" i="7"/>
  <c r="DL12" i="7" s="1"/>
  <c r="DJ13" i="7"/>
  <c r="DL13" i="7" s="1"/>
  <c r="DJ14" i="7"/>
  <c r="DL14" i="7" s="1"/>
  <c r="DJ15" i="7"/>
  <c r="DL15" i="7" s="1"/>
  <c r="DJ16" i="7"/>
  <c r="DL16" i="7" s="1"/>
  <c r="DJ17" i="7"/>
  <c r="DL17" i="7" s="1"/>
  <c r="DJ18" i="7"/>
  <c r="DL18" i="7" s="1"/>
  <c r="DJ19" i="7"/>
  <c r="DJ20" i="7"/>
  <c r="DL20" i="7" s="1"/>
  <c r="DJ21" i="7"/>
  <c r="DL21" i="7" s="1"/>
  <c r="DJ22" i="7"/>
  <c r="DJ23" i="7"/>
  <c r="DL23" i="7" s="1"/>
  <c r="DJ24" i="7"/>
  <c r="DL24" i="7" s="1"/>
  <c r="DJ25" i="7"/>
  <c r="DL25" i="7" s="1"/>
  <c r="DJ26" i="7"/>
  <c r="DL26" i="7" s="1"/>
  <c r="DJ27" i="7"/>
  <c r="DL27" i="7" s="1"/>
  <c r="DJ28" i="7"/>
  <c r="DL28" i="7" s="1"/>
  <c r="DJ29" i="7"/>
  <c r="DL29" i="7" s="1"/>
  <c r="DJ30" i="7"/>
  <c r="DL30" i="7" s="1"/>
  <c r="DJ31" i="7"/>
  <c r="DL31" i="7" s="1"/>
  <c r="DJ32" i="7"/>
  <c r="DL32" i="7" s="1"/>
  <c r="DJ33" i="7"/>
  <c r="DL33" i="7" s="1"/>
  <c r="DJ34" i="7"/>
  <c r="DL34" i="7" s="1"/>
  <c r="DJ35" i="7"/>
  <c r="DJ36" i="7"/>
  <c r="DL36" i="7" s="1"/>
  <c r="DJ37" i="7"/>
  <c r="DL37" i="7" s="1"/>
  <c r="DJ38" i="7"/>
  <c r="DJ39" i="7"/>
  <c r="DL39" i="7" s="1"/>
  <c r="DJ40" i="7"/>
  <c r="DL40" i="7" s="1"/>
  <c r="DJ41" i="7"/>
  <c r="DL41" i="7" s="1"/>
  <c r="DJ42" i="7"/>
  <c r="DL42" i="7" s="1"/>
  <c r="DJ43" i="7"/>
  <c r="DL43" i="7" s="1"/>
  <c r="DJ44" i="7"/>
  <c r="DL44" i="7" s="1"/>
  <c r="DJ45" i="7"/>
  <c r="DL45" i="7" s="1"/>
  <c r="DJ46" i="7"/>
  <c r="DL46" i="7" s="1"/>
  <c r="DJ47" i="7"/>
  <c r="DL47" i="7" s="1"/>
  <c r="DJ48" i="7"/>
  <c r="DL48" i="7" s="1"/>
  <c r="DJ49" i="7"/>
  <c r="DL49" i="7" s="1"/>
  <c r="DJ50" i="7"/>
  <c r="DL50" i="7" s="1"/>
  <c r="DJ51" i="7"/>
  <c r="DJ52" i="7"/>
  <c r="DL52" i="7" s="1"/>
  <c r="DJ53" i="7"/>
  <c r="DL53" i="7" s="1"/>
  <c r="DJ54" i="7"/>
  <c r="DJ55" i="7"/>
  <c r="DL55" i="7" s="1"/>
  <c r="DJ56" i="7"/>
  <c r="DL56" i="7" s="1"/>
  <c r="DJ57" i="7"/>
  <c r="DL57" i="7" s="1"/>
  <c r="DJ8" i="7"/>
  <c r="DY9" i="7" a="1"/>
  <c r="DY9" i="7" s="1"/>
  <c r="DY10" i="7" a="1"/>
  <c r="DY10" i="7" s="1"/>
  <c r="DY11" i="7" a="1"/>
  <c r="DY11" i="7" s="1"/>
  <c r="DY12" i="7" a="1"/>
  <c r="DY12" i="7" s="1"/>
  <c r="DY13" i="7" a="1"/>
  <c r="DY13" i="7" s="1"/>
  <c r="DY14" i="7" a="1"/>
  <c r="DY14" i="7" s="1"/>
  <c r="DY15" i="7" a="1"/>
  <c r="DY15" i="7" s="1"/>
  <c r="DY16" i="7" a="1"/>
  <c r="DY16" i="7" s="1"/>
  <c r="DY17" i="7" a="1"/>
  <c r="DY17" i="7" s="1"/>
  <c r="DY18" i="7" a="1"/>
  <c r="DY18" i="7" s="1"/>
  <c r="DY19" i="7" a="1"/>
  <c r="DY19" i="7" s="1"/>
  <c r="DY20" i="7" a="1"/>
  <c r="DY20" i="7" s="1"/>
  <c r="DY21" i="7" a="1"/>
  <c r="DY21" i="7" s="1"/>
  <c r="DY22" i="7" a="1"/>
  <c r="DY22" i="7" s="1"/>
  <c r="DY23" i="7" a="1"/>
  <c r="DY23" i="7" s="1"/>
  <c r="DY24" i="7" a="1"/>
  <c r="DY24" i="7" s="1"/>
  <c r="DY25" i="7" a="1"/>
  <c r="DY25" i="7" s="1"/>
  <c r="DY26" i="7" a="1"/>
  <c r="DY26" i="7" s="1"/>
  <c r="DY27" i="7" a="1"/>
  <c r="DY27" i="7" s="1"/>
  <c r="DY28" i="7" a="1"/>
  <c r="DY28" i="7" s="1"/>
  <c r="DY29" i="7" a="1"/>
  <c r="DY29" i="7" s="1"/>
  <c r="DY30" i="7" a="1"/>
  <c r="DY30" i="7" s="1"/>
  <c r="DY31" i="7" a="1"/>
  <c r="DY31" i="7" s="1"/>
  <c r="DY32" i="7" a="1"/>
  <c r="DY32" i="7" s="1"/>
  <c r="DY33" i="7" a="1"/>
  <c r="DY33" i="7" s="1"/>
  <c r="DY34" i="7" a="1"/>
  <c r="DY34" i="7" s="1"/>
  <c r="DY35" i="7" a="1"/>
  <c r="DY35" i="7" s="1"/>
  <c r="DY36" i="7" a="1"/>
  <c r="DY36" i="7" s="1"/>
  <c r="DY37" i="7" a="1"/>
  <c r="DY37" i="7" s="1"/>
  <c r="DY38" i="7" a="1"/>
  <c r="DY38" i="7" s="1"/>
  <c r="DY39" i="7" a="1"/>
  <c r="DY39" i="7" s="1"/>
  <c r="DY40" i="7" a="1"/>
  <c r="DY40" i="7" s="1"/>
  <c r="DY41" i="7" a="1"/>
  <c r="DY41" i="7" s="1"/>
  <c r="DY42" i="7" a="1"/>
  <c r="DY42" i="7" s="1"/>
  <c r="DY43" i="7" a="1"/>
  <c r="DY43" i="7" s="1"/>
  <c r="DY44" i="7" a="1"/>
  <c r="DY44" i="7" s="1"/>
  <c r="DY45" i="7" a="1"/>
  <c r="DY45" i="7" s="1"/>
  <c r="DY46" i="7" a="1"/>
  <c r="DY46" i="7" s="1"/>
  <c r="DY47" i="7" a="1"/>
  <c r="DY47" i="7" s="1"/>
  <c r="DY48" i="7" a="1"/>
  <c r="DY48" i="7" s="1"/>
  <c r="DY49" i="7" a="1"/>
  <c r="DY49" i="7" s="1"/>
  <c r="DY50" i="7" a="1"/>
  <c r="DY50" i="7" s="1"/>
  <c r="DY51" i="7" a="1"/>
  <c r="DY51" i="7" s="1"/>
  <c r="DY52" i="7" a="1"/>
  <c r="DY52" i="7" s="1"/>
  <c r="DY53" i="7" a="1"/>
  <c r="DY53" i="7" s="1"/>
  <c r="DY54" i="7" a="1"/>
  <c r="DY54" i="7" s="1"/>
  <c r="DY55" i="7" a="1"/>
  <c r="DY55" i="7" s="1"/>
  <c r="DY56" i="7" a="1"/>
  <c r="DY56" i="7" s="1"/>
  <c r="DY57" i="7" a="1"/>
  <c r="DY57" i="7" s="1"/>
  <c r="AN11" i="26"/>
  <c r="AN12" i="26"/>
  <c r="AN13" i="26"/>
  <c r="AN14" i="26"/>
  <c r="AN15" i="26"/>
  <c r="AN16" i="26"/>
  <c r="AN17" i="26"/>
  <c r="AN18" i="26"/>
  <c r="AN19" i="26"/>
  <c r="AN20" i="26"/>
  <c r="AN21" i="26"/>
  <c r="AN22" i="26"/>
  <c r="AN23" i="26"/>
  <c r="AN24" i="26"/>
  <c r="AN25" i="26"/>
  <c r="AN26" i="26"/>
  <c r="AN27" i="26"/>
  <c r="AN28" i="26"/>
  <c r="AN29" i="26"/>
  <c r="AN30" i="26"/>
  <c r="AN31" i="26"/>
  <c r="AN32" i="26"/>
  <c r="AN33" i="26"/>
  <c r="AN34" i="26"/>
  <c r="AN35" i="26"/>
  <c r="AN36" i="26"/>
  <c r="AN37" i="26"/>
  <c r="AN38" i="26"/>
  <c r="AN39" i="26"/>
  <c r="AN40" i="26"/>
  <c r="AN41" i="26"/>
  <c r="AN42" i="26"/>
  <c r="AN43" i="26"/>
  <c r="AN44" i="26"/>
  <c r="AN45" i="26"/>
  <c r="AN46" i="26"/>
  <c r="AN47" i="26"/>
  <c r="AN48" i="26"/>
  <c r="AN49" i="26"/>
  <c r="AN50" i="26"/>
  <c r="AN51" i="26"/>
  <c r="AN52" i="26"/>
  <c r="AN53" i="26"/>
  <c r="AN54" i="26"/>
  <c r="AN55" i="26"/>
  <c r="AN56" i="26"/>
  <c r="AN57" i="26"/>
  <c r="AN58" i="26"/>
  <c r="AN59" i="26"/>
  <c r="AN10" i="26"/>
  <c r="Q10" i="27" a="1"/>
  <c r="Q10" i="27" s="1"/>
  <c r="L8" i="25" s="1" a="1"/>
  <c r="L8" i="25" s="1"/>
  <c r="Q11" i="27" a="1"/>
  <c r="Q11" i="27" s="1"/>
  <c r="L9" i="25" s="1" a="1"/>
  <c r="L9" i="25" s="1"/>
  <c r="Q12" i="27" a="1"/>
  <c r="Q12" i="27" s="1"/>
  <c r="L10" i="25" s="1" a="1"/>
  <c r="L10" i="25" s="1"/>
  <c r="Q13" i="27" a="1"/>
  <c r="Q13" i="27" s="1"/>
  <c r="L11" i="25" s="1" a="1"/>
  <c r="L11" i="25" s="1"/>
  <c r="Q14" i="27" a="1"/>
  <c r="Q14" i="27" s="1"/>
  <c r="L12" i="25" s="1" a="1"/>
  <c r="L12" i="25" s="1"/>
  <c r="Q15" i="27" a="1"/>
  <c r="Q15" i="27" s="1"/>
  <c r="L13" i="25" s="1" a="1"/>
  <c r="L13" i="25" s="1"/>
  <c r="Q16" i="27" a="1"/>
  <c r="Q16" i="27" s="1"/>
  <c r="L14" i="25" s="1" a="1"/>
  <c r="L14" i="25" s="1"/>
  <c r="Q17" i="27" a="1"/>
  <c r="Q17" i="27" s="1"/>
  <c r="L15" i="25" s="1" a="1"/>
  <c r="L15" i="25" s="1"/>
  <c r="Q18" i="27" a="1"/>
  <c r="Q18" i="27" s="1"/>
  <c r="L16" i="25" s="1" a="1"/>
  <c r="L16" i="25" s="1"/>
  <c r="Q19" i="27" a="1"/>
  <c r="Q19" i="27"/>
  <c r="L17" i="25" s="1" a="1"/>
  <c r="L17" i="25" s="1"/>
  <c r="Q20" i="27" a="1"/>
  <c r="Q20" i="27" s="1"/>
  <c r="L18" i="25" s="1" a="1"/>
  <c r="L18" i="25" s="1"/>
  <c r="Q21" i="27" a="1"/>
  <c r="Q21" i="27"/>
  <c r="L19" i="25" s="1" a="1"/>
  <c r="L19" i="25" s="1"/>
  <c r="Q22" i="27" a="1"/>
  <c r="Q22" i="27" s="1"/>
  <c r="L20" i="25" s="1" a="1"/>
  <c r="L20" i="25" s="1"/>
  <c r="Q23" i="27" a="1"/>
  <c r="Q23" i="27" s="1"/>
  <c r="L21" i="25" s="1" a="1"/>
  <c r="L21" i="25" s="1"/>
  <c r="Q24" i="27" a="1"/>
  <c r="Q24" i="27" s="1"/>
  <c r="L22" i="25" s="1" a="1"/>
  <c r="L22" i="25" s="1"/>
  <c r="Q25" i="27" a="1"/>
  <c r="Q25" i="27" s="1"/>
  <c r="L23" i="25" s="1" a="1"/>
  <c r="L23" i="25" s="1"/>
  <c r="Q26" i="27" a="1"/>
  <c r="Q26" i="27" s="1"/>
  <c r="L24" i="25" s="1" a="1"/>
  <c r="L24" i="25" s="1"/>
  <c r="Q27" i="27" a="1"/>
  <c r="Q27" i="27" s="1"/>
  <c r="L25" i="25" s="1" a="1"/>
  <c r="L25" i="25" s="1"/>
  <c r="Q28" i="27" a="1"/>
  <c r="Q28" i="27" s="1"/>
  <c r="L26" i="25" s="1" a="1"/>
  <c r="L26" i="25" s="1"/>
  <c r="Q29" i="27" a="1"/>
  <c r="Q29" i="27"/>
  <c r="L27" i="25" s="1" a="1"/>
  <c r="L27" i="25" s="1"/>
  <c r="Q30" i="27" a="1"/>
  <c r="Q30" i="27" s="1"/>
  <c r="L28" i="25" s="1" a="1"/>
  <c r="L28" i="25" s="1"/>
  <c r="Q31" i="27" a="1"/>
  <c r="Q31" i="27" s="1"/>
  <c r="L29" i="25" s="1" a="1"/>
  <c r="L29" i="25" s="1"/>
  <c r="Q32" i="27" a="1"/>
  <c r="Q32" i="27" s="1"/>
  <c r="L30" i="25" s="1" a="1"/>
  <c r="L30" i="25" s="1"/>
  <c r="Q33" i="27" a="1"/>
  <c r="Q33" i="27" s="1"/>
  <c r="L31" i="25" s="1" a="1"/>
  <c r="L31" i="25" s="1"/>
  <c r="Q34" i="27" a="1"/>
  <c r="Q34" i="27" s="1"/>
  <c r="L32" i="25" s="1" a="1"/>
  <c r="L32" i="25" s="1"/>
  <c r="Q35" i="27" a="1"/>
  <c r="Q35" i="27" s="1"/>
  <c r="L33" i="25" s="1" a="1"/>
  <c r="L33" i="25" s="1"/>
  <c r="Q36" i="27" a="1"/>
  <c r="Q36" i="27" s="1"/>
  <c r="L34" i="25" s="1" a="1"/>
  <c r="L34" i="25" s="1"/>
  <c r="Q37" i="27" a="1"/>
  <c r="Q37" i="27" s="1"/>
  <c r="L35" i="25" s="1" a="1"/>
  <c r="L35" i="25" s="1"/>
  <c r="Q38" i="27" a="1"/>
  <c r="Q38" i="27" s="1"/>
  <c r="L36" i="25" s="1" a="1"/>
  <c r="L36" i="25" s="1"/>
  <c r="Q39" i="27" a="1"/>
  <c r="Q39" i="27" s="1"/>
  <c r="L37" i="25" s="1" a="1"/>
  <c r="L37" i="25" s="1"/>
  <c r="Q40" i="27" a="1"/>
  <c r="Q40" i="27" s="1"/>
  <c r="L38" i="25" s="1" a="1"/>
  <c r="L38" i="25" s="1"/>
  <c r="Q41" i="27" a="1"/>
  <c r="Q41" i="27" s="1"/>
  <c r="L39" i="25" s="1" a="1"/>
  <c r="L39" i="25" s="1"/>
  <c r="Q42" i="27" a="1"/>
  <c r="Q42" i="27" s="1"/>
  <c r="L40" i="25" s="1" a="1"/>
  <c r="L40" i="25" s="1"/>
  <c r="Q43" i="27" a="1"/>
  <c r="Q43" i="27"/>
  <c r="L41" i="25" s="1" a="1"/>
  <c r="L41" i="25" s="1"/>
  <c r="Q44" i="27" a="1"/>
  <c r="Q44" i="27" s="1"/>
  <c r="L42" i="25" s="1" a="1"/>
  <c r="L42" i="25" s="1"/>
  <c r="Q45" i="27" a="1"/>
  <c r="Q45" i="27" s="1"/>
  <c r="L43" i="25" s="1" a="1"/>
  <c r="L43" i="25" s="1"/>
  <c r="Q46" i="27" a="1"/>
  <c r="Q46" i="27" s="1"/>
  <c r="L44" i="25" s="1" a="1"/>
  <c r="L44" i="25" s="1"/>
  <c r="Q47" i="27" a="1"/>
  <c r="Q47" i="27" s="1"/>
  <c r="L45" i="25" s="1" a="1"/>
  <c r="L45" i="25" s="1"/>
  <c r="Q48" i="27" a="1"/>
  <c r="Q48" i="27" s="1"/>
  <c r="L46" i="25" s="1" a="1"/>
  <c r="L46" i="25" s="1"/>
  <c r="Q49" i="27" a="1"/>
  <c r="Q49" i="27" s="1"/>
  <c r="L47" i="25" s="1" a="1"/>
  <c r="L47" i="25" s="1"/>
  <c r="Q50" i="27" a="1"/>
  <c r="Q50" i="27" s="1"/>
  <c r="L48" i="25" s="1" a="1"/>
  <c r="L48" i="25" s="1"/>
  <c r="Q51" i="27" a="1"/>
  <c r="Q51" i="27" s="1"/>
  <c r="L49" i="25" s="1" a="1"/>
  <c r="L49" i="25" s="1"/>
  <c r="Q52" i="27" a="1"/>
  <c r="Q52" i="27" s="1"/>
  <c r="L50" i="25" s="1" a="1"/>
  <c r="L50" i="25" s="1"/>
  <c r="Q53" i="27" a="1"/>
  <c r="Q53" i="27" s="1"/>
  <c r="L51" i="25" s="1" a="1"/>
  <c r="L51" i="25" s="1"/>
  <c r="Q54" i="27" a="1"/>
  <c r="Q54" i="27" s="1"/>
  <c r="L52" i="25" s="1" a="1"/>
  <c r="L52" i="25" s="1"/>
  <c r="Q55" i="27" a="1"/>
  <c r="Q55" i="27" s="1"/>
  <c r="L53" i="25" s="1" a="1"/>
  <c r="L53" i="25" s="1"/>
  <c r="Q56" i="27" a="1"/>
  <c r="Q56" i="27" s="1"/>
  <c r="L54" i="25" s="1" a="1"/>
  <c r="L54" i="25" s="1"/>
  <c r="Q57" i="27" a="1"/>
  <c r="Q57" i="27" s="1"/>
  <c r="L55" i="25" s="1" a="1"/>
  <c r="L55" i="25" s="1"/>
  <c r="Q58" i="27" a="1"/>
  <c r="Q58" i="27"/>
  <c r="L56" i="25" s="1" a="1"/>
  <c r="L56" i="25" s="1"/>
  <c r="Q9" i="27" a="1"/>
  <c r="Q9" i="27" s="1"/>
  <c r="L7" i="25" s="1" a="1"/>
  <c r="L7" i="25" s="1"/>
  <c r="O10" i="27" a="1"/>
  <c r="O10" i="27"/>
  <c r="K8" i="24" s="1" a="1"/>
  <c r="K8" i="24" s="1"/>
  <c r="O11" i="27" a="1"/>
  <c r="O11" i="27" s="1"/>
  <c r="K9" i="24" s="1" a="1"/>
  <c r="K9" i="24" s="1"/>
  <c r="O12" i="27" a="1"/>
  <c r="O12" i="27" s="1"/>
  <c r="K10" i="24" s="1" a="1"/>
  <c r="K10" i="24" s="1"/>
  <c r="O13" i="27" a="1"/>
  <c r="O13" i="27" s="1"/>
  <c r="K11" i="24" s="1" a="1"/>
  <c r="K11" i="24" s="1"/>
  <c r="O14" i="27" a="1"/>
  <c r="O14" i="27" s="1"/>
  <c r="K12" i="24" s="1" a="1"/>
  <c r="K12" i="24" s="1"/>
  <c r="O15" i="27" a="1"/>
  <c r="O15" i="27" s="1"/>
  <c r="K13" i="24" s="1" a="1"/>
  <c r="K13" i="24" s="1"/>
  <c r="O16" i="27" a="1"/>
  <c r="O16" i="27" s="1"/>
  <c r="K14" i="24" s="1" a="1"/>
  <c r="K14" i="24" s="1"/>
  <c r="O17" i="27" a="1"/>
  <c r="O17" i="27" s="1"/>
  <c r="K15" i="24" s="1" a="1"/>
  <c r="K15" i="24" s="1"/>
  <c r="O18" i="27" a="1"/>
  <c r="O18" i="27" s="1"/>
  <c r="K16" i="24" s="1" a="1"/>
  <c r="K16" i="24" s="1"/>
  <c r="O19" i="27" a="1"/>
  <c r="O19" i="27"/>
  <c r="K17" i="24" s="1" a="1"/>
  <c r="K17" i="24" s="1"/>
  <c r="O20" i="27" a="1"/>
  <c r="O20" i="27" s="1"/>
  <c r="K18" i="24" s="1" a="1"/>
  <c r="K18" i="24" s="1"/>
  <c r="O21" i="27" a="1"/>
  <c r="O21" i="27" s="1"/>
  <c r="K19" i="24" s="1" a="1"/>
  <c r="K19" i="24" s="1"/>
  <c r="O22" i="27" a="1"/>
  <c r="O22" i="27" s="1"/>
  <c r="K20" i="24" s="1" a="1"/>
  <c r="K20" i="24" s="1"/>
  <c r="O23" i="27" a="1"/>
  <c r="O23" i="27" s="1"/>
  <c r="K21" i="24" s="1" a="1"/>
  <c r="K21" i="24" s="1"/>
  <c r="O24" i="27" a="1"/>
  <c r="O24" i="27" s="1"/>
  <c r="K22" i="24" s="1" a="1"/>
  <c r="K22" i="24" s="1"/>
  <c r="O25" i="27" a="1"/>
  <c r="O25" i="27" s="1"/>
  <c r="K23" i="24" s="1" a="1"/>
  <c r="K23" i="24" s="1"/>
  <c r="O26" i="27" a="1"/>
  <c r="O26" i="27" s="1"/>
  <c r="K24" i="24" s="1" a="1"/>
  <c r="K24" i="24" s="1"/>
  <c r="O27" i="27" a="1"/>
  <c r="O27" i="27" s="1"/>
  <c r="K25" i="24" s="1" a="1"/>
  <c r="K25" i="24" s="1"/>
  <c r="O28" i="27" a="1"/>
  <c r="O28" i="27" s="1"/>
  <c r="K26" i="24" s="1" a="1"/>
  <c r="K26" i="24" s="1"/>
  <c r="O29" i="27" a="1"/>
  <c r="O29" i="27" s="1"/>
  <c r="K27" i="24" s="1" a="1"/>
  <c r="K27" i="24" s="1"/>
  <c r="O30" i="27" a="1"/>
  <c r="O30" i="27" s="1"/>
  <c r="K28" i="24" s="1" a="1"/>
  <c r="K28" i="24" s="1"/>
  <c r="O31" i="27" a="1"/>
  <c r="O31" i="27" s="1"/>
  <c r="K29" i="24" s="1" a="1"/>
  <c r="K29" i="24" s="1"/>
  <c r="O32" i="27" a="1"/>
  <c r="O32" i="27" s="1"/>
  <c r="K30" i="24" s="1" a="1"/>
  <c r="K30" i="24" s="1"/>
  <c r="O33" i="27" a="1"/>
  <c r="O33" i="27" s="1"/>
  <c r="K31" i="24" s="1" a="1"/>
  <c r="K31" i="24" s="1"/>
  <c r="O34" i="27" a="1"/>
  <c r="O34" i="27"/>
  <c r="K32" i="24" s="1" a="1"/>
  <c r="K32" i="24" s="1"/>
  <c r="O35" i="27" a="1"/>
  <c r="O35" i="27" s="1"/>
  <c r="K33" i="24" s="1" a="1"/>
  <c r="K33" i="24" s="1"/>
  <c r="O36" i="27" a="1"/>
  <c r="O36" i="27" s="1"/>
  <c r="K34" i="24" s="1" a="1"/>
  <c r="K34" i="24" s="1"/>
  <c r="O37" i="27" a="1"/>
  <c r="O37" i="27"/>
  <c r="K35" i="24" s="1" a="1"/>
  <c r="K35" i="24" s="1"/>
  <c r="O38" i="27" a="1"/>
  <c r="O38" i="27" s="1"/>
  <c r="K36" i="24" s="1" a="1"/>
  <c r="K36" i="24" s="1"/>
  <c r="O39" i="27" a="1"/>
  <c r="O39" i="27" s="1"/>
  <c r="K37" i="24" s="1" a="1"/>
  <c r="K37" i="24" s="1"/>
  <c r="O40" i="27" a="1"/>
  <c r="O40" i="27" s="1"/>
  <c r="K38" i="24" s="1" a="1"/>
  <c r="K38" i="24" s="1"/>
  <c r="O41" i="27" a="1"/>
  <c r="O41" i="27" s="1"/>
  <c r="K39" i="24" s="1" a="1"/>
  <c r="K39" i="24" s="1"/>
  <c r="O42" i="27" a="1"/>
  <c r="O42" i="27" s="1"/>
  <c r="K40" i="24" s="1" a="1"/>
  <c r="K40" i="24" s="1"/>
  <c r="O43" i="27" a="1"/>
  <c r="O43" i="27" s="1"/>
  <c r="K41" i="24" s="1" a="1"/>
  <c r="K41" i="24" s="1"/>
  <c r="O44" i="27" a="1"/>
  <c r="O44" i="27" s="1"/>
  <c r="K42" i="24" s="1" a="1"/>
  <c r="K42" i="24" s="1"/>
  <c r="O45" i="27" a="1"/>
  <c r="O45" i="27" s="1"/>
  <c r="K43" i="24" s="1" a="1"/>
  <c r="K43" i="24" s="1"/>
  <c r="O46" i="27" a="1"/>
  <c r="O46" i="27" s="1"/>
  <c r="K44" i="24" s="1" a="1"/>
  <c r="K44" i="24" s="1"/>
  <c r="O47" i="27" a="1"/>
  <c r="O47" i="27" s="1"/>
  <c r="K45" i="24" s="1" a="1"/>
  <c r="K45" i="24" s="1"/>
  <c r="O48" i="27" a="1"/>
  <c r="O48" i="27"/>
  <c r="K46" i="24" s="1" a="1"/>
  <c r="K46" i="24" s="1"/>
  <c r="O49" i="27" a="1"/>
  <c r="O49" i="27" s="1"/>
  <c r="K47" i="24" s="1" a="1"/>
  <c r="K47" i="24" s="1"/>
  <c r="O50" i="27" a="1"/>
  <c r="O50" i="27" s="1"/>
  <c r="K48" i="24" s="1" a="1"/>
  <c r="K48" i="24" s="1"/>
  <c r="O51" i="27" a="1"/>
  <c r="O51" i="27"/>
  <c r="K49" i="24" s="1" a="1"/>
  <c r="K49" i="24" s="1"/>
  <c r="O52" i="27" a="1"/>
  <c r="O52" i="27" s="1"/>
  <c r="K50" i="24" s="1" a="1"/>
  <c r="K50" i="24" s="1"/>
  <c r="O53" i="27" a="1"/>
  <c r="O53" i="27" s="1"/>
  <c r="K51" i="24" s="1" a="1"/>
  <c r="K51" i="24" s="1"/>
  <c r="O54" i="27" a="1"/>
  <c r="O54" i="27" s="1"/>
  <c r="K52" i="24" s="1" a="1"/>
  <c r="K52" i="24" s="1"/>
  <c r="O55" i="27" a="1"/>
  <c r="O55" i="27" s="1"/>
  <c r="K53" i="24" s="1" a="1"/>
  <c r="K53" i="24" s="1"/>
  <c r="O56" i="27" a="1"/>
  <c r="O56" i="27" s="1"/>
  <c r="K54" i="24" s="1" a="1"/>
  <c r="K54" i="24" s="1"/>
  <c r="O57" i="27" a="1"/>
  <c r="O57" i="27" s="1"/>
  <c r="K55" i="24" s="1" a="1"/>
  <c r="K55" i="24" s="1"/>
  <c r="O58" i="27" a="1"/>
  <c r="O58" i="27" s="1"/>
  <c r="K56" i="24" s="1" a="1"/>
  <c r="K56" i="24" s="1"/>
  <c r="O9" i="27" a="1"/>
  <c r="O9" i="27" s="1"/>
  <c r="K7" i="24" s="1" a="1"/>
  <c r="K7" i="24" s="1"/>
  <c r="M10" i="27" a="1"/>
  <c r="M10" i="27" s="1"/>
  <c r="J8" i="23" s="1" a="1"/>
  <c r="J8" i="23" s="1"/>
  <c r="M11" i="27" a="1"/>
  <c r="M11" i="27" s="1"/>
  <c r="J9" i="23" s="1" a="1"/>
  <c r="J9" i="23" s="1"/>
  <c r="M12" i="27" a="1"/>
  <c r="M12" i="27" s="1"/>
  <c r="J10" i="23" s="1" a="1"/>
  <c r="J10" i="23" s="1"/>
  <c r="M13" i="27" a="1"/>
  <c r="M13" i="27" s="1"/>
  <c r="J11" i="23" s="1" a="1"/>
  <c r="J11" i="23" s="1"/>
  <c r="M14" i="27" a="1"/>
  <c r="M14" i="27" s="1"/>
  <c r="J12" i="23" s="1" a="1"/>
  <c r="J12" i="23" s="1"/>
  <c r="M15" i="27" a="1"/>
  <c r="M15" i="27" s="1"/>
  <c r="J13" i="23" s="1" a="1"/>
  <c r="J13" i="23" s="1"/>
  <c r="M16" i="27" a="1"/>
  <c r="M16" i="27" s="1"/>
  <c r="J14" i="23" s="1" a="1"/>
  <c r="J14" i="23" s="1"/>
  <c r="M17" i="27" a="1"/>
  <c r="M17" i="27"/>
  <c r="J15" i="23" s="1" a="1"/>
  <c r="J15" i="23" s="1"/>
  <c r="M18" i="27" a="1"/>
  <c r="M18" i="27" s="1"/>
  <c r="J16" i="23" s="1" a="1"/>
  <c r="J16" i="23" s="1"/>
  <c r="M19" i="27" a="1"/>
  <c r="M19" i="27" s="1"/>
  <c r="J17" i="23" s="1" a="1"/>
  <c r="J17" i="23" s="1"/>
  <c r="M20" i="27" a="1"/>
  <c r="M20" i="27" s="1"/>
  <c r="J18" i="23" s="1" a="1"/>
  <c r="J18" i="23" s="1"/>
  <c r="M21" i="27" a="1"/>
  <c r="M21" i="27" s="1"/>
  <c r="J19" i="23" s="1" a="1"/>
  <c r="J19" i="23" s="1"/>
  <c r="M22" i="27" a="1"/>
  <c r="M22" i="27" s="1"/>
  <c r="J20" i="23" s="1" a="1"/>
  <c r="J20" i="23" s="1"/>
  <c r="M23" i="27" a="1"/>
  <c r="M23" i="27" s="1"/>
  <c r="J21" i="23" s="1" a="1"/>
  <c r="J21" i="23" s="1"/>
  <c r="M24" i="27" a="1"/>
  <c r="M24" i="27" s="1"/>
  <c r="J22" i="23" s="1" a="1"/>
  <c r="J22" i="23" s="1"/>
  <c r="M25" i="27" a="1"/>
  <c r="M25" i="27"/>
  <c r="J23" i="23" s="1" a="1"/>
  <c r="J23" i="23" s="1"/>
  <c r="M26" i="27" a="1"/>
  <c r="M26" i="27" s="1"/>
  <c r="J24" i="23" s="1" a="1"/>
  <c r="J24" i="23" s="1"/>
  <c r="M27" i="27" a="1"/>
  <c r="M27" i="27" s="1"/>
  <c r="J25" i="23" s="1" a="1"/>
  <c r="J25" i="23" s="1"/>
  <c r="M28" i="27" a="1"/>
  <c r="M28" i="27" s="1"/>
  <c r="J26" i="23" s="1" a="1"/>
  <c r="J26" i="23" s="1"/>
  <c r="M29" i="27" a="1"/>
  <c r="M29" i="27" s="1"/>
  <c r="J27" i="23" s="1" a="1"/>
  <c r="J27" i="23" s="1"/>
  <c r="M30" i="27" a="1"/>
  <c r="M30" i="27" s="1"/>
  <c r="J28" i="23" s="1" a="1"/>
  <c r="J28" i="23" s="1"/>
  <c r="M31" i="27" a="1"/>
  <c r="M31" i="27"/>
  <c r="J29" i="23" s="1" a="1"/>
  <c r="J29" i="23" s="1"/>
  <c r="M32" i="27" a="1"/>
  <c r="M32" i="27" s="1"/>
  <c r="J30" i="23" s="1" a="1"/>
  <c r="J30" i="23" s="1"/>
  <c r="M33" i="27" a="1"/>
  <c r="M33" i="27" s="1"/>
  <c r="J31" i="23" s="1" a="1"/>
  <c r="J31" i="23" s="1"/>
  <c r="M34" i="27" a="1"/>
  <c r="M34" i="27" s="1"/>
  <c r="J32" i="23" s="1" a="1"/>
  <c r="J32" i="23" s="1"/>
  <c r="M35" i="27" a="1"/>
  <c r="M35" i="27" s="1"/>
  <c r="J33" i="23" s="1" a="1"/>
  <c r="J33" i="23" s="1"/>
  <c r="M36" i="27" a="1"/>
  <c r="M36" i="27" s="1"/>
  <c r="J34" i="23" s="1" a="1"/>
  <c r="J34" i="23" s="1"/>
  <c r="M37" i="27" a="1"/>
  <c r="M37" i="27" s="1"/>
  <c r="J35" i="23" s="1" a="1"/>
  <c r="J35" i="23" s="1"/>
  <c r="M38" i="27" a="1"/>
  <c r="M38" i="27" s="1"/>
  <c r="J36" i="23" s="1" a="1"/>
  <c r="J36" i="23" s="1"/>
  <c r="M39" i="27" a="1"/>
  <c r="M39" i="27"/>
  <c r="J37" i="23" s="1" a="1"/>
  <c r="J37" i="23" s="1"/>
  <c r="M40" i="27" a="1"/>
  <c r="M40" i="27" s="1"/>
  <c r="J38" i="23" s="1" a="1"/>
  <c r="J38" i="23" s="1"/>
  <c r="M41" i="27" a="1"/>
  <c r="M41" i="27" s="1"/>
  <c r="J39" i="23" s="1" a="1"/>
  <c r="J39" i="23" s="1"/>
  <c r="M42" i="27" a="1"/>
  <c r="M42" i="27" s="1"/>
  <c r="J40" i="23" s="1" a="1"/>
  <c r="J40" i="23" s="1"/>
  <c r="M43" i="27" a="1"/>
  <c r="M43" i="27" s="1"/>
  <c r="J41" i="23" s="1" a="1"/>
  <c r="J41" i="23" s="1"/>
  <c r="M44" i="27" a="1"/>
  <c r="M44" i="27" s="1"/>
  <c r="J42" i="23" s="1" a="1"/>
  <c r="J42" i="23" s="1"/>
  <c r="M45" i="27" a="1"/>
  <c r="M45" i="27" s="1"/>
  <c r="J43" i="23" s="1" a="1"/>
  <c r="J43" i="23" s="1"/>
  <c r="M46" i="27" a="1"/>
  <c r="M46" i="27" s="1"/>
  <c r="J44" i="23" s="1" a="1"/>
  <c r="J44" i="23" s="1"/>
  <c r="M47" i="27" a="1"/>
  <c r="M47" i="27" s="1"/>
  <c r="J45" i="23" s="1" a="1"/>
  <c r="J45" i="23" s="1"/>
  <c r="M48" i="27" a="1"/>
  <c r="M48" i="27"/>
  <c r="J46" i="23" s="1" a="1"/>
  <c r="J46" i="23" s="1"/>
  <c r="M49" i="27" a="1"/>
  <c r="M49" i="27" s="1"/>
  <c r="J47" i="23" s="1" a="1"/>
  <c r="J47" i="23" s="1"/>
  <c r="M50" i="27" a="1"/>
  <c r="M50" i="27" s="1"/>
  <c r="J48" i="23" s="1" a="1"/>
  <c r="J48" i="23" s="1"/>
  <c r="M51" i="27" a="1"/>
  <c r="M51" i="27" s="1"/>
  <c r="J49" i="23" s="1" a="1"/>
  <c r="J49" i="23" s="1"/>
  <c r="M52" i="27" a="1"/>
  <c r="M52" i="27" s="1"/>
  <c r="J50" i="23" s="1" a="1"/>
  <c r="J50" i="23" s="1"/>
  <c r="M53" i="27" a="1"/>
  <c r="M53" i="27" s="1"/>
  <c r="J51" i="23" s="1" a="1"/>
  <c r="J51" i="23" s="1"/>
  <c r="M54" i="27" a="1"/>
  <c r="M54" i="27" s="1"/>
  <c r="J52" i="23" s="1" a="1"/>
  <c r="J52" i="23" s="1"/>
  <c r="M55" i="27" a="1"/>
  <c r="M55" i="27" s="1"/>
  <c r="J53" i="23" s="1" a="1"/>
  <c r="J53" i="23" s="1"/>
  <c r="M56" i="27" a="1"/>
  <c r="M56" i="27"/>
  <c r="J54" i="23" s="1" a="1"/>
  <c r="J54" i="23" s="1"/>
  <c r="M57" i="27" a="1"/>
  <c r="M57" i="27" s="1"/>
  <c r="J55" i="23" s="1" a="1"/>
  <c r="J55" i="23" s="1"/>
  <c r="M58" i="27" a="1"/>
  <c r="M58" i="27" s="1"/>
  <c r="J56" i="23" s="1" a="1"/>
  <c r="J56" i="23" s="1"/>
  <c r="M9" i="27" a="1"/>
  <c r="M9" i="27" s="1"/>
  <c r="J7" i="23" s="1" a="1"/>
  <c r="J7" i="23" s="1"/>
  <c r="K10" i="27" a="1"/>
  <c r="K10" i="27" s="1"/>
  <c r="J8" i="22" s="1" a="1"/>
  <c r="J8" i="22" s="1"/>
  <c r="K11" i="27" a="1"/>
  <c r="K11" i="27" s="1"/>
  <c r="J9" i="22" s="1" a="1"/>
  <c r="J9" i="22" s="1"/>
  <c r="K12" i="27" a="1"/>
  <c r="K12" i="27" s="1"/>
  <c r="J10" i="22" s="1" a="1"/>
  <c r="J10" i="22" s="1"/>
  <c r="K13" i="27" a="1"/>
  <c r="K13" i="27" s="1"/>
  <c r="J11" i="22" s="1" a="1"/>
  <c r="J11" i="22" s="1"/>
  <c r="K14" i="27" a="1"/>
  <c r="K14" i="27" s="1"/>
  <c r="J12" i="22" s="1" a="1"/>
  <c r="J12" i="22" s="1"/>
  <c r="K15" i="27" a="1"/>
  <c r="K15" i="27" s="1"/>
  <c r="J13" i="22" s="1" a="1"/>
  <c r="J13" i="22" s="1"/>
  <c r="K16" i="27" a="1"/>
  <c r="K16" i="27" s="1"/>
  <c r="J14" i="22" s="1" a="1"/>
  <c r="J14" i="22" s="1"/>
  <c r="K17" i="27" a="1"/>
  <c r="K17" i="27" s="1"/>
  <c r="J15" i="22" s="1" a="1"/>
  <c r="J15" i="22" s="1"/>
  <c r="K18" i="27" a="1"/>
  <c r="K18" i="27" s="1"/>
  <c r="J16" i="22" s="1" a="1"/>
  <c r="J16" i="22" s="1"/>
  <c r="K19" i="27" a="1"/>
  <c r="K19" i="27" s="1"/>
  <c r="J17" i="22" s="1" a="1"/>
  <c r="J17" i="22" s="1"/>
  <c r="K20" i="27" a="1"/>
  <c r="K20" i="27" s="1"/>
  <c r="J18" i="22" s="1" a="1"/>
  <c r="J18" i="22" s="1"/>
  <c r="K21" i="27" a="1"/>
  <c r="K21" i="27" s="1"/>
  <c r="J19" i="22" s="1" a="1"/>
  <c r="J19" i="22" s="1"/>
  <c r="K22" i="27" a="1"/>
  <c r="K22" i="27" s="1"/>
  <c r="J20" i="22" s="1" a="1"/>
  <c r="J20" i="22" s="1"/>
  <c r="K23" i="27" a="1"/>
  <c r="K23" i="27" s="1"/>
  <c r="J21" i="22" s="1" a="1"/>
  <c r="J21" i="22" s="1"/>
  <c r="K24" i="27" a="1"/>
  <c r="K24" i="27" s="1"/>
  <c r="J22" i="22" s="1" a="1"/>
  <c r="J22" i="22" s="1"/>
  <c r="K25" i="27" a="1"/>
  <c r="K25" i="27" s="1"/>
  <c r="J23" i="22" s="1" a="1"/>
  <c r="J23" i="22" s="1"/>
  <c r="K26" i="27" a="1"/>
  <c r="K26" i="27" s="1"/>
  <c r="J24" i="22" s="1" a="1"/>
  <c r="J24" i="22" s="1"/>
  <c r="K27" i="27" a="1"/>
  <c r="K27" i="27" s="1"/>
  <c r="J25" i="22" s="1" a="1"/>
  <c r="J25" i="22" s="1"/>
  <c r="K28" i="27" a="1"/>
  <c r="K28" i="27"/>
  <c r="J26" i="22" s="1" a="1"/>
  <c r="J26" i="22" s="1"/>
  <c r="K29" i="27" a="1"/>
  <c r="K29" i="27" s="1"/>
  <c r="K30" i="27" a="1"/>
  <c r="K30" i="27" s="1"/>
  <c r="J28" i="22" s="1" a="1"/>
  <c r="J28" i="22" s="1"/>
  <c r="K31" i="27" a="1"/>
  <c r="K31" i="27"/>
  <c r="J29" i="22" s="1" a="1"/>
  <c r="J29" i="22" s="1"/>
  <c r="K32" i="27" a="1"/>
  <c r="K32" i="27" s="1"/>
  <c r="K33" i="27" a="1"/>
  <c r="K33" i="27" s="1"/>
  <c r="J31" i="22" s="1" a="1"/>
  <c r="J31" i="22" s="1"/>
  <c r="K34" i="27" a="1"/>
  <c r="K34" i="27" s="1"/>
  <c r="J32" i="22" s="1" a="1"/>
  <c r="J32" i="22" s="1"/>
  <c r="K35" i="27" a="1"/>
  <c r="K35" i="27" s="1"/>
  <c r="J33" i="22" s="1" a="1"/>
  <c r="J33" i="22" s="1"/>
  <c r="K36" i="27" a="1"/>
  <c r="K36" i="27" s="1"/>
  <c r="J34" i="22" s="1" a="1"/>
  <c r="J34" i="22" s="1"/>
  <c r="K37" i="27" a="1"/>
  <c r="K37" i="27" s="1"/>
  <c r="J35" i="22" s="1" a="1"/>
  <c r="J35" i="22" s="1"/>
  <c r="K38" i="27" a="1"/>
  <c r="K38" i="27" s="1"/>
  <c r="J36" i="22" s="1" a="1"/>
  <c r="J36" i="22" s="1"/>
  <c r="K39" i="27" a="1"/>
  <c r="K39" i="27"/>
  <c r="J37" i="22" s="1" a="1"/>
  <c r="J37" i="22" s="1"/>
  <c r="K40" i="27" a="1"/>
  <c r="K40" i="27" s="1"/>
  <c r="J38" i="22" s="1" a="1"/>
  <c r="J38" i="22" s="1"/>
  <c r="K41" i="27" a="1"/>
  <c r="K41" i="27" s="1"/>
  <c r="K42" i="27" a="1"/>
  <c r="K42" i="27" s="1"/>
  <c r="J40" i="22" s="1" a="1"/>
  <c r="J40" i="22" s="1"/>
  <c r="K43" i="27" a="1"/>
  <c r="K43" i="27" s="1"/>
  <c r="J41" i="22" s="1" a="1"/>
  <c r="J41" i="22" s="1"/>
  <c r="K44" i="27" a="1"/>
  <c r="K44" i="27" s="1"/>
  <c r="J42" i="22" s="1" a="1"/>
  <c r="J42" i="22" s="1"/>
  <c r="K45" i="27" a="1"/>
  <c r="K45" i="27" s="1"/>
  <c r="J43" i="22" s="1" a="1"/>
  <c r="J43" i="22" s="1"/>
  <c r="K46" i="27" a="1"/>
  <c r="K46" i="27" s="1"/>
  <c r="J44" i="22" s="1" a="1"/>
  <c r="J44" i="22" s="1"/>
  <c r="K47" i="27" a="1"/>
  <c r="K47" i="27" s="1"/>
  <c r="J45" i="22" s="1" a="1"/>
  <c r="J45" i="22" s="1"/>
  <c r="K48" i="27" a="1"/>
  <c r="K48" i="27" s="1"/>
  <c r="J46" i="22" s="1" a="1"/>
  <c r="J46" i="22" s="1"/>
  <c r="K49" i="27" a="1"/>
  <c r="K49" i="27" s="1"/>
  <c r="J47" i="22" s="1" a="1"/>
  <c r="J47" i="22" s="1"/>
  <c r="K50" i="27" a="1"/>
  <c r="K50" i="27" s="1"/>
  <c r="J48" i="22" s="1" a="1"/>
  <c r="J48" i="22" s="1"/>
  <c r="K51" i="27" a="1"/>
  <c r="K51" i="27" s="1"/>
  <c r="J49" i="22" s="1" a="1"/>
  <c r="J49" i="22" s="1"/>
  <c r="K52" i="27" a="1"/>
  <c r="K52" i="27"/>
  <c r="J50" i="22" s="1" a="1"/>
  <c r="J50" i="22" s="1"/>
  <c r="K53" i="27" a="1"/>
  <c r="K53" i="27" s="1"/>
  <c r="J51" i="22" s="1" a="1"/>
  <c r="J51" i="22" s="1"/>
  <c r="K54" i="27" a="1"/>
  <c r="K54" i="27" s="1"/>
  <c r="J52" i="22" s="1" a="1"/>
  <c r="J52" i="22" s="1"/>
  <c r="K55" i="27" a="1"/>
  <c r="K55" i="27" s="1"/>
  <c r="J53" i="22" s="1" a="1"/>
  <c r="J53" i="22" s="1"/>
  <c r="K56" i="27" a="1"/>
  <c r="K56" i="27" s="1"/>
  <c r="J54" i="22" s="1" a="1"/>
  <c r="J54" i="22" s="1"/>
  <c r="K57" i="27" a="1"/>
  <c r="K57" i="27" s="1"/>
  <c r="J55" i="22" s="1" a="1"/>
  <c r="J55" i="22" s="1"/>
  <c r="K58" i="27" a="1"/>
  <c r="K58" i="27" s="1"/>
  <c r="J56" i="22" s="1" a="1"/>
  <c r="J56" i="22" s="1"/>
  <c r="K9" i="27" a="1"/>
  <c r="K9" i="27" s="1"/>
  <c r="J7" i="22" s="1" a="1"/>
  <c r="J7" i="22" s="1"/>
  <c r="I9" i="27" a="1"/>
  <c r="I9" i="27" s="1"/>
  <c r="L7" i="17" s="1" a="1"/>
  <c r="L7" i="17" s="1"/>
  <c r="I10" i="27" a="1"/>
  <c r="I10" i="27" s="1"/>
  <c r="L8" i="17" s="1" a="1"/>
  <c r="L8" i="17" s="1"/>
  <c r="I11" i="27" a="1"/>
  <c r="I11" i="27"/>
  <c r="L9" i="17" s="1" a="1"/>
  <c r="L9" i="17" s="1"/>
  <c r="I12" i="27" a="1"/>
  <c r="I12" i="27" s="1"/>
  <c r="L10" i="17" s="1" a="1"/>
  <c r="L10" i="17" s="1"/>
  <c r="I13" i="27" a="1"/>
  <c r="I13" i="27" s="1"/>
  <c r="L11" i="17" s="1" a="1"/>
  <c r="L11" i="17" s="1"/>
  <c r="I14" i="27" a="1"/>
  <c r="I14" i="27" s="1"/>
  <c r="L12" i="17" s="1" a="1"/>
  <c r="L12" i="17" s="1"/>
  <c r="I15" i="27" a="1"/>
  <c r="I15" i="27" s="1"/>
  <c r="L13" i="17" s="1" a="1"/>
  <c r="L13" i="17" s="1"/>
  <c r="I16" i="27" a="1"/>
  <c r="I16" i="27" s="1"/>
  <c r="L14" i="17" s="1" a="1"/>
  <c r="L14" i="17" s="1"/>
  <c r="I17" i="27" a="1"/>
  <c r="I17" i="27" s="1"/>
  <c r="L15" i="17" s="1" a="1"/>
  <c r="L15" i="17" s="1"/>
  <c r="I18" i="27" a="1"/>
  <c r="I18" i="27" s="1"/>
  <c r="L16" i="17" s="1" a="1"/>
  <c r="L16" i="17" s="1"/>
  <c r="I19" i="27" a="1"/>
  <c r="I19" i="27" s="1"/>
  <c r="L17" i="17" s="1" a="1"/>
  <c r="L17" i="17" s="1"/>
  <c r="I20" i="27" a="1"/>
  <c r="I20" i="27" s="1"/>
  <c r="L18" i="17" s="1" a="1"/>
  <c r="L18" i="17" s="1"/>
  <c r="I21" i="27" a="1"/>
  <c r="I21" i="27" s="1"/>
  <c r="L19" i="17" s="1" a="1"/>
  <c r="L19" i="17" s="1"/>
  <c r="I22" i="27" a="1"/>
  <c r="I22" i="27" s="1"/>
  <c r="L20" i="17" s="1" a="1"/>
  <c r="L20" i="17" s="1"/>
  <c r="I23" i="27" a="1"/>
  <c r="I23" i="27" s="1"/>
  <c r="L21" i="17" s="1" a="1"/>
  <c r="L21" i="17" s="1"/>
  <c r="I24" i="27" a="1"/>
  <c r="I24" i="27"/>
  <c r="L22" i="17" s="1" a="1"/>
  <c r="L22" i="17" s="1"/>
  <c r="I25" i="27" a="1"/>
  <c r="I25" i="27" s="1"/>
  <c r="L23" i="17" s="1" a="1"/>
  <c r="L23" i="17" s="1"/>
  <c r="I26" i="27" a="1"/>
  <c r="I26" i="27" s="1"/>
  <c r="L24" i="17" s="1" a="1"/>
  <c r="L24" i="17" s="1"/>
  <c r="I27" i="27" a="1"/>
  <c r="I27" i="27"/>
  <c r="L25" i="17" s="1" a="1"/>
  <c r="L25" i="17" s="1"/>
  <c r="I28" i="27" a="1"/>
  <c r="I28" i="27" s="1"/>
  <c r="L26" i="17" s="1" a="1"/>
  <c r="L26" i="17" s="1"/>
  <c r="I29" i="27" a="1"/>
  <c r="I29" i="27" s="1"/>
  <c r="L27" i="17" s="1" a="1"/>
  <c r="L27" i="17" s="1"/>
  <c r="I30" i="27" a="1"/>
  <c r="I30" i="27"/>
  <c r="L28" i="17" s="1" a="1"/>
  <c r="L28" i="17" s="1"/>
  <c r="I31" i="27" a="1"/>
  <c r="I31" i="27" s="1"/>
  <c r="L29" i="17" s="1" a="1"/>
  <c r="L29" i="17" s="1"/>
  <c r="I32" i="27" a="1"/>
  <c r="I32" i="27" s="1"/>
  <c r="L30" i="17" s="1" a="1"/>
  <c r="L30" i="17" s="1"/>
  <c r="I33" i="27" a="1"/>
  <c r="I33" i="27" s="1"/>
  <c r="L31" i="17" s="1" a="1"/>
  <c r="L31" i="17" s="1"/>
  <c r="I34" i="27" a="1"/>
  <c r="I34" i="27" s="1"/>
  <c r="L32" i="17" s="1" a="1"/>
  <c r="L32" i="17" s="1"/>
  <c r="I35" i="27" a="1"/>
  <c r="I35" i="27" s="1"/>
  <c r="L33" i="17" s="1" a="1"/>
  <c r="L33" i="17" s="1"/>
  <c r="I36" i="27" a="1"/>
  <c r="I36" i="27" s="1"/>
  <c r="L34" i="17" s="1" a="1"/>
  <c r="L34" i="17" s="1"/>
  <c r="I37" i="27" a="1"/>
  <c r="I37" i="27" s="1"/>
  <c r="L35" i="17" s="1" a="1"/>
  <c r="L35" i="17" s="1"/>
  <c r="I38" i="27" a="1"/>
  <c r="I38" i="27"/>
  <c r="L36" i="17" s="1" a="1"/>
  <c r="L36" i="17" s="1"/>
  <c r="I39" i="27" a="1"/>
  <c r="I39" i="27" s="1"/>
  <c r="L37" i="17" s="1" a="1"/>
  <c r="L37" i="17" s="1"/>
  <c r="I40" i="27" a="1"/>
  <c r="I40" i="27" s="1"/>
  <c r="L38" i="17" s="1" a="1"/>
  <c r="L38" i="17" s="1"/>
  <c r="I41" i="27" a="1"/>
  <c r="I41" i="27" s="1"/>
  <c r="L39" i="17" s="1" a="1"/>
  <c r="L39" i="17" s="1"/>
  <c r="I42" i="27" a="1"/>
  <c r="I42" i="27" s="1"/>
  <c r="L40" i="17" s="1" a="1"/>
  <c r="L40" i="17" s="1"/>
  <c r="I43" i="27" a="1"/>
  <c r="I43" i="27" s="1"/>
  <c r="L41" i="17" s="1" a="1"/>
  <c r="L41" i="17" s="1"/>
  <c r="I44" i="27" a="1"/>
  <c r="I44" i="27" s="1"/>
  <c r="L42" i="17" s="1" a="1"/>
  <c r="L42" i="17" s="1"/>
  <c r="I45" i="27" a="1"/>
  <c r="I45" i="27" s="1"/>
  <c r="L43" i="17" s="1" a="1"/>
  <c r="L43" i="17" s="1"/>
  <c r="I46" i="27" a="1"/>
  <c r="I46" i="27" s="1"/>
  <c r="L44" i="17" s="1" a="1"/>
  <c r="L44" i="17" s="1"/>
  <c r="I47" i="27" a="1"/>
  <c r="I47" i="27" s="1"/>
  <c r="L45" i="17" s="1" a="1"/>
  <c r="L45" i="17" s="1"/>
  <c r="I48" i="27" a="1"/>
  <c r="I48" i="27" s="1"/>
  <c r="L46" i="17" s="1" a="1"/>
  <c r="L46" i="17" s="1"/>
  <c r="I49" i="27" a="1"/>
  <c r="I49" i="27" s="1"/>
  <c r="L47" i="17" s="1" a="1"/>
  <c r="L47" i="17" s="1"/>
  <c r="I50" i="27" a="1"/>
  <c r="I50" i="27" s="1"/>
  <c r="L48" i="17" s="1" a="1"/>
  <c r="L48" i="17" s="1"/>
  <c r="I51" i="27" a="1"/>
  <c r="I51" i="27"/>
  <c r="L49" i="17" s="1" a="1"/>
  <c r="L49" i="17" s="1"/>
  <c r="I52" i="27" a="1"/>
  <c r="I52" i="27" s="1"/>
  <c r="L50" i="17" s="1" a="1"/>
  <c r="L50" i="17" s="1"/>
  <c r="I53" i="27" a="1"/>
  <c r="I53" i="27" s="1"/>
  <c r="L51" i="17" s="1" a="1"/>
  <c r="L51" i="17" s="1"/>
  <c r="I54" i="27" a="1"/>
  <c r="I54" i="27"/>
  <c r="L52" i="17" s="1" a="1"/>
  <c r="L52" i="17" s="1"/>
  <c r="I55" i="27" a="1"/>
  <c r="I55" i="27" s="1"/>
  <c r="L53" i="17" s="1" a="1"/>
  <c r="L53" i="17" s="1"/>
  <c r="I56" i="27" a="1"/>
  <c r="I56" i="27" s="1"/>
  <c r="L54" i="17" s="1" a="1"/>
  <c r="L54" i="17" s="1"/>
  <c r="I57" i="27" a="1"/>
  <c r="I57" i="27" s="1"/>
  <c r="L55" i="17" s="1" a="1"/>
  <c r="L55" i="17" s="1"/>
  <c r="I58" i="27" a="1"/>
  <c r="I58" i="27" s="1"/>
  <c r="L56" i="17" s="1" a="1"/>
  <c r="L56" i="17" s="1"/>
  <c r="G9" i="27" a="1"/>
  <c r="G9" i="27"/>
  <c r="K7" i="21" s="1" a="1"/>
  <c r="K7" i="21" s="1"/>
  <c r="G10" i="27" a="1"/>
  <c r="G10" i="27" s="1"/>
  <c r="K8" i="21" s="1" a="1"/>
  <c r="K8" i="21" s="1"/>
  <c r="G11" i="27" a="1"/>
  <c r="G11" i="27" s="1"/>
  <c r="K9" i="21" s="1" a="1"/>
  <c r="K9" i="21" s="1"/>
  <c r="G12" i="27" a="1"/>
  <c r="G12" i="27" s="1"/>
  <c r="K10" i="21" s="1" a="1"/>
  <c r="K10" i="21" s="1"/>
  <c r="G13" i="27" a="1"/>
  <c r="G13" i="27" s="1"/>
  <c r="K11" i="21" s="1" a="1"/>
  <c r="K11" i="21" s="1"/>
  <c r="G14" i="27" a="1"/>
  <c r="G14" i="27" s="1"/>
  <c r="K12" i="21" s="1" a="1"/>
  <c r="K12" i="21" s="1"/>
  <c r="G15" i="27" a="1"/>
  <c r="G15" i="27" s="1"/>
  <c r="K13" i="21" s="1" a="1"/>
  <c r="K13" i="21" s="1"/>
  <c r="G16" i="27" a="1"/>
  <c r="G16" i="27" s="1"/>
  <c r="K14" i="21" s="1" a="1"/>
  <c r="K14" i="21" s="1"/>
  <c r="G17" i="27" a="1"/>
  <c r="G17" i="27" s="1"/>
  <c r="K15" i="21" s="1" a="1"/>
  <c r="K15" i="21" s="1"/>
  <c r="G18" i="27" a="1"/>
  <c r="G18" i="27" s="1"/>
  <c r="K16" i="21" s="1" a="1"/>
  <c r="K16" i="21" s="1"/>
  <c r="G19" i="27" a="1"/>
  <c r="G19" i="27"/>
  <c r="K17" i="21" s="1" a="1"/>
  <c r="K17" i="21" s="1"/>
  <c r="G20" i="27" a="1"/>
  <c r="G20" i="27" s="1"/>
  <c r="K18" i="21" s="1" a="1"/>
  <c r="K18" i="21" s="1"/>
  <c r="G21" i="27" a="1"/>
  <c r="G21" i="27" s="1"/>
  <c r="K19" i="21" s="1" a="1"/>
  <c r="K19" i="21" s="1"/>
  <c r="G22" i="27" a="1"/>
  <c r="G22" i="27" s="1"/>
  <c r="K20" i="21" s="1" a="1"/>
  <c r="K20" i="21" s="1"/>
  <c r="G23" i="27" a="1"/>
  <c r="G23" i="27" s="1"/>
  <c r="K21" i="21" s="1" a="1"/>
  <c r="K21" i="21" s="1"/>
  <c r="G24" i="27" a="1"/>
  <c r="G24" i="27" s="1"/>
  <c r="K22" i="21" s="1" a="1"/>
  <c r="K22" i="21" s="1"/>
  <c r="G25" i="27" a="1"/>
  <c r="G25" i="27" s="1"/>
  <c r="K23" i="21" s="1" a="1"/>
  <c r="K23" i="21" s="1"/>
  <c r="G26" i="27" a="1"/>
  <c r="G26" i="27" s="1"/>
  <c r="K24" i="21" s="1" a="1"/>
  <c r="K24" i="21" s="1"/>
  <c r="G27" i="27" a="1"/>
  <c r="G27" i="27" s="1"/>
  <c r="K25" i="21" s="1" a="1"/>
  <c r="K25" i="21" s="1"/>
  <c r="G28" i="27" a="1"/>
  <c r="G28" i="27" s="1"/>
  <c r="K26" i="21" s="1" a="1"/>
  <c r="K26" i="21" s="1"/>
  <c r="G29" i="27" a="1"/>
  <c r="G29" i="27" s="1"/>
  <c r="K27" i="21" s="1" a="1"/>
  <c r="K27" i="21" s="1"/>
  <c r="G30" i="27" a="1"/>
  <c r="G30" i="27" s="1"/>
  <c r="K28" i="21" s="1" a="1"/>
  <c r="K28" i="21" s="1"/>
  <c r="G31" i="27" a="1"/>
  <c r="G31" i="27" s="1"/>
  <c r="K29" i="21" s="1" a="1"/>
  <c r="K29" i="21" s="1"/>
  <c r="G32" i="27" a="1"/>
  <c r="G32" i="27" s="1"/>
  <c r="K30" i="21" s="1" a="1"/>
  <c r="K30" i="21" s="1"/>
  <c r="G33" i="27" a="1"/>
  <c r="G33" i="27" s="1"/>
  <c r="K31" i="21" s="1" a="1"/>
  <c r="K31" i="21" s="1"/>
  <c r="G34" i="27" a="1"/>
  <c r="G34" i="27" s="1"/>
  <c r="K32" i="21" s="1" a="1"/>
  <c r="K32" i="21" s="1"/>
  <c r="G35" i="27" a="1"/>
  <c r="G35" i="27" s="1"/>
  <c r="K33" i="21" s="1" a="1"/>
  <c r="K33" i="21" s="1"/>
  <c r="G36" i="27" a="1"/>
  <c r="G36" i="27" s="1"/>
  <c r="K34" i="21" s="1" a="1"/>
  <c r="K34" i="21" s="1"/>
  <c r="G37" i="27" a="1"/>
  <c r="G37" i="27" s="1"/>
  <c r="K35" i="21" s="1" a="1"/>
  <c r="K35" i="21" s="1"/>
  <c r="G38" i="27" a="1"/>
  <c r="G38" i="27" s="1"/>
  <c r="K36" i="21" s="1" a="1"/>
  <c r="K36" i="21" s="1"/>
  <c r="G39" i="27" a="1"/>
  <c r="G39" i="27" s="1"/>
  <c r="K37" i="21" s="1" a="1"/>
  <c r="K37" i="21" s="1"/>
  <c r="G40" i="27" a="1"/>
  <c r="G40" i="27"/>
  <c r="K38" i="21" s="1" a="1"/>
  <c r="K38" i="21" s="1"/>
  <c r="G41" i="27" a="1"/>
  <c r="G41" i="27" s="1"/>
  <c r="K39" i="21" s="1" a="1"/>
  <c r="K39" i="21" s="1"/>
  <c r="G42" i="27" a="1"/>
  <c r="G42" i="27" s="1"/>
  <c r="K40" i="21" s="1" a="1"/>
  <c r="K40" i="21" s="1"/>
  <c r="G43" i="27" a="1"/>
  <c r="G43" i="27" s="1"/>
  <c r="K41" i="21" s="1" a="1"/>
  <c r="K41" i="21" s="1"/>
  <c r="G44" i="27" a="1"/>
  <c r="G44" i="27" s="1"/>
  <c r="K42" i="21" s="1" a="1"/>
  <c r="K42" i="21" s="1"/>
  <c r="G45" i="27" a="1"/>
  <c r="G45" i="27" s="1"/>
  <c r="K43" i="21" s="1" a="1"/>
  <c r="K43" i="21" s="1"/>
  <c r="G46" i="27" a="1"/>
  <c r="G46" i="27" s="1"/>
  <c r="K44" i="21" s="1" a="1"/>
  <c r="K44" i="21" s="1"/>
  <c r="G47" i="27" a="1"/>
  <c r="G47" i="27" s="1"/>
  <c r="K45" i="21" s="1" a="1"/>
  <c r="K45" i="21" s="1"/>
  <c r="G48" i="27" a="1"/>
  <c r="G48" i="27" s="1"/>
  <c r="K46" i="21" s="1" a="1"/>
  <c r="K46" i="21" s="1"/>
  <c r="G49" i="27" a="1"/>
  <c r="G49" i="27" s="1"/>
  <c r="K47" i="21" s="1" a="1"/>
  <c r="K47" i="21" s="1"/>
  <c r="G50" i="27" a="1"/>
  <c r="G50" i="27" s="1"/>
  <c r="K48" i="21" s="1" a="1"/>
  <c r="K48" i="21" s="1"/>
  <c r="G51" i="27" a="1"/>
  <c r="G51" i="27" s="1"/>
  <c r="K49" i="21" s="1" a="1"/>
  <c r="K49" i="21" s="1"/>
  <c r="G52" i="27" a="1"/>
  <c r="G52" i="27" s="1"/>
  <c r="K50" i="21" s="1" a="1"/>
  <c r="K50" i="21" s="1"/>
  <c r="G53" i="27" a="1"/>
  <c r="G53" i="27" s="1"/>
  <c r="K51" i="21" s="1" a="1"/>
  <c r="K51" i="21" s="1"/>
  <c r="G54" i="27" a="1"/>
  <c r="G54" i="27" s="1"/>
  <c r="K52" i="21" s="1" a="1"/>
  <c r="K52" i="21" s="1"/>
  <c r="G55" i="27" a="1"/>
  <c r="G55" i="27" s="1"/>
  <c r="K53" i="21" s="1" a="1"/>
  <c r="K53" i="21" s="1"/>
  <c r="G56" i="27" a="1"/>
  <c r="G56" i="27" s="1"/>
  <c r="K54" i="21" s="1" a="1"/>
  <c r="K54" i="21" s="1"/>
  <c r="G57" i="27" a="1"/>
  <c r="G57" i="27" s="1"/>
  <c r="K55" i="21" s="1" a="1"/>
  <c r="K55" i="21" s="1"/>
  <c r="G58" i="27" a="1"/>
  <c r="G58" i="27" s="1"/>
  <c r="K56" i="21" s="1" a="1"/>
  <c r="K56" i="21" s="1"/>
  <c r="E9" i="27" a="1"/>
  <c r="E9" i="27" s="1"/>
  <c r="N7" i="20" s="1" a="1"/>
  <c r="N7" i="20" s="1"/>
  <c r="E10" i="27" a="1"/>
  <c r="E10" i="27" s="1"/>
  <c r="N8" i="20" s="1" a="1"/>
  <c r="N8" i="20" s="1"/>
  <c r="E11" i="27" a="1"/>
  <c r="E11" i="27"/>
  <c r="N9" i="20" s="1" a="1"/>
  <c r="N9" i="20" s="1"/>
  <c r="E12" i="27" a="1"/>
  <c r="E12" i="27" s="1"/>
  <c r="N10" i="20" s="1" a="1"/>
  <c r="N10" i="20" s="1"/>
  <c r="E13" i="27" a="1"/>
  <c r="E13" i="27" s="1"/>
  <c r="N11" i="20" s="1" a="1"/>
  <c r="N11" i="20" s="1"/>
  <c r="E14" i="27" a="1"/>
  <c r="E14" i="27" s="1"/>
  <c r="N12" i="20" s="1" a="1"/>
  <c r="N12" i="20" s="1"/>
  <c r="E15" i="27" a="1"/>
  <c r="E15" i="27" s="1"/>
  <c r="N13" i="20" s="1" a="1"/>
  <c r="N13" i="20" s="1"/>
  <c r="E16" i="27" a="1"/>
  <c r="E16" i="27" s="1"/>
  <c r="N14" i="20" s="1" a="1"/>
  <c r="N14" i="20" s="1"/>
  <c r="E17" i="27" a="1"/>
  <c r="E17" i="27" s="1"/>
  <c r="N15" i="20" s="1" a="1"/>
  <c r="N15" i="20" s="1"/>
  <c r="E18" i="27" a="1"/>
  <c r="E18" i="27" s="1"/>
  <c r="N16" i="20" s="1" a="1"/>
  <c r="N16" i="20" s="1"/>
  <c r="E19" i="27" a="1"/>
  <c r="E19" i="27" s="1"/>
  <c r="N17" i="20" s="1" a="1"/>
  <c r="N17" i="20" s="1"/>
  <c r="E20" i="27" a="1"/>
  <c r="E20" i="27" s="1"/>
  <c r="N18" i="20" s="1" a="1"/>
  <c r="N18" i="20" s="1"/>
  <c r="E21" i="27" a="1"/>
  <c r="E21" i="27" s="1"/>
  <c r="N19" i="20" s="1" a="1"/>
  <c r="N19" i="20" s="1"/>
  <c r="E22" i="27" a="1"/>
  <c r="E22" i="27" s="1"/>
  <c r="N20" i="20" s="1" a="1"/>
  <c r="N20" i="20" s="1"/>
  <c r="E23" i="27" a="1"/>
  <c r="E23" i="27" s="1"/>
  <c r="N21" i="20" s="1" a="1"/>
  <c r="N21" i="20" s="1"/>
  <c r="E24" i="27" a="1"/>
  <c r="E24" i="27"/>
  <c r="N22" i="20" s="1" a="1"/>
  <c r="N22" i="20" s="1"/>
  <c r="E25" i="27" a="1"/>
  <c r="E25" i="27" s="1"/>
  <c r="N23" i="20" s="1" a="1"/>
  <c r="N23" i="20" s="1"/>
  <c r="E26" i="27" a="1"/>
  <c r="E26" i="27" s="1"/>
  <c r="N24" i="20" s="1" a="1"/>
  <c r="N24" i="20" s="1"/>
  <c r="E27" i="27" a="1"/>
  <c r="E27" i="27" s="1"/>
  <c r="N25" i="20" s="1" a="1"/>
  <c r="N25" i="20" s="1"/>
  <c r="E28" i="27" a="1"/>
  <c r="E28" i="27" s="1"/>
  <c r="N26" i="20" s="1" a="1"/>
  <c r="N26" i="20" s="1"/>
  <c r="E29" i="27" a="1"/>
  <c r="E29" i="27" s="1"/>
  <c r="N27" i="20" s="1" a="1"/>
  <c r="N27" i="20" s="1"/>
  <c r="E30" i="27" a="1"/>
  <c r="E30" i="27" s="1"/>
  <c r="N28" i="20" s="1" a="1"/>
  <c r="N28" i="20" s="1"/>
  <c r="E31" i="27" a="1"/>
  <c r="E31" i="27" s="1"/>
  <c r="N29" i="20" s="1" a="1"/>
  <c r="N29" i="20" s="1"/>
  <c r="E32" i="27" a="1"/>
  <c r="E32" i="27"/>
  <c r="N30" i="20" s="1" a="1"/>
  <c r="N30" i="20" s="1"/>
  <c r="E33" i="27" a="1"/>
  <c r="E33" i="27" s="1"/>
  <c r="N31" i="20" s="1" a="1"/>
  <c r="N31" i="20" s="1"/>
  <c r="E34" i="27" a="1"/>
  <c r="E34" i="27" s="1"/>
  <c r="N32" i="20" s="1" a="1"/>
  <c r="N32" i="20" s="1"/>
  <c r="E35" i="27" a="1"/>
  <c r="E35" i="27" s="1"/>
  <c r="N33" i="20" s="1" a="1"/>
  <c r="N33" i="20" s="1"/>
  <c r="E36" i="27" a="1"/>
  <c r="E36" i="27" s="1"/>
  <c r="N34" i="20" s="1" a="1"/>
  <c r="N34" i="20" s="1"/>
  <c r="E37" i="27" a="1"/>
  <c r="E37" i="27" s="1"/>
  <c r="N35" i="20" s="1" a="1"/>
  <c r="N35" i="20" s="1"/>
  <c r="E38" i="27" a="1"/>
  <c r="E38" i="27" s="1"/>
  <c r="N36" i="20" s="1" a="1"/>
  <c r="N36" i="20" s="1"/>
  <c r="E39" i="27" a="1"/>
  <c r="E39" i="27" s="1"/>
  <c r="N37" i="20" s="1" a="1"/>
  <c r="N37" i="20" s="1"/>
  <c r="E40" i="27" a="1"/>
  <c r="E40" i="27" s="1"/>
  <c r="N38" i="20" s="1" a="1"/>
  <c r="N38" i="20" s="1"/>
  <c r="E41" i="27" a="1"/>
  <c r="E41" i="27" s="1"/>
  <c r="N39" i="20" s="1" a="1"/>
  <c r="N39" i="20" s="1"/>
  <c r="E42" i="27" a="1"/>
  <c r="E42" i="27" s="1"/>
  <c r="N40" i="20" s="1" a="1"/>
  <c r="N40" i="20" s="1"/>
  <c r="E43" i="27" a="1"/>
  <c r="E43" i="27" s="1"/>
  <c r="N41" i="20" s="1" a="1"/>
  <c r="N41" i="20" s="1"/>
  <c r="E44" i="27" a="1"/>
  <c r="E44" i="27" s="1"/>
  <c r="N42" i="20" s="1" a="1"/>
  <c r="N42" i="20" s="1"/>
  <c r="E45" i="27" a="1"/>
  <c r="E45" i="27" s="1"/>
  <c r="N43" i="20" s="1" a="1"/>
  <c r="N43" i="20" s="1"/>
  <c r="E46" i="27" a="1"/>
  <c r="E46" i="27" s="1"/>
  <c r="N44" i="20" s="1" a="1"/>
  <c r="N44" i="20" s="1"/>
  <c r="E47" i="27" a="1"/>
  <c r="E47" i="27" s="1"/>
  <c r="N45" i="20" s="1" a="1"/>
  <c r="N45" i="20" s="1"/>
  <c r="E48" i="27" a="1"/>
  <c r="E48" i="27" s="1"/>
  <c r="N46" i="20" s="1" a="1"/>
  <c r="N46" i="20" s="1"/>
  <c r="E49" i="27" a="1"/>
  <c r="E49" i="27" s="1"/>
  <c r="N47" i="20" s="1" a="1"/>
  <c r="N47" i="20" s="1"/>
  <c r="E50" i="27" a="1"/>
  <c r="E50" i="27" s="1"/>
  <c r="N48" i="20" s="1" a="1"/>
  <c r="N48" i="20" s="1"/>
  <c r="E51" i="27" a="1"/>
  <c r="E51" i="27" s="1"/>
  <c r="N49" i="20" s="1" a="1"/>
  <c r="N49" i="20" s="1"/>
  <c r="E52" i="27" a="1"/>
  <c r="E52" i="27" s="1"/>
  <c r="N50" i="20" s="1" a="1"/>
  <c r="N50" i="20" s="1"/>
  <c r="E53" i="27" a="1"/>
  <c r="E53" i="27" s="1"/>
  <c r="N51" i="20" s="1" a="1"/>
  <c r="N51" i="20" s="1"/>
  <c r="E54" i="27" a="1"/>
  <c r="E54" i="27" s="1"/>
  <c r="N52" i="20" s="1" a="1"/>
  <c r="N52" i="20" s="1"/>
  <c r="E55" i="27" a="1"/>
  <c r="E55" i="27" s="1"/>
  <c r="N53" i="20" s="1" a="1"/>
  <c r="N53" i="20" s="1"/>
  <c r="E56" i="27" a="1"/>
  <c r="E56" i="27" s="1"/>
  <c r="N54" i="20" s="1" a="1"/>
  <c r="N54" i="20" s="1"/>
  <c r="E57" i="27" a="1"/>
  <c r="E57" i="27" s="1"/>
  <c r="N55" i="20" s="1" a="1"/>
  <c r="N55" i="20" s="1"/>
  <c r="E58" i="27" a="1"/>
  <c r="E58" i="27" s="1"/>
  <c r="N56" i="20" s="1" a="1"/>
  <c r="N56" i="20" s="1"/>
  <c r="C9" i="27" a="1"/>
  <c r="C9" i="27"/>
  <c r="C10" i="27" a="1"/>
  <c r="C10" i="27" s="1"/>
  <c r="C11" i="27" a="1"/>
  <c r="C11" i="27" s="1"/>
  <c r="C12" i="27" a="1"/>
  <c r="C12" i="27" s="1"/>
  <c r="C13" i="27" a="1"/>
  <c r="C13" i="27" s="1"/>
  <c r="C14" i="27" a="1"/>
  <c r="C14" i="27" s="1"/>
  <c r="C15" i="27" a="1"/>
  <c r="C15" i="27" s="1"/>
  <c r="C16" i="27" a="1"/>
  <c r="C16" i="27" s="1"/>
  <c r="C17" i="27" a="1"/>
  <c r="C17" i="27" s="1"/>
  <c r="C18" i="27" a="1"/>
  <c r="C18" i="27"/>
  <c r="C19" i="27" a="1"/>
  <c r="C19" i="27" s="1"/>
  <c r="C20" i="27" a="1"/>
  <c r="C20" i="27" s="1"/>
  <c r="C21" i="27" a="1"/>
  <c r="C21" i="27" s="1"/>
  <c r="C22" i="27" a="1"/>
  <c r="C22" i="27" s="1"/>
  <c r="C23" i="27" a="1"/>
  <c r="C23" i="27" s="1"/>
  <c r="C24" i="27" a="1"/>
  <c r="C24" i="27" s="1"/>
  <c r="C25" i="27" a="1"/>
  <c r="C25" i="27" s="1"/>
  <c r="C26" i="27" a="1"/>
  <c r="C26" i="27" s="1"/>
  <c r="C27" i="27" a="1"/>
  <c r="C27" i="27" s="1"/>
  <c r="C28" i="27" a="1"/>
  <c r="C28" i="27"/>
  <c r="C29" i="27" a="1"/>
  <c r="C29" i="27" s="1"/>
  <c r="L27" i="18" s="1" a="1"/>
  <c r="L27" i="18" s="1"/>
  <c r="C30" i="27" a="1"/>
  <c r="C30" i="27" s="1"/>
  <c r="C31" i="27" a="1"/>
  <c r="C31" i="27"/>
  <c r="C32" i="27" a="1"/>
  <c r="C32" i="27" s="1"/>
  <c r="L30" i="18" s="1" a="1"/>
  <c r="L30" i="18" s="1"/>
  <c r="C33" i="27" a="1"/>
  <c r="C33" i="27" s="1"/>
  <c r="C34" i="27" a="1"/>
  <c r="C34" i="27" s="1"/>
  <c r="C35" i="27" a="1"/>
  <c r="C35" i="27" s="1"/>
  <c r="C36" i="27" a="1"/>
  <c r="C36" i="27" s="1"/>
  <c r="C37" i="27" a="1"/>
  <c r="C37" i="27" s="1"/>
  <c r="C38" i="27" a="1"/>
  <c r="C38" i="27"/>
  <c r="C39" i="27" a="1"/>
  <c r="C39" i="27" s="1"/>
  <c r="C40" i="27" a="1"/>
  <c r="C40" i="27" s="1"/>
  <c r="C41" i="27" a="1"/>
  <c r="C41" i="27" s="1"/>
  <c r="L39" i="18" s="1" a="1"/>
  <c r="L39" i="18" s="1"/>
  <c r="C42" i="27" a="1"/>
  <c r="C42" i="27" s="1"/>
  <c r="C43" i="27" a="1"/>
  <c r="C43" i="27"/>
  <c r="C44" i="27" a="1"/>
  <c r="C44" i="27"/>
  <c r="C45" i="27" a="1"/>
  <c r="C45" i="27" s="1"/>
  <c r="C46" i="27" a="1"/>
  <c r="C46" i="27" s="1"/>
  <c r="C47" i="27" a="1"/>
  <c r="C47" i="27" s="1"/>
  <c r="C48" i="27" a="1"/>
  <c r="C48" i="27" s="1"/>
  <c r="C49" i="27" a="1"/>
  <c r="C49" i="27" s="1"/>
  <c r="C50" i="27" a="1"/>
  <c r="C50" i="27" s="1"/>
  <c r="C51" i="27" a="1"/>
  <c r="C51" i="27" s="1"/>
  <c r="C52" i="27" a="1"/>
  <c r="C52" i="27" s="1"/>
  <c r="C53" i="27" a="1"/>
  <c r="C53" i="27" s="1"/>
  <c r="C54" i="27" a="1"/>
  <c r="C54" i="27" s="1"/>
  <c r="C55" i="27" a="1"/>
  <c r="C55" i="27"/>
  <c r="C56" i="27" a="1"/>
  <c r="C56" i="27" s="1"/>
  <c r="C57" i="27" a="1"/>
  <c r="C57" i="27" s="1"/>
  <c r="C58" i="27" a="1"/>
  <c r="C58" i="27" s="1"/>
  <c r="M5" i="25"/>
  <c r="F5" i="25"/>
  <c r="K5" i="23"/>
  <c r="E5" i="23"/>
  <c r="K5" i="22"/>
  <c r="E5" i="22"/>
  <c r="M5" i="17"/>
  <c r="E5" i="17"/>
  <c r="M5" i="18"/>
  <c r="F5" i="18"/>
  <c r="L5" i="21"/>
  <c r="E5" i="21"/>
  <c r="H8" i="23" a="1"/>
  <c r="H8" i="23" s="1"/>
  <c r="H9" i="23" a="1"/>
  <c r="H9" i="23" s="1"/>
  <c r="H10" i="23" a="1"/>
  <c r="H10" i="23" s="1"/>
  <c r="H12" i="23" a="1"/>
  <c r="H12" i="23" s="1"/>
  <c r="H13" i="23" a="1"/>
  <c r="H13" i="23" s="1"/>
  <c r="H14" i="23" a="1"/>
  <c r="H14" i="23" s="1"/>
  <c r="H15" i="23" a="1"/>
  <c r="H15" i="23" s="1"/>
  <c r="H16" i="23" a="1"/>
  <c r="H16" i="23" s="1"/>
  <c r="H17" i="23" a="1"/>
  <c r="H17" i="23" s="1"/>
  <c r="H18" i="23" a="1"/>
  <c r="H18" i="23" s="1"/>
  <c r="H19" i="23" a="1"/>
  <c r="H19" i="23" s="1"/>
  <c r="H20" i="23" a="1"/>
  <c r="H20" i="23" s="1"/>
  <c r="H21" i="23" a="1"/>
  <c r="H21" i="23" s="1"/>
  <c r="H22" i="23" a="1"/>
  <c r="H22" i="23" s="1"/>
  <c r="H23" i="23" a="1"/>
  <c r="H23" i="23" s="1"/>
  <c r="H24" i="23" a="1"/>
  <c r="H24" i="23" s="1"/>
  <c r="H25" i="23" a="1"/>
  <c r="H25" i="23" s="1"/>
  <c r="H26" i="23" a="1"/>
  <c r="H26" i="23" s="1"/>
  <c r="H27" i="23" a="1"/>
  <c r="H27" i="23" s="1"/>
  <c r="H28" i="23" a="1"/>
  <c r="H28" i="23" s="1"/>
  <c r="H29" i="23" a="1"/>
  <c r="H29" i="23" s="1"/>
  <c r="H30" i="23" a="1"/>
  <c r="H30" i="23" s="1"/>
  <c r="H31" i="23" a="1"/>
  <c r="H31" i="23" s="1"/>
  <c r="H32" i="23" a="1"/>
  <c r="H32" i="23" s="1"/>
  <c r="H33" i="23" a="1"/>
  <c r="H33" i="23" s="1"/>
  <c r="H34" i="23" a="1"/>
  <c r="H34" i="23" s="1"/>
  <c r="H35" i="23" a="1"/>
  <c r="H35" i="23" s="1"/>
  <c r="H36" i="23" a="1"/>
  <c r="H36" i="23" s="1"/>
  <c r="H37" i="23" a="1"/>
  <c r="H37" i="23" s="1"/>
  <c r="H38" i="23" a="1"/>
  <c r="H38" i="23" s="1"/>
  <c r="H39" i="23" a="1"/>
  <c r="H39" i="23" s="1"/>
  <c r="H40" i="23" a="1"/>
  <c r="H40" i="23" s="1"/>
  <c r="H41" i="23" a="1"/>
  <c r="H41" i="23" s="1"/>
  <c r="H42" i="23" a="1"/>
  <c r="H42" i="23" s="1"/>
  <c r="H43" i="23" a="1"/>
  <c r="H43" i="23" s="1"/>
  <c r="H44" i="23" a="1"/>
  <c r="H44" i="23" s="1"/>
  <c r="H45" i="23" a="1"/>
  <c r="H45" i="23" s="1"/>
  <c r="H46" i="23" a="1"/>
  <c r="H46" i="23" s="1"/>
  <c r="H47" i="23" a="1"/>
  <c r="H47" i="23" s="1"/>
  <c r="H48" i="23" a="1"/>
  <c r="H48" i="23" s="1"/>
  <c r="H49" i="23" a="1"/>
  <c r="H49" i="23" s="1"/>
  <c r="H50" i="23" a="1"/>
  <c r="H50" i="23" s="1"/>
  <c r="H51" i="23" a="1"/>
  <c r="H51" i="23" s="1"/>
  <c r="H52" i="23" a="1"/>
  <c r="H52" i="23" s="1"/>
  <c r="H53" i="23" a="1"/>
  <c r="H53" i="23" s="1"/>
  <c r="H54" i="23" a="1"/>
  <c r="H54" i="23" s="1"/>
  <c r="H55" i="23" a="1"/>
  <c r="H55" i="23" s="1"/>
  <c r="H56" i="23" a="1"/>
  <c r="H56" i="23" s="1"/>
  <c r="H7" i="23" a="1"/>
  <c r="H7" i="23" s="1"/>
  <c r="B43" i="22" a="1"/>
  <c r="B43" i="22" s="1"/>
  <c r="B45" i="22" a="1"/>
  <c r="B45" i="22" s="1"/>
  <c r="BF59" i="26"/>
  <c r="AX59" i="26"/>
  <c r="AJ59" i="26"/>
  <c r="V59" i="26"/>
  <c r="P59" i="26"/>
  <c r="H59" i="26"/>
  <c r="BF58" i="26"/>
  <c r="AX58" i="26"/>
  <c r="AJ58" i="26"/>
  <c r="V58" i="26"/>
  <c r="P58" i="26"/>
  <c r="H58" i="26"/>
  <c r="BF57" i="26"/>
  <c r="AX57" i="26"/>
  <c r="AJ57" i="26"/>
  <c r="V57" i="26"/>
  <c r="P57" i="26"/>
  <c r="H57" i="26"/>
  <c r="BF56" i="26"/>
  <c r="AX56" i="26"/>
  <c r="AJ56" i="26"/>
  <c r="V56" i="26"/>
  <c r="P56" i="26"/>
  <c r="H56" i="26"/>
  <c r="BF55" i="26"/>
  <c r="AX55" i="26"/>
  <c r="AJ55" i="26"/>
  <c r="V55" i="26"/>
  <c r="P55" i="26"/>
  <c r="H55" i="26"/>
  <c r="BF54" i="26"/>
  <c r="AX54" i="26"/>
  <c r="AJ54" i="26"/>
  <c r="V54" i="26"/>
  <c r="P54" i="26"/>
  <c r="H54" i="26"/>
  <c r="BF53" i="26"/>
  <c r="AX53" i="26"/>
  <c r="AJ53" i="26"/>
  <c r="V53" i="26"/>
  <c r="P53" i="26"/>
  <c r="H53" i="26"/>
  <c r="BF52" i="26"/>
  <c r="AX52" i="26"/>
  <c r="AJ52" i="26"/>
  <c r="V52" i="26"/>
  <c r="P52" i="26"/>
  <c r="H52" i="26"/>
  <c r="BF51" i="26"/>
  <c r="AX51" i="26"/>
  <c r="AJ51" i="26"/>
  <c r="V51" i="26"/>
  <c r="P51" i="26"/>
  <c r="H51" i="26"/>
  <c r="BF50" i="26"/>
  <c r="AX50" i="26"/>
  <c r="AJ50" i="26"/>
  <c r="V50" i="26"/>
  <c r="P50" i="26"/>
  <c r="H50" i="26"/>
  <c r="BF49" i="26"/>
  <c r="AX49" i="26"/>
  <c r="AJ49" i="26"/>
  <c r="V49" i="26"/>
  <c r="P49" i="26"/>
  <c r="H49" i="26"/>
  <c r="BF48" i="26"/>
  <c r="AX48" i="26"/>
  <c r="AJ48" i="26"/>
  <c r="V48" i="26"/>
  <c r="P48" i="26"/>
  <c r="H48" i="26"/>
  <c r="BF47" i="26"/>
  <c r="AX47" i="26"/>
  <c r="AJ47" i="26"/>
  <c r="V47" i="26"/>
  <c r="P47" i="26"/>
  <c r="H47" i="26"/>
  <c r="BF46" i="26"/>
  <c r="AX46" i="26"/>
  <c r="AJ46" i="26"/>
  <c r="V46" i="26"/>
  <c r="P46" i="26"/>
  <c r="H46" i="26"/>
  <c r="BF45" i="26"/>
  <c r="AX45" i="26"/>
  <c r="AJ45" i="26"/>
  <c r="V45" i="26"/>
  <c r="P45" i="26"/>
  <c r="H45" i="26"/>
  <c r="BF44" i="26"/>
  <c r="AX44" i="26"/>
  <c r="AJ44" i="26"/>
  <c r="V44" i="26"/>
  <c r="P44" i="26"/>
  <c r="H44" i="26"/>
  <c r="BF43" i="26"/>
  <c r="AX43" i="26"/>
  <c r="AJ43" i="26"/>
  <c r="V43" i="26"/>
  <c r="P43" i="26"/>
  <c r="H43" i="26"/>
  <c r="BF42" i="26"/>
  <c r="AX42" i="26"/>
  <c r="AJ42" i="26"/>
  <c r="V42" i="26"/>
  <c r="P42" i="26"/>
  <c r="H42" i="26"/>
  <c r="BF41" i="26"/>
  <c r="AX41" i="26"/>
  <c r="AJ41" i="26"/>
  <c r="V41" i="26"/>
  <c r="P41" i="26"/>
  <c r="H41" i="26"/>
  <c r="BF40" i="26"/>
  <c r="AX40" i="26"/>
  <c r="AJ40" i="26"/>
  <c r="V40" i="26"/>
  <c r="P40" i="26"/>
  <c r="H40" i="26"/>
  <c r="BF39" i="26"/>
  <c r="AX39" i="26"/>
  <c r="AJ39" i="26"/>
  <c r="V39" i="26"/>
  <c r="P39" i="26"/>
  <c r="H39" i="26"/>
  <c r="BF38" i="26"/>
  <c r="AX38" i="26"/>
  <c r="AJ38" i="26"/>
  <c r="V38" i="26"/>
  <c r="P38" i="26"/>
  <c r="H38" i="26"/>
  <c r="BF37" i="26"/>
  <c r="AX37" i="26"/>
  <c r="AJ37" i="26"/>
  <c r="V37" i="26"/>
  <c r="P37" i="26"/>
  <c r="H37" i="26"/>
  <c r="BF36" i="26"/>
  <c r="AX36" i="26"/>
  <c r="AJ36" i="26"/>
  <c r="V36" i="26"/>
  <c r="P36" i="26"/>
  <c r="H36" i="26"/>
  <c r="BF35" i="26"/>
  <c r="AX35" i="26"/>
  <c r="AJ35" i="26"/>
  <c r="V35" i="26"/>
  <c r="P35" i="26"/>
  <c r="H35" i="26"/>
  <c r="BF34" i="26"/>
  <c r="AX34" i="26"/>
  <c r="AJ34" i="26"/>
  <c r="V34" i="26"/>
  <c r="P34" i="26"/>
  <c r="H34" i="26"/>
  <c r="BF33" i="26"/>
  <c r="AX33" i="26"/>
  <c r="AJ33" i="26"/>
  <c r="V33" i="26"/>
  <c r="P33" i="26"/>
  <c r="H33" i="26"/>
  <c r="BF32" i="26"/>
  <c r="AX32" i="26"/>
  <c r="AJ32" i="26"/>
  <c r="V32" i="26"/>
  <c r="P32" i="26"/>
  <c r="H32" i="26"/>
  <c r="BF31" i="26"/>
  <c r="AX31" i="26"/>
  <c r="AJ31" i="26"/>
  <c r="V31" i="26"/>
  <c r="P31" i="26"/>
  <c r="H31" i="26"/>
  <c r="BF30" i="26"/>
  <c r="AX30" i="26"/>
  <c r="AJ30" i="26"/>
  <c r="V30" i="26"/>
  <c r="P30" i="26"/>
  <c r="H30" i="26"/>
  <c r="BF29" i="26"/>
  <c r="AX29" i="26"/>
  <c r="AJ29" i="26"/>
  <c r="V29" i="26"/>
  <c r="P29" i="26"/>
  <c r="H29" i="26"/>
  <c r="BF28" i="26"/>
  <c r="AX28" i="26"/>
  <c r="AJ28" i="26"/>
  <c r="V28" i="26"/>
  <c r="P28" i="26"/>
  <c r="H28" i="26"/>
  <c r="BF27" i="26"/>
  <c r="AX27" i="26"/>
  <c r="AJ27" i="26"/>
  <c r="V27" i="26"/>
  <c r="P27" i="26"/>
  <c r="H27" i="26"/>
  <c r="BF26" i="26"/>
  <c r="AX26" i="26"/>
  <c r="AJ26" i="26"/>
  <c r="V26" i="26"/>
  <c r="P26" i="26"/>
  <c r="H26" i="26"/>
  <c r="BF25" i="26"/>
  <c r="AX25" i="26"/>
  <c r="AJ25" i="26"/>
  <c r="V25" i="26"/>
  <c r="P25" i="26"/>
  <c r="H25" i="26"/>
  <c r="BF24" i="26"/>
  <c r="AX24" i="26"/>
  <c r="AJ24" i="26"/>
  <c r="V24" i="26"/>
  <c r="P24" i="26"/>
  <c r="H24" i="26"/>
  <c r="BF23" i="26"/>
  <c r="AX23" i="26"/>
  <c r="AJ23" i="26"/>
  <c r="V23" i="26"/>
  <c r="P23" i="26"/>
  <c r="H23" i="26"/>
  <c r="BF22" i="26"/>
  <c r="AX22" i="26"/>
  <c r="AJ22" i="26"/>
  <c r="V22" i="26"/>
  <c r="P22" i="26"/>
  <c r="H22" i="26"/>
  <c r="BF21" i="26"/>
  <c r="AX21" i="26"/>
  <c r="AJ21" i="26"/>
  <c r="V21" i="26"/>
  <c r="P21" i="26"/>
  <c r="H21" i="26"/>
  <c r="BF20" i="26"/>
  <c r="AX20" i="26"/>
  <c r="AJ20" i="26"/>
  <c r="V20" i="26"/>
  <c r="P20" i="26"/>
  <c r="H20" i="26"/>
  <c r="BF19" i="26"/>
  <c r="AX19" i="26"/>
  <c r="AJ19" i="26"/>
  <c r="V19" i="26"/>
  <c r="P19" i="26"/>
  <c r="H19" i="26"/>
  <c r="BF18" i="26"/>
  <c r="AX18" i="26"/>
  <c r="AJ18" i="26"/>
  <c r="V18" i="26"/>
  <c r="P18" i="26"/>
  <c r="H18" i="26"/>
  <c r="BF17" i="26"/>
  <c r="AX17" i="26"/>
  <c r="AJ17" i="26"/>
  <c r="V17" i="26"/>
  <c r="P17" i="26"/>
  <c r="H17" i="26"/>
  <c r="BF16" i="26"/>
  <c r="AX16" i="26"/>
  <c r="AJ16" i="26"/>
  <c r="V16" i="26"/>
  <c r="P16" i="26"/>
  <c r="H16" i="26"/>
  <c r="BF15" i="26"/>
  <c r="AX15" i="26"/>
  <c r="AJ15" i="26"/>
  <c r="V15" i="26"/>
  <c r="P15" i="26"/>
  <c r="H15" i="26"/>
  <c r="BF14" i="26"/>
  <c r="AX14" i="26"/>
  <c r="AJ14" i="26"/>
  <c r="V14" i="26"/>
  <c r="P14" i="26"/>
  <c r="H14" i="26"/>
  <c r="BF13" i="26"/>
  <c r="AX13" i="26"/>
  <c r="AJ13" i="26"/>
  <c r="V13" i="26"/>
  <c r="P13" i="26"/>
  <c r="H13" i="26"/>
  <c r="BF12" i="26"/>
  <c r="AX12" i="26"/>
  <c r="AJ12" i="26"/>
  <c r="V12" i="26"/>
  <c r="P12" i="26"/>
  <c r="H12" i="26"/>
  <c r="BF11" i="26"/>
  <c r="AX11" i="26"/>
  <c r="AJ11" i="26"/>
  <c r="V11" i="26"/>
  <c r="P11" i="26"/>
  <c r="H11" i="26"/>
  <c r="BF10" i="26"/>
  <c r="AX10" i="26"/>
  <c r="AJ10" i="26"/>
  <c r="V10" i="26"/>
  <c r="P10" i="26"/>
  <c r="H10" i="26"/>
  <c r="BZ59" i="7"/>
  <c r="CA18" i="7" s="1" a="1"/>
  <c r="CA18" i="7" s="1"/>
  <c r="DZ6" i="7"/>
  <c r="BD9" i="7"/>
  <c r="BD10" i="7"/>
  <c r="BD11" i="7"/>
  <c r="BD12" i="7"/>
  <c r="BD13" i="7"/>
  <c r="BD14" i="7"/>
  <c r="BD15" i="7"/>
  <c r="BD16" i="7"/>
  <c r="BD17" i="7"/>
  <c r="BD18" i="7"/>
  <c r="BD19" i="7"/>
  <c r="BD20" i="7"/>
  <c r="BD21" i="7"/>
  <c r="BD22" i="7"/>
  <c r="BD23" i="7"/>
  <c r="BD24" i="7"/>
  <c r="BD25" i="7"/>
  <c r="BD26" i="7"/>
  <c r="BD27" i="7"/>
  <c r="BD28" i="7"/>
  <c r="BD29" i="7"/>
  <c r="BD30" i="7"/>
  <c r="BD31" i="7"/>
  <c r="BD32" i="7"/>
  <c r="BD33" i="7"/>
  <c r="BD34" i="7"/>
  <c r="BD35" i="7"/>
  <c r="BD36" i="7"/>
  <c r="BD37" i="7"/>
  <c r="BD38" i="7"/>
  <c r="BD39" i="7"/>
  <c r="BD40" i="7"/>
  <c r="BD41" i="7"/>
  <c r="BD42" i="7"/>
  <c r="BD43" i="7"/>
  <c r="BD44" i="7"/>
  <c r="BD45" i="7"/>
  <c r="BD46" i="7"/>
  <c r="BD47" i="7"/>
  <c r="BD48" i="7"/>
  <c r="BD49" i="7"/>
  <c r="BD50" i="7"/>
  <c r="BD51" i="7"/>
  <c r="BD52" i="7"/>
  <c r="BD53" i="7"/>
  <c r="BD54" i="7"/>
  <c r="BD55" i="7"/>
  <c r="BD56" i="7"/>
  <c r="BD57" i="7"/>
  <c r="AZ9" i="7"/>
  <c r="AZ10" i="7"/>
  <c r="AZ11" i="7"/>
  <c r="AZ12" i="7"/>
  <c r="AZ13" i="7"/>
  <c r="AZ14" i="7"/>
  <c r="AZ15" i="7"/>
  <c r="AZ16" i="7"/>
  <c r="AZ17" i="7"/>
  <c r="AZ18" i="7"/>
  <c r="AZ19" i="7"/>
  <c r="AZ20" i="7"/>
  <c r="AZ21" i="7"/>
  <c r="AZ22" i="7"/>
  <c r="AZ23" i="7"/>
  <c r="AZ24" i="7"/>
  <c r="AZ25" i="7"/>
  <c r="AZ26" i="7"/>
  <c r="AZ27" i="7"/>
  <c r="AZ28" i="7"/>
  <c r="AZ29" i="7"/>
  <c r="AZ30" i="7"/>
  <c r="AZ31" i="7"/>
  <c r="AZ32" i="7"/>
  <c r="AZ33" i="7"/>
  <c r="AZ34" i="7"/>
  <c r="AZ35" i="7"/>
  <c r="AZ36" i="7"/>
  <c r="AZ37" i="7"/>
  <c r="AZ38" i="7"/>
  <c r="AZ39" i="7"/>
  <c r="AZ40" i="7"/>
  <c r="AZ41" i="7"/>
  <c r="AZ42" i="7"/>
  <c r="AZ43" i="7"/>
  <c r="AZ44" i="7"/>
  <c r="AZ45" i="7"/>
  <c r="AZ46" i="7"/>
  <c r="AZ47" i="7"/>
  <c r="AZ48" i="7"/>
  <c r="AZ49" i="7"/>
  <c r="AZ50" i="7"/>
  <c r="AZ51" i="7"/>
  <c r="AZ52" i="7"/>
  <c r="AZ53" i="7"/>
  <c r="AZ54" i="7"/>
  <c r="AZ55" i="7"/>
  <c r="AZ56" i="7"/>
  <c r="AZ57" i="7"/>
  <c r="AU9" i="7"/>
  <c r="AU10" i="7"/>
  <c r="AU11" i="7"/>
  <c r="AU12" i="7"/>
  <c r="AU13" i="7"/>
  <c r="AU14" i="7"/>
  <c r="AU15" i="7"/>
  <c r="AU16" i="7"/>
  <c r="AU17" i="7"/>
  <c r="AU18" i="7"/>
  <c r="AU19" i="7"/>
  <c r="AU20" i="7"/>
  <c r="AU21" i="7"/>
  <c r="AU22" i="7"/>
  <c r="AU23" i="7"/>
  <c r="AU24" i="7"/>
  <c r="AU25" i="7"/>
  <c r="AU26" i="7"/>
  <c r="AU27" i="7"/>
  <c r="AU28" i="7"/>
  <c r="AU29" i="7"/>
  <c r="AU30" i="7"/>
  <c r="AU31" i="7"/>
  <c r="AU32" i="7"/>
  <c r="AU33" i="7"/>
  <c r="AU34" i="7"/>
  <c r="AU35" i="7"/>
  <c r="AU36" i="7"/>
  <c r="AU37" i="7"/>
  <c r="AU38" i="7"/>
  <c r="AU39" i="7"/>
  <c r="AU40" i="7"/>
  <c r="AU41" i="7"/>
  <c r="AU42" i="7"/>
  <c r="AU43" i="7"/>
  <c r="AU44" i="7"/>
  <c r="AU45" i="7"/>
  <c r="AU46" i="7"/>
  <c r="AU47" i="7"/>
  <c r="AU48" i="7"/>
  <c r="AU49" i="7"/>
  <c r="AU50" i="7"/>
  <c r="AU51" i="7"/>
  <c r="AU52" i="7"/>
  <c r="AU53" i="7"/>
  <c r="AU54" i="7"/>
  <c r="AU55" i="7"/>
  <c r="AU56" i="7"/>
  <c r="AU57" i="7"/>
  <c r="AS9" i="7"/>
  <c r="AS10" i="7"/>
  <c r="AS11" i="7"/>
  <c r="AS12" i="7"/>
  <c r="AS13" i="7"/>
  <c r="AS14" i="7"/>
  <c r="AS15" i="7"/>
  <c r="AS16" i="7"/>
  <c r="AS17" i="7"/>
  <c r="AS18" i="7"/>
  <c r="AS19" i="7"/>
  <c r="AS20" i="7"/>
  <c r="AS21" i="7"/>
  <c r="AS22" i="7"/>
  <c r="AS23" i="7"/>
  <c r="AS24" i="7"/>
  <c r="AS25" i="7"/>
  <c r="AS26" i="7"/>
  <c r="AS27" i="7"/>
  <c r="AS28" i="7"/>
  <c r="AS29" i="7"/>
  <c r="AS30" i="7"/>
  <c r="AS31" i="7"/>
  <c r="AS32" i="7"/>
  <c r="AS33" i="7"/>
  <c r="AS34" i="7"/>
  <c r="AS35" i="7"/>
  <c r="AS36" i="7"/>
  <c r="AS37" i="7"/>
  <c r="AS38" i="7"/>
  <c r="AS39" i="7"/>
  <c r="AS40" i="7"/>
  <c r="AS41" i="7"/>
  <c r="AS42" i="7"/>
  <c r="AS43" i="7"/>
  <c r="AS44" i="7"/>
  <c r="AS45" i="7"/>
  <c r="AS46" i="7"/>
  <c r="AS47" i="7"/>
  <c r="AS48" i="7"/>
  <c r="AS49" i="7"/>
  <c r="AS50" i="7"/>
  <c r="AS51" i="7"/>
  <c r="AS52" i="7"/>
  <c r="AS53" i="7"/>
  <c r="AS54" i="7"/>
  <c r="AS55" i="7"/>
  <c r="AS56" i="7"/>
  <c r="AS57" i="7"/>
  <c r="AL9" i="7"/>
  <c r="AL10" i="7"/>
  <c r="AL11" i="7"/>
  <c r="AL12" i="7"/>
  <c r="AL13" i="7"/>
  <c r="AL14" i="7"/>
  <c r="AL15" i="7"/>
  <c r="AL16" i="7"/>
  <c r="AL17" i="7"/>
  <c r="AL18" i="7"/>
  <c r="AL19" i="7"/>
  <c r="AL20" i="7"/>
  <c r="AL21" i="7"/>
  <c r="AL22" i="7"/>
  <c r="AL23" i="7"/>
  <c r="AL24" i="7"/>
  <c r="AL25" i="7"/>
  <c r="AL26" i="7"/>
  <c r="AL27" i="7"/>
  <c r="AL28" i="7"/>
  <c r="AL29" i="7"/>
  <c r="AL30" i="7"/>
  <c r="AL31" i="7"/>
  <c r="AL32" i="7"/>
  <c r="AL33" i="7"/>
  <c r="AL34" i="7"/>
  <c r="AL35" i="7"/>
  <c r="AL36" i="7"/>
  <c r="AL37" i="7"/>
  <c r="AL38" i="7"/>
  <c r="AL39" i="7"/>
  <c r="AL40" i="7"/>
  <c r="AL41" i="7"/>
  <c r="AL42" i="7"/>
  <c r="AL43" i="7"/>
  <c r="AL44" i="7"/>
  <c r="AL45" i="7"/>
  <c r="AL46" i="7"/>
  <c r="AL47" i="7"/>
  <c r="AL48" i="7"/>
  <c r="AL49" i="7"/>
  <c r="AL50" i="7"/>
  <c r="AL51" i="7"/>
  <c r="AL52" i="7"/>
  <c r="AL53" i="7"/>
  <c r="AL54" i="7"/>
  <c r="AL55" i="7"/>
  <c r="AL56" i="7"/>
  <c r="AL57" i="7"/>
  <c r="AL8" i="7"/>
  <c r="AN8" i="7"/>
  <c r="BJ14" i="7"/>
  <c r="BJ15" i="7"/>
  <c r="BJ16" i="7"/>
  <c r="BJ17" i="7"/>
  <c r="BJ18" i="7"/>
  <c r="BJ19" i="7"/>
  <c r="BJ20" i="7"/>
  <c r="BJ21" i="7"/>
  <c r="BJ22" i="7"/>
  <c r="BJ24" i="7"/>
  <c r="BJ25" i="7"/>
  <c r="BJ26" i="7"/>
  <c r="BJ27" i="7"/>
  <c r="BJ28" i="7"/>
  <c r="BJ29" i="7"/>
  <c r="BJ30" i="7"/>
  <c r="BJ32" i="7"/>
  <c r="BJ33" i="7"/>
  <c r="BJ34" i="7"/>
  <c r="BJ35" i="7"/>
  <c r="BJ36" i="7"/>
  <c r="BJ37" i="7"/>
  <c r="BJ38" i="7"/>
  <c r="BJ40" i="7"/>
  <c r="BJ41" i="7"/>
  <c r="BJ42" i="7"/>
  <c r="BJ43" i="7"/>
  <c r="BJ44" i="7"/>
  <c r="BJ45" i="7"/>
  <c r="BJ46" i="7"/>
  <c r="BJ48" i="7"/>
  <c r="BJ49" i="7"/>
  <c r="BJ50" i="7"/>
  <c r="BJ51" i="7"/>
  <c r="BJ52" i="7"/>
  <c r="BJ53" i="7"/>
  <c r="BJ54" i="7"/>
  <c r="BJ56" i="7"/>
  <c r="BJ57" i="7"/>
  <c r="AP9" i="7"/>
  <c r="AP10" i="7"/>
  <c r="AP11" i="7"/>
  <c r="AP12" i="7"/>
  <c r="AP13" i="7"/>
  <c r="AP14" i="7"/>
  <c r="AP15" i="7"/>
  <c r="AP16" i="7"/>
  <c r="AP17" i="7"/>
  <c r="AP18" i="7"/>
  <c r="AP19" i="7"/>
  <c r="AP20" i="7"/>
  <c r="AP21" i="7"/>
  <c r="AP22" i="7"/>
  <c r="AP23" i="7"/>
  <c r="AP24" i="7"/>
  <c r="AP25" i="7"/>
  <c r="AP26" i="7"/>
  <c r="AP27" i="7"/>
  <c r="AP28" i="7"/>
  <c r="AP29" i="7"/>
  <c r="AP30" i="7"/>
  <c r="AP31" i="7"/>
  <c r="AP32" i="7"/>
  <c r="AP33" i="7"/>
  <c r="AP34" i="7"/>
  <c r="AP35" i="7"/>
  <c r="AP36" i="7"/>
  <c r="AP37" i="7"/>
  <c r="AP38" i="7"/>
  <c r="AP39" i="7"/>
  <c r="AP40" i="7"/>
  <c r="AP41" i="7"/>
  <c r="AP42" i="7"/>
  <c r="AP43" i="7"/>
  <c r="AP44" i="7"/>
  <c r="AP45" i="7"/>
  <c r="AP46" i="7"/>
  <c r="AP47" i="7"/>
  <c r="AP48" i="7"/>
  <c r="AP49" i="7"/>
  <c r="AP50" i="7"/>
  <c r="AP51" i="7"/>
  <c r="AP52" i="7"/>
  <c r="AP53" i="7"/>
  <c r="AP54" i="7"/>
  <c r="AP55" i="7"/>
  <c r="AP56" i="7"/>
  <c r="AP57" i="7"/>
  <c r="AN13" i="7"/>
  <c r="AN14" i="7"/>
  <c r="AN15" i="7"/>
  <c r="AN16" i="7"/>
  <c r="AN17" i="7"/>
  <c r="AN18" i="7"/>
  <c r="AN19" i="7"/>
  <c r="AN20" i="7"/>
  <c r="AN21" i="7"/>
  <c r="AN22" i="7"/>
  <c r="AN23" i="7"/>
  <c r="AN24" i="7"/>
  <c r="AN25" i="7"/>
  <c r="AN26" i="7"/>
  <c r="AN27" i="7"/>
  <c r="AN28" i="7"/>
  <c r="AN29" i="7"/>
  <c r="AN30" i="7"/>
  <c r="AN31" i="7"/>
  <c r="AN32" i="7"/>
  <c r="AN33" i="7"/>
  <c r="AN34" i="7"/>
  <c r="AN35" i="7"/>
  <c r="AN36" i="7"/>
  <c r="AN37" i="7"/>
  <c r="AN38" i="7"/>
  <c r="AN39" i="7"/>
  <c r="AN40" i="7"/>
  <c r="AN41" i="7"/>
  <c r="AN42" i="7"/>
  <c r="AN43" i="7"/>
  <c r="AN44" i="7"/>
  <c r="AN45" i="7"/>
  <c r="AN46" i="7"/>
  <c r="AN47" i="7"/>
  <c r="AN48" i="7"/>
  <c r="AN49" i="7"/>
  <c r="AN50" i="7"/>
  <c r="AN51" i="7"/>
  <c r="AN52" i="7"/>
  <c r="AN53" i="7"/>
  <c r="AN54" i="7"/>
  <c r="AN55" i="7"/>
  <c r="AN56" i="7"/>
  <c r="AN57" i="7"/>
  <c r="AN9" i="7"/>
  <c r="AN10" i="7"/>
  <c r="AN11" i="7"/>
  <c r="AN12" i="7"/>
  <c r="CW50" i="7"/>
  <c r="CW53" i="7"/>
  <c r="CW54" i="7"/>
  <c r="CW39" i="7"/>
  <c r="CW40" i="7"/>
  <c r="CW44" i="7"/>
  <c r="CW46" i="7"/>
  <c r="CW47" i="7"/>
  <c r="CW31" i="7"/>
  <c r="CW36" i="7"/>
  <c r="CW37" i="7"/>
  <c r="CW9" i="7"/>
  <c r="CW12" i="7"/>
  <c r="CW14" i="7"/>
  <c r="CW15" i="7"/>
  <c r="CW16" i="7"/>
  <c r="CW17" i="7"/>
  <c r="CW18" i="7"/>
  <c r="CW25" i="7"/>
  <c r="CW26" i="7"/>
  <c r="CW27" i="7"/>
  <c r="CW28" i="7"/>
  <c r="CM50" i="7" a="1"/>
  <c r="CM50" i="7" s="1"/>
  <c r="CN50" i="7" s="1"/>
  <c r="CM51" i="7" a="1"/>
  <c r="CM51" i="7" s="1"/>
  <c r="CM52" i="7" a="1"/>
  <c r="CM52" i="7" s="1"/>
  <c r="CM53" i="7" a="1"/>
  <c r="CM53" i="7" s="1"/>
  <c r="CN53" i="7" s="1"/>
  <c r="CM54" i="7" a="1"/>
  <c r="CM54" i="7" s="1"/>
  <c r="CM55" i="7" a="1"/>
  <c r="CM55" i="7" s="1"/>
  <c r="CM56" i="7" a="1"/>
  <c r="CM56" i="7" s="1"/>
  <c r="CM57" i="7" a="1"/>
  <c r="CM57" i="7" s="1"/>
  <c r="CN57" i="7" s="1"/>
  <c r="CM33" i="7" a="1"/>
  <c r="CM33" i="7" s="1"/>
  <c r="CM34" i="7" a="1"/>
  <c r="CM34" i="7" s="1"/>
  <c r="CM35" i="7" a="1"/>
  <c r="CM35" i="7" s="1"/>
  <c r="CM36" i="7" a="1"/>
  <c r="CM36" i="7" s="1"/>
  <c r="CM37" i="7" a="1"/>
  <c r="CM37" i="7" s="1"/>
  <c r="CM38" i="7" a="1"/>
  <c r="CM38" i="7" s="1"/>
  <c r="CN38" i="7" s="1"/>
  <c r="CM39" i="7" a="1"/>
  <c r="CM39" i="7" s="1"/>
  <c r="CM40" i="7" a="1"/>
  <c r="CM40" i="7" s="1"/>
  <c r="CM41" i="7" a="1"/>
  <c r="CM41" i="7" s="1"/>
  <c r="CN41" i="7" s="1"/>
  <c r="CM42" i="7" a="1"/>
  <c r="CM42" i="7" s="1"/>
  <c r="CM43" i="7" a="1"/>
  <c r="CM43" i="7" s="1"/>
  <c r="CM44" i="7" a="1"/>
  <c r="CM44" i="7" s="1"/>
  <c r="CN44" i="7" s="1"/>
  <c r="CM45" i="7" a="1"/>
  <c r="CM45" i="7" s="1"/>
  <c r="CM46" i="7" a="1"/>
  <c r="CM46" i="7" s="1"/>
  <c r="CN46" i="7" s="1"/>
  <c r="CM47" i="7" a="1"/>
  <c r="CM47" i="7" s="1"/>
  <c r="CM48" i="7" a="1"/>
  <c r="CM48" i="7" s="1"/>
  <c r="CM49" i="7" a="1"/>
  <c r="CM49" i="7" s="1"/>
  <c r="CM20" i="7" a="1"/>
  <c r="CM20" i="7" s="1"/>
  <c r="CN20" i="7" s="1"/>
  <c r="CM21" i="7" a="1"/>
  <c r="CM21" i="7" s="1"/>
  <c r="CN21" i="7" s="1"/>
  <c r="CM22" i="7" a="1"/>
  <c r="CM22" i="7" s="1"/>
  <c r="CN22" i="7" s="1"/>
  <c r="CM23" i="7" a="1"/>
  <c r="CM23" i="7" s="1"/>
  <c r="CM24" i="7" a="1"/>
  <c r="CM24" i="7" s="1"/>
  <c r="CN24" i="7" s="1"/>
  <c r="CM25" i="7" a="1"/>
  <c r="CM25" i="7" s="1"/>
  <c r="CN25" i="7" s="1"/>
  <c r="CM26" i="7" a="1"/>
  <c r="CM26" i="7" s="1"/>
  <c r="CN26" i="7" s="1"/>
  <c r="CM27" i="7" a="1"/>
  <c r="CM27" i="7" s="1"/>
  <c r="CN27" i="7" s="1"/>
  <c r="CM28" i="7" a="1"/>
  <c r="CM28" i="7" s="1"/>
  <c r="CN28" i="7" s="1"/>
  <c r="CM29" i="7" a="1"/>
  <c r="CM29" i="7" s="1"/>
  <c r="CN29" i="7" s="1"/>
  <c r="CM30" i="7" a="1"/>
  <c r="CM30" i="7" s="1"/>
  <c r="CN30" i="7" s="1"/>
  <c r="CM31" i="7" a="1"/>
  <c r="CM31" i="7" s="1"/>
  <c r="CM32" i="7" a="1"/>
  <c r="CM32" i="7" s="1"/>
  <c r="CN32" i="7" s="1"/>
  <c r="CM9" i="7" a="1"/>
  <c r="CM9" i="7" s="1"/>
  <c r="CM10" i="7" a="1"/>
  <c r="CM10" i="7" s="1"/>
  <c r="CM11" i="7" a="1"/>
  <c r="CM11" i="7" s="1"/>
  <c r="CN11" i="7" s="1"/>
  <c r="CM12" i="7" a="1"/>
  <c r="CM12" i="7" s="1"/>
  <c r="CM13" i="7" a="1"/>
  <c r="CM13" i="7" s="1"/>
  <c r="CM14" i="7" a="1"/>
  <c r="CM14" i="7" s="1"/>
  <c r="CN14" i="7" s="1"/>
  <c r="CM15" i="7" a="1"/>
  <c r="CM15" i="7" s="1"/>
  <c r="CM16" i="7" a="1"/>
  <c r="CM16" i="7" s="1"/>
  <c r="CN16" i="7" s="1"/>
  <c r="CM17" i="7" a="1"/>
  <c r="CM17" i="7" s="1"/>
  <c r="CN17" i="7" s="1"/>
  <c r="P16" i="29" s="1" a="1"/>
  <c r="P16" i="29" s="1"/>
  <c r="CM18" i="7" a="1"/>
  <c r="CM18" i="7" s="1"/>
  <c r="CN18" i="7" s="1"/>
  <c r="CM19" i="7" a="1"/>
  <c r="CM19" i="7" s="1"/>
  <c r="CM8" i="7" a="1"/>
  <c r="CM8" i="7" s="1"/>
  <c r="CH9" i="7" a="1"/>
  <c r="CH9" i="7" s="1"/>
  <c r="CH10" i="7" a="1"/>
  <c r="CH10" i="7" s="1"/>
  <c r="CH11" i="7" a="1"/>
  <c r="CH11" i="7" s="1"/>
  <c r="CH12" i="7" a="1"/>
  <c r="CH12" i="7" s="1"/>
  <c r="CH13" i="7" a="1"/>
  <c r="CH13" i="7" s="1"/>
  <c r="CH14" i="7" a="1"/>
  <c r="CH14" i="7" s="1"/>
  <c r="CH15" i="7" a="1"/>
  <c r="CH15" i="7" s="1"/>
  <c r="CH16" i="7" a="1"/>
  <c r="CH16" i="7" s="1"/>
  <c r="CH17" i="7" a="1"/>
  <c r="CH17" i="7" s="1"/>
  <c r="CH18" i="7" a="1"/>
  <c r="CH18" i="7" s="1"/>
  <c r="CH19" i="7" a="1"/>
  <c r="CH19" i="7" s="1"/>
  <c r="CH20" i="7" a="1"/>
  <c r="CH20" i="7" s="1"/>
  <c r="CH21" i="7" a="1"/>
  <c r="CH21" i="7" s="1"/>
  <c r="CH22" i="7" a="1"/>
  <c r="CH22" i="7" s="1"/>
  <c r="CH23" i="7" a="1"/>
  <c r="CH23" i="7" s="1"/>
  <c r="CH24" i="7" a="1"/>
  <c r="CH24" i="7" s="1"/>
  <c r="CH25" i="7" a="1"/>
  <c r="CH25" i="7" s="1"/>
  <c r="CH26" i="7" a="1"/>
  <c r="CH26" i="7" s="1"/>
  <c r="CH27" i="7" a="1"/>
  <c r="CH27" i="7" s="1"/>
  <c r="CH28" i="7" a="1"/>
  <c r="CH28" i="7" s="1"/>
  <c r="CH29" i="7" a="1"/>
  <c r="CH29" i="7" s="1"/>
  <c r="CH30" i="7" a="1"/>
  <c r="CH30" i="7" s="1"/>
  <c r="CH31" i="7" a="1"/>
  <c r="CH31" i="7" s="1"/>
  <c r="CH32" i="7" a="1"/>
  <c r="CH32" i="7" s="1"/>
  <c r="CH33" i="7" a="1"/>
  <c r="CH33" i="7" s="1"/>
  <c r="CH34" i="7" a="1"/>
  <c r="CH34" i="7" s="1"/>
  <c r="CH35" i="7" a="1"/>
  <c r="CH35" i="7" s="1"/>
  <c r="CH36" i="7" a="1"/>
  <c r="CH36" i="7" s="1"/>
  <c r="CH37" i="7" a="1"/>
  <c r="CH37" i="7" s="1"/>
  <c r="CH38" i="7" a="1"/>
  <c r="CH38" i="7" s="1"/>
  <c r="CH39" i="7" a="1"/>
  <c r="CH39" i="7" s="1"/>
  <c r="CH40" i="7" a="1"/>
  <c r="CH40" i="7" s="1"/>
  <c r="CH41" i="7" a="1"/>
  <c r="CH41" i="7" s="1"/>
  <c r="CH42" i="7" a="1"/>
  <c r="CH42" i="7" s="1"/>
  <c r="CH43" i="7" a="1"/>
  <c r="CH43" i="7" s="1"/>
  <c r="CH44" i="7" a="1"/>
  <c r="CH44" i="7" s="1"/>
  <c r="CH45" i="7" a="1"/>
  <c r="CH45" i="7" s="1"/>
  <c r="CH46" i="7" a="1"/>
  <c r="CH46" i="7" s="1"/>
  <c r="CH47" i="7" a="1"/>
  <c r="CH47" i="7" s="1"/>
  <c r="CH48" i="7" a="1"/>
  <c r="CH48" i="7" s="1"/>
  <c r="CH49" i="7" a="1"/>
  <c r="CH49" i="7" s="1"/>
  <c r="CH50" i="7" a="1"/>
  <c r="CH50" i="7" s="1"/>
  <c r="CH51" i="7" a="1"/>
  <c r="CH51" i="7" s="1"/>
  <c r="CH52" i="7" a="1"/>
  <c r="CH52" i="7" s="1"/>
  <c r="CH53" i="7" a="1"/>
  <c r="CH53" i="7" s="1"/>
  <c r="CH54" i="7" a="1"/>
  <c r="CH54" i="7" s="1"/>
  <c r="CH55" i="7" a="1"/>
  <c r="CH55" i="7" s="1"/>
  <c r="CH56" i="7" a="1"/>
  <c r="CH56" i="7" s="1"/>
  <c r="CH57" i="7" a="1"/>
  <c r="CH57" i="7" s="1"/>
  <c r="CH8" i="7" a="1"/>
  <c r="CH8" i="7" s="1"/>
  <c r="CF50" i="7" a="1"/>
  <c r="CF50" i="7" s="1"/>
  <c r="CF51" i="7" a="1"/>
  <c r="CF51" i="7" s="1"/>
  <c r="CF52" i="7" a="1"/>
  <c r="CF52" i="7" s="1"/>
  <c r="CF53" i="7" a="1"/>
  <c r="CF53" i="7" s="1"/>
  <c r="CF54" i="7" a="1"/>
  <c r="CF54" i="7" s="1"/>
  <c r="CF55" i="7" a="1"/>
  <c r="CF55" i="7" s="1"/>
  <c r="CF56" i="7" a="1"/>
  <c r="CF56" i="7" s="1"/>
  <c r="CF57" i="7" a="1"/>
  <c r="CF57" i="7" s="1"/>
  <c r="CF34" i="7" a="1"/>
  <c r="CF34" i="7" s="1"/>
  <c r="CF35" i="7" a="1"/>
  <c r="CF35" i="7" s="1"/>
  <c r="CF36" i="7" a="1"/>
  <c r="CF36" i="7" s="1"/>
  <c r="CF37" i="7" a="1"/>
  <c r="CF37" i="7" s="1"/>
  <c r="CF38" i="7" a="1"/>
  <c r="CF38" i="7" s="1"/>
  <c r="CF39" i="7" a="1"/>
  <c r="CF39" i="7" s="1"/>
  <c r="CF40" i="7" a="1"/>
  <c r="CF40" i="7" s="1"/>
  <c r="CF41" i="7" a="1"/>
  <c r="CF41" i="7" s="1"/>
  <c r="CF42" i="7" a="1"/>
  <c r="CF42" i="7" s="1"/>
  <c r="CF43" i="7" a="1"/>
  <c r="CF43" i="7" s="1"/>
  <c r="CF44" i="7" a="1"/>
  <c r="CF44" i="7" s="1"/>
  <c r="CF45" i="7" a="1"/>
  <c r="CF45" i="7" s="1"/>
  <c r="CF46" i="7" a="1"/>
  <c r="CF46" i="7" s="1"/>
  <c r="CF47" i="7" a="1"/>
  <c r="CF47" i="7" s="1"/>
  <c r="CF48" i="7" a="1"/>
  <c r="CF48" i="7" s="1"/>
  <c r="CF49" i="7" a="1"/>
  <c r="CF49" i="7" s="1"/>
  <c r="CF18" i="7" a="1"/>
  <c r="CF18" i="7" s="1"/>
  <c r="CF19" i="7" a="1"/>
  <c r="CF19" i="7" s="1"/>
  <c r="CF20" i="7" a="1"/>
  <c r="CF20" i="7" s="1"/>
  <c r="CF21" i="7" a="1"/>
  <c r="CF21" i="7" s="1"/>
  <c r="CF22" i="7" a="1"/>
  <c r="CF22" i="7" s="1"/>
  <c r="CF23" i="7" a="1"/>
  <c r="CF23" i="7" s="1"/>
  <c r="CF24" i="7" a="1"/>
  <c r="CF24" i="7" s="1"/>
  <c r="CF25" i="7" a="1"/>
  <c r="CF25" i="7" s="1"/>
  <c r="CF26" i="7" a="1"/>
  <c r="CF26" i="7" s="1"/>
  <c r="CF27" i="7" a="1"/>
  <c r="CF27" i="7" s="1"/>
  <c r="CF28" i="7" a="1"/>
  <c r="CF28" i="7" s="1"/>
  <c r="CF29" i="7" a="1"/>
  <c r="CF29" i="7" s="1"/>
  <c r="CF30" i="7" a="1"/>
  <c r="CF30" i="7" s="1"/>
  <c r="CF31" i="7" a="1"/>
  <c r="CF31" i="7" s="1"/>
  <c r="CF32" i="7" a="1"/>
  <c r="CF32" i="7" s="1"/>
  <c r="CF33" i="7" a="1"/>
  <c r="CF33" i="7" s="1"/>
  <c r="CF9" i="7" a="1"/>
  <c r="CF9" i="7" s="1"/>
  <c r="CF10" i="7" a="1"/>
  <c r="CF10" i="7" s="1"/>
  <c r="CF11" i="7" a="1"/>
  <c r="CF11" i="7" s="1"/>
  <c r="CF12" i="7" a="1"/>
  <c r="CF12" i="7" s="1"/>
  <c r="CF13" i="7" a="1"/>
  <c r="CF13" i="7" s="1"/>
  <c r="CF14" i="7" a="1"/>
  <c r="CF14" i="7" s="1"/>
  <c r="CF15" i="7" a="1"/>
  <c r="CF15" i="7" s="1"/>
  <c r="CF16" i="7" a="1"/>
  <c r="CF16" i="7" s="1"/>
  <c r="CF17" i="7" a="1"/>
  <c r="CF17" i="7" s="1"/>
  <c r="CF8" i="7" a="1"/>
  <c r="CF8" i="7" s="1"/>
  <c r="CD54" i="7" a="1"/>
  <c r="CD54" i="7" s="1"/>
  <c r="CD55" i="7" a="1"/>
  <c r="CD55" i="7" s="1"/>
  <c r="CD56" i="7" a="1"/>
  <c r="CD56" i="7" s="1"/>
  <c r="CD57" i="7" a="1"/>
  <c r="CD57" i="7" s="1"/>
  <c r="CD38" i="7" a="1"/>
  <c r="CD38" i="7" s="1"/>
  <c r="CK38" i="7" s="1"/>
  <c r="CD39" i="7" a="1"/>
  <c r="CD39" i="7" s="1"/>
  <c r="CK39" i="7" s="1"/>
  <c r="CD40" i="7" a="1"/>
  <c r="CD40" i="7" s="1"/>
  <c r="CK40" i="7" s="1"/>
  <c r="CD41" i="7" a="1"/>
  <c r="CD41" i="7" s="1"/>
  <c r="CK41" i="7" s="1"/>
  <c r="CD42" i="7" a="1"/>
  <c r="CD42" i="7" s="1"/>
  <c r="CD43" i="7" a="1"/>
  <c r="CD43" i="7" s="1"/>
  <c r="CD44" i="7" a="1"/>
  <c r="CD44" i="7" s="1"/>
  <c r="CD45" i="7" a="1"/>
  <c r="CD45" i="7" s="1"/>
  <c r="CD46" i="7" a="1"/>
  <c r="CD46" i="7" s="1"/>
  <c r="CD47" i="7" a="1"/>
  <c r="CD47" i="7" s="1"/>
  <c r="CD48" i="7" a="1"/>
  <c r="CD48" i="7" s="1"/>
  <c r="CK48" i="7" s="1"/>
  <c r="CD49" i="7" a="1"/>
  <c r="CD49" i="7" s="1"/>
  <c r="CK49" i="7" s="1"/>
  <c r="CD50" i="7" a="1"/>
  <c r="CD50" i="7" s="1"/>
  <c r="CK50" i="7" s="1"/>
  <c r="CD51" i="7" a="1"/>
  <c r="CD51" i="7" s="1"/>
  <c r="CK51" i="7" s="1"/>
  <c r="CD52" i="7" a="1"/>
  <c r="CD52" i="7" s="1"/>
  <c r="CK52" i="7" s="1"/>
  <c r="CD53" i="7" a="1"/>
  <c r="CD53" i="7" s="1"/>
  <c r="CK53" i="7" s="1"/>
  <c r="CD26" i="7" a="1"/>
  <c r="CD26" i="7" s="1"/>
  <c r="CD27" i="7" a="1"/>
  <c r="CD27" i="7" s="1"/>
  <c r="CD28" i="7" a="1"/>
  <c r="CD28" i="7" s="1"/>
  <c r="CD29" i="7" a="1"/>
  <c r="CD29" i="7" s="1"/>
  <c r="CD30" i="7" a="1"/>
  <c r="CD30" i="7" s="1"/>
  <c r="CD31" i="7" a="1"/>
  <c r="CD31" i="7" s="1"/>
  <c r="CD32" i="7" a="1"/>
  <c r="CD32" i="7" s="1"/>
  <c r="CD33" i="7" a="1"/>
  <c r="CD33" i="7" s="1"/>
  <c r="CK33" i="7" s="1"/>
  <c r="CD34" i="7" a="1"/>
  <c r="CD34" i="7" s="1"/>
  <c r="CD35" i="7" a="1"/>
  <c r="CD35" i="7" s="1"/>
  <c r="CD36" i="7" a="1"/>
  <c r="CD36" i="7" s="1"/>
  <c r="CK36" i="7" s="1"/>
  <c r="CD37" i="7" a="1"/>
  <c r="CD37" i="7" s="1"/>
  <c r="CK37" i="7" s="1"/>
  <c r="CD9" i="7" a="1"/>
  <c r="CD9" i="7" s="1"/>
  <c r="CD10" i="7" a="1"/>
  <c r="CD10" i="7" s="1"/>
  <c r="CD11" i="7" a="1"/>
  <c r="CD11" i="7" s="1"/>
  <c r="CD12" i="7" a="1"/>
  <c r="CD12" i="7" s="1"/>
  <c r="CD13" i="7" a="1"/>
  <c r="CD13" i="7" s="1"/>
  <c r="CD14" i="7" a="1"/>
  <c r="CD14" i="7" s="1"/>
  <c r="CD15" i="7" a="1"/>
  <c r="CD15" i="7" s="1"/>
  <c r="CK15" i="7" s="1"/>
  <c r="CD16" i="7" a="1"/>
  <c r="CD16" i="7" s="1"/>
  <c r="CK16" i="7" s="1"/>
  <c r="CD17" i="7" a="1"/>
  <c r="CD17" i="7" s="1"/>
  <c r="CK17" i="7" s="1"/>
  <c r="P15" i="29" s="1" a="1"/>
  <c r="P15" i="29" s="1"/>
  <c r="CD18" i="7" a="1"/>
  <c r="CD18" i="7" s="1"/>
  <c r="CK18" i="7" s="1"/>
  <c r="CD19" i="7" a="1"/>
  <c r="CD19" i="7" s="1"/>
  <c r="CK19" i="7" s="1"/>
  <c r="CD20" i="7" a="1"/>
  <c r="CD20" i="7" s="1"/>
  <c r="CK20" i="7" s="1"/>
  <c r="CD21" i="7" a="1"/>
  <c r="CD21" i="7" s="1"/>
  <c r="CD22" i="7" a="1"/>
  <c r="CD22" i="7" s="1"/>
  <c r="CD23" i="7" a="1"/>
  <c r="CD23" i="7" s="1"/>
  <c r="CD24" i="7" a="1"/>
  <c r="CD24" i="7" s="1"/>
  <c r="CD25" i="7" a="1"/>
  <c r="CD25" i="7" s="1"/>
  <c r="CD8" i="7" a="1"/>
  <c r="CD8" i="7" s="1"/>
  <c r="CK8" i="7" s="1"/>
  <c r="BY57" i="7" a="1"/>
  <c r="BY57" i="7" s="1"/>
  <c r="BY28" i="7" a="1"/>
  <c r="BY28" i="7" s="1"/>
  <c r="BY29" i="7" a="1"/>
  <c r="BY29" i="7" s="1"/>
  <c r="BY30" i="7" a="1"/>
  <c r="BY30" i="7" s="1"/>
  <c r="BY31" i="7" a="1"/>
  <c r="BY31" i="7" s="1"/>
  <c r="BY32" i="7" a="1"/>
  <c r="BY32" i="7" s="1"/>
  <c r="BY33" i="7" a="1"/>
  <c r="BY33" i="7" s="1"/>
  <c r="BY34" i="7" a="1"/>
  <c r="BY34" i="7" s="1"/>
  <c r="BY35" i="7" a="1"/>
  <c r="BY35" i="7" s="1"/>
  <c r="BY36" i="7" a="1"/>
  <c r="BY36" i="7" s="1"/>
  <c r="BY37" i="7" a="1"/>
  <c r="BY37" i="7" s="1"/>
  <c r="BY38" i="7" a="1"/>
  <c r="BY38" i="7" s="1"/>
  <c r="BY39" i="7" a="1"/>
  <c r="BY39" i="7" s="1"/>
  <c r="BY40" i="7" a="1"/>
  <c r="BY40" i="7" s="1"/>
  <c r="BY41" i="7" a="1"/>
  <c r="BY41" i="7" s="1"/>
  <c r="BY42" i="7" a="1"/>
  <c r="BY42" i="7" s="1"/>
  <c r="BY43" i="7" a="1"/>
  <c r="BY43" i="7" s="1"/>
  <c r="BY44" i="7" a="1"/>
  <c r="BY44" i="7" s="1"/>
  <c r="BY45" i="7" a="1"/>
  <c r="BY45" i="7" s="1"/>
  <c r="BY46" i="7" a="1"/>
  <c r="BY46" i="7" s="1"/>
  <c r="BY47" i="7" a="1"/>
  <c r="BY47" i="7" s="1"/>
  <c r="BY48" i="7" a="1"/>
  <c r="BY48" i="7" s="1"/>
  <c r="BY49" i="7" a="1"/>
  <c r="BY49" i="7" s="1"/>
  <c r="BY50" i="7" a="1"/>
  <c r="BY50" i="7" s="1"/>
  <c r="BY51" i="7" a="1"/>
  <c r="BY51" i="7" s="1"/>
  <c r="BY52" i="7" a="1"/>
  <c r="BY52" i="7" s="1"/>
  <c r="BY53" i="7" a="1"/>
  <c r="BY53" i="7" s="1"/>
  <c r="BY54" i="7" a="1"/>
  <c r="BY54" i="7" s="1"/>
  <c r="BY55" i="7" a="1"/>
  <c r="BY55" i="7" s="1"/>
  <c r="BY56" i="7" a="1"/>
  <c r="BY56" i="7" s="1"/>
  <c r="BY9" i="7" a="1"/>
  <c r="BY9" i="7" s="1"/>
  <c r="BY10" i="7" a="1"/>
  <c r="BY10" i="7" s="1"/>
  <c r="BY11" i="7" a="1"/>
  <c r="BY11" i="7" s="1"/>
  <c r="BY12" i="7" a="1"/>
  <c r="BY12" i="7" s="1"/>
  <c r="BY13" i="7" a="1"/>
  <c r="BY13" i="7" s="1"/>
  <c r="BY14" i="7" a="1"/>
  <c r="BY14" i="7" s="1"/>
  <c r="BY15" i="7" a="1"/>
  <c r="BY15" i="7" s="1"/>
  <c r="BY16" i="7" a="1"/>
  <c r="BY16" i="7" s="1"/>
  <c r="BY17" i="7" a="1"/>
  <c r="BY17" i="7" s="1"/>
  <c r="BY18" i="7" a="1"/>
  <c r="BY18" i="7" s="1"/>
  <c r="BY19" i="7" a="1"/>
  <c r="BY19" i="7" s="1"/>
  <c r="BY20" i="7" a="1"/>
  <c r="BY20" i="7" s="1"/>
  <c r="BY21" i="7" a="1"/>
  <c r="BY21" i="7" s="1"/>
  <c r="BY22" i="7" a="1"/>
  <c r="BY22" i="7" s="1"/>
  <c r="BY23" i="7" a="1"/>
  <c r="BY23" i="7" s="1"/>
  <c r="BY24" i="7" a="1"/>
  <c r="BY24" i="7" s="1"/>
  <c r="BY25" i="7" a="1"/>
  <c r="BY25" i="7" s="1"/>
  <c r="BY26" i="7" a="1"/>
  <c r="BY26" i="7" s="1"/>
  <c r="BY27" i="7" a="1"/>
  <c r="BY27" i="7" s="1"/>
  <c r="BY8" i="7" a="1"/>
  <c r="BY8" i="7" s="1"/>
  <c r="EJ52" i="7"/>
  <c r="EJ53" i="7"/>
  <c r="EJ54" i="7"/>
  <c r="EJ55" i="7"/>
  <c r="EJ56" i="7"/>
  <c r="EJ57" i="7"/>
  <c r="EJ34" i="7"/>
  <c r="EJ35" i="7"/>
  <c r="EJ36" i="7"/>
  <c r="EJ37" i="7"/>
  <c r="EJ38" i="7"/>
  <c r="EJ39" i="7"/>
  <c r="EJ40" i="7"/>
  <c r="EJ41" i="7"/>
  <c r="EJ42" i="7"/>
  <c r="EJ43" i="7"/>
  <c r="EJ44" i="7"/>
  <c r="EJ45" i="7"/>
  <c r="EJ46" i="7"/>
  <c r="EJ47" i="7"/>
  <c r="EJ48" i="7"/>
  <c r="EJ49" i="7"/>
  <c r="EJ50" i="7"/>
  <c r="EJ51" i="7"/>
  <c r="EJ19" i="7"/>
  <c r="EJ20" i="7"/>
  <c r="EJ21" i="7"/>
  <c r="EJ22" i="7"/>
  <c r="EJ23" i="7"/>
  <c r="EJ24" i="7"/>
  <c r="EJ25" i="7"/>
  <c r="EJ26" i="7"/>
  <c r="EJ27" i="7"/>
  <c r="EJ28" i="7"/>
  <c r="EJ29" i="7"/>
  <c r="EJ30" i="7"/>
  <c r="EJ31" i="7"/>
  <c r="EJ32" i="7"/>
  <c r="EJ33" i="7"/>
  <c r="EJ9" i="7"/>
  <c r="EJ10" i="7"/>
  <c r="EJ11" i="7"/>
  <c r="EJ12" i="7"/>
  <c r="EJ13" i="7"/>
  <c r="EJ14" i="7"/>
  <c r="EJ15" i="7"/>
  <c r="EJ16" i="7"/>
  <c r="EJ17" i="7"/>
  <c r="EJ18" i="7"/>
  <c r="EJ8" i="7"/>
  <c r="EF55" i="7"/>
  <c r="EG55" i="7" s="1" a="1"/>
  <c r="EG55" i="7" s="1"/>
  <c r="EF56" i="7"/>
  <c r="EG56" i="7" s="1" a="1"/>
  <c r="EG56" i="7" s="1"/>
  <c r="EF57" i="7"/>
  <c r="EG57" i="7" s="1" a="1"/>
  <c r="EG57" i="7" s="1"/>
  <c r="EF43" i="7"/>
  <c r="EG43" i="7" s="1" a="1"/>
  <c r="EG43" i="7" s="1"/>
  <c r="EF44" i="7"/>
  <c r="EG44" i="7" s="1" a="1"/>
  <c r="EG44" i="7" s="1"/>
  <c r="EF45" i="7"/>
  <c r="EG45" i="7" s="1" a="1"/>
  <c r="EG45" i="7" s="1"/>
  <c r="EF46" i="7"/>
  <c r="EG46" i="7" s="1" a="1"/>
  <c r="EG46" i="7" s="1"/>
  <c r="EF47" i="7"/>
  <c r="EG47" i="7" s="1" a="1"/>
  <c r="EG47" i="7" s="1"/>
  <c r="EF48" i="7"/>
  <c r="EG48" i="7" s="1" a="1"/>
  <c r="EG48" i="7" s="1"/>
  <c r="EF49" i="7"/>
  <c r="EG49" i="7" s="1" a="1"/>
  <c r="EG49" i="7" s="1"/>
  <c r="EF50" i="7"/>
  <c r="EG50" i="7" s="1" a="1"/>
  <c r="EG50" i="7" s="1"/>
  <c r="EF51" i="7"/>
  <c r="EG51" i="7" s="1" a="1"/>
  <c r="EG51" i="7" s="1"/>
  <c r="EF52" i="7"/>
  <c r="EG52" i="7" s="1" a="1"/>
  <c r="EG52" i="7" s="1"/>
  <c r="EF53" i="7"/>
  <c r="EG53" i="7" s="1" a="1"/>
  <c r="EG53" i="7" s="1"/>
  <c r="EF54" i="7"/>
  <c r="EG54" i="7" s="1" a="1"/>
  <c r="EG54" i="7" s="1"/>
  <c r="EF27" i="7"/>
  <c r="EG27" i="7" s="1" a="1"/>
  <c r="EG27" i="7" s="1"/>
  <c r="EF28" i="7"/>
  <c r="EG28" i="7" s="1" a="1"/>
  <c r="EG28" i="7" s="1"/>
  <c r="EF29" i="7"/>
  <c r="EG29" i="7" s="1" a="1"/>
  <c r="EG29" i="7" s="1"/>
  <c r="EF30" i="7"/>
  <c r="EG30" i="7" s="1" a="1"/>
  <c r="EG30" i="7" s="1"/>
  <c r="EF31" i="7"/>
  <c r="EG31" i="7" s="1" a="1"/>
  <c r="EG31" i="7" s="1"/>
  <c r="EF32" i="7"/>
  <c r="EG32" i="7" s="1" a="1"/>
  <c r="EG32" i="7" s="1"/>
  <c r="EF33" i="7"/>
  <c r="EG33" i="7" s="1" a="1"/>
  <c r="EG33" i="7" s="1"/>
  <c r="EF34" i="7"/>
  <c r="EG34" i="7" s="1" a="1"/>
  <c r="EG34" i="7" s="1"/>
  <c r="EF35" i="7"/>
  <c r="EG35" i="7" s="1" a="1"/>
  <c r="EG35" i="7" s="1"/>
  <c r="EF36" i="7"/>
  <c r="EG36" i="7" s="1" a="1"/>
  <c r="EG36" i="7" s="1"/>
  <c r="EF37" i="7"/>
  <c r="EG37" i="7" s="1" a="1"/>
  <c r="EG37" i="7" s="1"/>
  <c r="EF38" i="7"/>
  <c r="EG38" i="7" s="1" a="1"/>
  <c r="EG38" i="7" s="1"/>
  <c r="EF39" i="7"/>
  <c r="EG39" i="7" s="1" a="1"/>
  <c r="EG39" i="7" s="1"/>
  <c r="EF40" i="7"/>
  <c r="EG40" i="7" s="1" a="1"/>
  <c r="EG40" i="7" s="1"/>
  <c r="EF41" i="7"/>
  <c r="EG41" i="7" s="1" a="1"/>
  <c r="EG41" i="7" s="1"/>
  <c r="EF42" i="7"/>
  <c r="EG42" i="7" s="1" a="1"/>
  <c r="EG42" i="7" s="1"/>
  <c r="EF17" i="7"/>
  <c r="EG17" i="7" s="1" a="1"/>
  <c r="EG17" i="7" s="1"/>
  <c r="EF18" i="7"/>
  <c r="EG18" i="7" s="1" a="1"/>
  <c r="EG18" i="7" s="1"/>
  <c r="EF19" i="7"/>
  <c r="EG19" i="7" s="1" a="1"/>
  <c r="EG19" i="7" s="1"/>
  <c r="EF20" i="7"/>
  <c r="EG20" i="7" s="1" a="1"/>
  <c r="EG20" i="7" s="1"/>
  <c r="EF21" i="7"/>
  <c r="EG21" i="7" s="1" a="1"/>
  <c r="EG21" i="7" s="1"/>
  <c r="EF22" i="7"/>
  <c r="EG22" i="7" s="1" a="1"/>
  <c r="EG22" i="7" s="1"/>
  <c r="EF23" i="7"/>
  <c r="EG23" i="7" s="1" a="1"/>
  <c r="EG23" i="7" s="1"/>
  <c r="EF24" i="7"/>
  <c r="EG24" i="7" s="1" a="1"/>
  <c r="EG24" i="7" s="1"/>
  <c r="EF25" i="7"/>
  <c r="EG25" i="7" s="1" a="1"/>
  <c r="EG25" i="7" s="1"/>
  <c r="EF26" i="7"/>
  <c r="EG26" i="7" s="1" a="1"/>
  <c r="EG26" i="7" s="1"/>
  <c r="EF9" i="7"/>
  <c r="EF10" i="7"/>
  <c r="EG10" i="7" s="1" a="1"/>
  <c r="EG10" i="7" s="1"/>
  <c r="EF11" i="7"/>
  <c r="EG11" i="7" s="1" a="1"/>
  <c r="EG11" i="7" s="1"/>
  <c r="EF12" i="7"/>
  <c r="EG12" i="7" s="1" a="1"/>
  <c r="EG12" i="7" s="1"/>
  <c r="EF13" i="7"/>
  <c r="EG13" i="7" s="1" a="1"/>
  <c r="EG13" i="7" s="1"/>
  <c r="EF14" i="7"/>
  <c r="EG14" i="7" s="1" a="1"/>
  <c r="EG14" i="7" s="1"/>
  <c r="EF15" i="7"/>
  <c r="EG15" i="7" s="1" a="1"/>
  <c r="EG15" i="7" s="1"/>
  <c r="EF16" i="7"/>
  <c r="EG16" i="7" s="1" a="1"/>
  <c r="EG16" i="7" s="1"/>
  <c r="EN50" i="7" a="1"/>
  <c r="EN50" i="7" s="1"/>
  <c r="EN51" i="7" a="1"/>
  <c r="EN51" i="7" s="1"/>
  <c r="EN52" i="7" a="1"/>
  <c r="EN52" i="7" s="1"/>
  <c r="EN53" i="7" a="1"/>
  <c r="EN53" i="7" s="1"/>
  <c r="EN54" i="7" a="1"/>
  <c r="EN54" i="7" s="1"/>
  <c r="EN55" i="7" a="1"/>
  <c r="EN55" i="7" s="1"/>
  <c r="EN56" i="7" a="1"/>
  <c r="EN56" i="7" s="1"/>
  <c r="EN57" i="7" a="1"/>
  <c r="EN57" i="7" s="1"/>
  <c r="EN31" i="7" a="1"/>
  <c r="EN31" i="7" s="1"/>
  <c r="EN32" i="7" a="1"/>
  <c r="EN32" i="7" s="1"/>
  <c r="EN33" i="7" a="1"/>
  <c r="EN33" i="7" s="1"/>
  <c r="EN34" i="7" a="1"/>
  <c r="EN34" i="7" s="1"/>
  <c r="EN35" i="7" a="1"/>
  <c r="EN35" i="7" s="1"/>
  <c r="EN36" i="7" a="1"/>
  <c r="EN36" i="7" s="1"/>
  <c r="EN37" i="7" a="1"/>
  <c r="EN37" i="7" s="1"/>
  <c r="EN38" i="7" a="1"/>
  <c r="EN38" i="7" s="1"/>
  <c r="EN39" i="7" a="1"/>
  <c r="EN39" i="7" s="1"/>
  <c r="EN40" i="7" a="1"/>
  <c r="EN40" i="7" s="1"/>
  <c r="EN41" i="7" a="1"/>
  <c r="EN41" i="7" s="1"/>
  <c r="EN42" i="7" a="1"/>
  <c r="EN42" i="7" s="1"/>
  <c r="EN43" i="7" a="1"/>
  <c r="EN43" i="7" s="1"/>
  <c r="EN44" i="7" a="1"/>
  <c r="EN44" i="7" s="1"/>
  <c r="EN45" i="7" a="1"/>
  <c r="EN45" i="7" s="1"/>
  <c r="EN46" i="7" a="1"/>
  <c r="EN46" i="7" s="1"/>
  <c r="EN47" i="7" a="1"/>
  <c r="EN47" i="7" s="1"/>
  <c r="EN48" i="7" a="1"/>
  <c r="EN48" i="7" s="1"/>
  <c r="EN49" i="7" a="1"/>
  <c r="EN49" i="7" s="1"/>
  <c r="EN19" i="7" a="1"/>
  <c r="EN19" i="7" s="1"/>
  <c r="EN20" i="7" a="1"/>
  <c r="EN20" i="7" s="1"/>
  <c r="EN21" i="7" a="1"/>
  <c r="EN21" i="7" s="1"/>
  <c r="EN22" i="7" a="1"/>
  <c r="EN22" i="7" s="1"/>
  <c r="EN23" i="7" a="1"/>
  <c r="EN23" i="7" s="1"/>
  <c r="EN24" i="7" a="1"/>
  <c r="EN24" i="7" s="1"/>
  <c r="EN25" i="7" a="1"/>
  <c r="EN25" i="7" s="1"/>
  <c r="EN26" i="7" a="1"/>
  <c r="EN26" i="7" s="1"/>
  <c r="EN27" i="7" a="1"/>
  <c r="EN27" i="7" s="1"/>
  <c r="EN28" i="7" a="1"/>
  <c r="EN28" i="7" s="1"/>
  <c r="EN29" i="7" a="1"/>
  <c r="EN29" i="7" s="1"/>
  <c r="EN30" i="7" a="1"/>
  <c r="EN30" i="7" s="1"/>
  <c r="EN9" i="7" a="1"/>
  <c r="EN9" i="7" s="1"/>
  <c r="EN10" i="7" a="1"/>
  <c r="EN10" i="7" s="1"/>
  <c r="EN11" i="7" a="1"/>
  <c r="EN11" i="7" s="1"/>
  <c r="EN12" i="7" a="1"/>
  <c r="EN12" i="7" s="1"/>
  <c r="EN13" i="7" a="1"/>
  <c r="EN13" i="7" s="1"/>
  <c r="EN14" i="7" a="1"/>
  <c r="EN14" i="7" s="1"/>
  <c r="EN15" i="7" a="1"/>
  <c r="EN15" i="7" s="1"/>
  <c r="EN16" i="7" a="1"/>
  <c r="EN16" i="7" s="1"/>
  <c r="EN17" i="7" a="1"/>
  <c r="EN17" i="7" s="1"/>
  <c r="EN18" i="7" a="1"/>
  <c r="EN18" i="7" s="1"/>
  <c r="EN8" i="7" a="1"/>
  <c r="EN8" i="7" s="1"/>
  <c r="EK8" i="7" a="1"/>
  <c r="EK8" i="7" s="1"/>
  <c r="EK40" i="7" a="1"/>
  <c r="EK40" i="7" s="1"/>
  <c r="EK41" i="7" a="1"/>
  <c r="EK41" i="7" s="1"/>
  <c r="EK42" i="7" a="1"/>
  <c r="EK42" i="7" s="1"/>
  <c r="EK43" i="7" a="1"/>
  <c r="EK43" i="7" s="1"/>
  <c r="EK44" i="7" a="1"/>
  <c r="EK44" i="7" s="1"/>
  <c r="EK45" i="7" a="1"/>
  <c r="EK45" i="7" s="1"/>
  <c r="EK46" i="7" a="1"/>
  <c r="EK46" i="7" s="1"/>
  <c r="EK47" i="7" a="1"/>
  <c r="EK47" i="7" s="1"/>
  <c r="EK48" i="7" a="1"/>
  <c r="EK48" i="7" s="1"/>
  <c r="EK49" i="7" a="1"/>
  <c r="EK49" i="7" s="1"/>
  <c r="EK50" i="7" a="1"/>
  <c r="EK50" i="7" s="1"/>
  <c r="EK51" i="7" a="1"/>
  <c r="EK51" i="7" s="1"/>
  <c r="EK52" i="7" a="1"/>
  <c r="EK52" i="7" s="1"/>
  <c r="EK53" i="7" a="1"/>
  <c r="EK53" i="7" s="1"/>
  <c r="EK54" i="7" a="1"/>
  <c r="EK54" i="7" s="1"/>
  <c r="EK55" i="7" a="1"/>
  <c r="EK55" i="7" s="1"/>
  <c r="EK56" i="7" a="1"/>
  <c r="EK56" i="7" s="1"/>
  <c r="EK57" i="7" a="1"/>
  <c r="EK57" i="7" s="1"/>
  <c r="EK22" i="7" a="1"/>
  <c r="EK22" i="7" s="1"/>
  <c r="EK23" i="7" a="1"/>
  <c r="EK23" i="7" s="1"/>
  <c r="EK24" i="7" a="1"/>
  <c r="EK24" i="7" s="1"/>
  <c r="EK25" i="7" a="1"/>
  <c r="EK25" i="7" s="1"/>
  <c r="EK26" i="7" a="1"/>
  <c r="EK26" i="7" s="1"/>
  <c r="EK27" i="7" a="1"/>
  <c r="EK27" i="7" s="1"/>
  <c r="EK28" i="7" a="1"/>
  <c r="EK28" i="7" s="1"/>
  <c r="EK29" i="7" a="1"/>
  <c r="EK29" i="7" s="1"/>
  <c r="EK30" i="7" a="1"/>
  <c r="EK30" i="7" s="1"/>
  <c r="EK31" i="7" a="1"/>
  <c r="EK31" i="7" s="1"/>
  <c r="EK32" i="7" a="1"/>
  <c r="EK32" i="7" s="1"/>
  <c r="EK33" i="7" a="1"/>
  <c r="EK33" i="7" s="1"/>
  <c r="EK34" i="7" a="1"/>
  <c r="EK34" i="7" s="1"/>
  <c r="EK35" i="7" a="1"/>
  <c r="EK35" i="7" s="1"/>
  <c r="EK36" i="7" a="1"/>
  <c r="EK36" i="7" s="1"/>
  <c r="EK37" i="7" a="1"/>
  <c r="EK37" i="7" s="1"/>
  <c r="EK38" i="7" a="1"/>
  <c r="EK38" i="7" s="1"/>
  <c r="EK39" i="7" a="1"/>
  <c r="EK39" i="7" s="1"/>
  <c r="EK9" i="7" a="1"/>
  <c r="EK9" i="7" s="1"/>
  <c r="EK10" i="7" a="1"/>
  <c r="EK10" i="7" s="1"/>
  <c r="EK11" i="7" a="1"/>
  <c r="EK11" i="7" s="1"/>
  <c r="EK12" i="7" a="1"/>
  <c r="EK12" i="7" s="1"/>
  <c r="EK13" i="7" a="1"/>
  <c r="EK13" i="7" s="1"/>
  <c r="EK14" i="7" a="1"/>
  <c r="EK14" i="7" s="1"/>
  <c r="EK15" i="7" a="1"/>
  <c r="EK15" i="7" s="1"/>
  <c r="EK16" i="7" a="1"/>
  <c r="EK16" i="7" s="1"/>
  <c r="EK17" i="7" a="1"/>
  <c r="EK17" i="7" s="1"/>
  <c r="EK18" i="7" a="1"/>
  <c r="EK18" i="7" s="1"/>
  <c r="EK19" i="7" a="1"/>
  <c r="EK19" i="7" s="1"/>
  <c r="EK20" i="7" a="1"/>
  <c r="EK20" i="7" s="1"/>
  <c r="EK21" i="7" a="1"/>
  <c r="EK21" i="7" s="1"/>
  <c r="BS9" i="7"/>
  <c r="BT9" i="7" s="1"/>
  <c r="BV9" i="7" s="1"/>
  <c r="BW9" i="7" s="1" a="1"/>
  <c r="BW9" i="7" s="1"/>
  <c r="BS10" i="7"/>
  <c r="BT10" i="7" s="1"/>
  <c r="BV10" i="7" s="1"/>
  <c r="BW10" i="7" s="1" a="1"/>
  <c r="BW10" i="7" s="1"/>
  <c r="BS11" i="7"/>
  <c r="BT11" i="7" s="1"/>
  <c r="BV11" i="7" s="1"/>
  <c r="BW11" i="7" s="1" a="1"/>
  <c r="BW11" i="7" s="1"/>
  <c r="BS12" i="7"/>
  <c r="BT12" i="7" s="1"/>
  <c r="BV12" i="7" s="1"/>
  <c r="BW12" i="7" s="1" a="1"/>
  <c r="BW12" i="7" s="1"/>
  <c r="BS13" i="7"/>
  <c r="BT13" i="7" s="1"/>
  <c r="BV13" i="7" s="1"/>
  <c r="BW13" i="7" s="1" a="1"/>
  <c r="BW13" i="7" s="1"/>
  <c r="BS14" i="7"/>
  <c r="BT14" i="7" s="1"/>
  <c r="BV14" i="7" s="1"/>
  <c r="BW14" i="7" s="1" a="1"/>
  <c r="BW14" i="7" s="1"/>
  <c r="BS15" i="7"/>
  <c r="BT15" i="7" s="1"/>
  <c r="BV15" i="7" s="1"/>
  <c r="BW15" i="7" s="1" a="1"/>
  <c r="BW15" i="7" s="1"/>
  <c r="BS16" i="7"/>
  <c r="BT16" i="7" s="1"/>
  <c r="BV16" i="7" s="1"/>
  <c r="BW16" i="7" s="1" a="1"/>
  <c r="BW16" i="7" s="1"/>
  <c r="BS17" i="7"/>
  <c r="BT17" i="7" s="1"/>
  <c r="BV17" i="7" s="1"/>
  <c r="BW17" i="7" s="1" a="1"/>
  <c r="BW17" i="7" s="1"/>
  <c r="BS18" i="7"/>
  <c r="BT18" i="7" s="1"/>
  <c r="BV18" i="7" s="1"/>
  <c r="BW18" i="7" s="1" a="1"/>
  <c r="BW18" i="7" s="1"/>
  <c r="BS19" i="7"/>
  <c r="BT19" i="7" s="1"/>
  <c r="BV19" i="7" s="1"/>
  <c r="BW19" i="7" s="1" a="1"/>
  <c r="BW19" i="7" s="1"/>
  <c r="BS20" i="7"/>
  <c r="BT20" i="7" s="1"/>
  <c r="BV20" i="7" s="1"/>
  <c r="BW20" i="7" s="1" a="1"/>
  <c r="BW20" i="7" s="1"/>
  <c r="BS21" i="7"/>
  <c r="BT21" i="7" s="1"/>
  <c r="BV21" i="7" s="1"/>
  <c r="BW21" i="7" s="1" a="1"/>
  <c r="BW21" i="7" s="1"/>
  <c r="BS22" i="7"/>
  <c r="BT22" i="7" s="1"/>
  <c r="BV22" i="7" s="1"/>
  <c r="BW22" i="7" s="1" a="1"/>
  <c r="BW22" i="7" s="1"/>
  <c r="BS23" i="7"/>
  <c r="BT23" i="7" s="1"/>
  <c r="BV23" i="7" s="1"/>
  <c r="BW23" i="7" s="1" a="1"/>
  <c r="BW23" i="7" s="1"/>
  <c r="BS24" i="7"/>
  <c r="BT24" i="7" s="1"/>
  <c r="BV24" i="7" s="1"/>
  <c r="BW24" i="7" s="1" a="1"/>
  <c r="BW24" i="7" s="1"/>
  <c r="BS25" i="7"/>
  <c r="BT25" i="7" s="1"/>
  <c r="BV25" i="7" s="1"/>
  <c r="BW25" i="7" s="1" a="1"/>
  <c r="BW25" i="7" s="1"/>
  <c r="BS26" i="7"/>
  <c r="BT26" i="7" s="1"/>
  <c r="BV26" i="7" s="1"/>
  <c r="BW26" i="7" s="1" a="1"/>
  <c r="BW26" i="7" s="1"/>
  <c r="BS27" i="7"/>
  <c r="BT27" i="7" s="1"/>
  <c r="BV27" i="7" s="1"/>
  <c r="BW27" i="7" s="1" a="1"/>
  <c r="BW27" i="7" s="1"/>
  <c r="BS28" i="7"/>
  <c r="BT28" i="7" s="1"/>
  <c r="BV28" i="7" s="1"/>
  <c r="BW28" i="7" s="1" a="1"/>
  <c r="BW28" i="7" s="1"/>
  <c r="BS29" i="7"/>
  <c r="BT29" i="7" s="1"/>
  <c r="BV29" i="7" s="1"/>
  <c r="BW29" i="7" s="1" a="1"/>
  <c r="BW29" i="7" s="1"/>
  <c r="BS30" i="7"/>
  <c r="BT30" i="7" s="1"/>
  <c r="BV30" i="7" s="1"/>
  <c r="BW30" i="7" s="1" a="1"/>
  <c r="BW30" i="7" s="1"/>
  <c r="BS31" i="7"/>
  <c r="BT31" i="7" s="1"/>
  <c r="BV31" i="7" s="1"/>
  <c r="BW31" i="7" s="1" a="1"/>
  <c r="BW31" i="7" s="1"/>
  <c r="BS32" i="7"/>
  <c r="BT32" i="7" s="1"/>
  <c r="BV32" i="7" s="1"/>
  <c r="BW32" i="7" s="1" a="1"/>
  <c r="BW32" i="7" s="1"/>
  <c r="BS33" i="7"/>
  <c r="BT33" i="7" s="1"/>
  <c r="BV33" i="7" s="1"/>
  <c r="BW33" i="7" s="1" a="1"/>
  <c r="BW33" i="7" s="1"/>
  <c r="BS34" i="7"/>
  <c r="BT34" i="7" s="1"/>
  <c r="BV34" i="7" s="1"/>
  <c r="BW34" i="7" s="1" a="1"/>
  <c r="BW34" i="7" s="1"/>
  <c r="BS35" i="7"/>
  <c r="BT35" i="7" s="1"/>
  <c r="BV35" i="7" s="1"/>
  <c r="BW35" i="7" s="1" a="1"/>
  <c r="BW35" i="7" s="1"/>
  <c r="BS36" i="7"/>
  <c r="BT36" i="7" s="1"/>
  <c r="BV36" i="7" s="1"/>
  <c r="BW36" i="7" s="1" a="1"/>
  <c r="BW36" i="7" s="1"/>
  <c r="BS37" i="7"/>
  <c r="BT37" i="7" s="1"/>
  <c r="BV37" i="7" s="1"/>
  <c r="BW37" i="7" s="1" a="1"/>
  <c r="BW37" i="7" s="1"/>
  <c r="BS38" i="7"/>
  <c r="BT38" i="7" s="1"/>
  <c r="BV38" i="7" s="1"/>
  <c r="BW38" i="7" s="1" a="1"/>
  <c r="BW38" i="7" s="1"/>
  <c r="BS39" i="7"/>
  <c r="BT39" i="7" s="1"/>
  <c r="BV39" i="7" s="1"/>
  <c r="BW39" i="7" s="1" a="1"/>
  <c r="BW39" i="7" s="1"/>
  <c r="BS40" i="7"/>
  <c r="BT40" i="7" s="1"/>
  <c r="BV40" i="7" s="1"/>
  <c r="BW40" i="7" s="1" a="1"/>
  <c r="BW40" i="7" s="1"/>
  <c r="BS41" i="7"/>
  <c r="BT41" i="7" s="1"/>
  <c r="BV41" i="7" s="1"/>
  <c r="BW41" i="7" s="1" a="1"/>
  <c r="BW41" i="7" s="1"/>
  <c r="BS42" i="7"/>
  <c r="BT42" i="7" s="1"/>
  <c r="BV42" i="7" s="1"/>
  <c r="BW42" i="7" s="1" a="1"/>
  <c r="BW42" i="7" s="1"/>
  <c r="BS43" i="7"/>
  <c r="BT43" i="7" s="1"/>
  <c r="BV43" i="7" s="1"/>
  <c r="BW43" i="7" s="1" a="1"/>
  <c r="BW43" i="7" s="1"/>
  <c r="BS44" i="7"/>
  <c r="BT44" i="7" s="1"/>
  <c r="BV44" i="7" s="1"/>
  <c r="BW44" i="7" s="1" a="1"/>
  <c r="BW44" i="7" s="1"/>
  <c r="BS45" i="7"/>
  <c r="BT45" i="7" s="1"/>
  <c r="BV45" i="7" s="1"/>
  <c r="BW45" i="7" s="1" a="1"/>
  <c r="BW45" i="7" s="1"/>
  <c r="BS46" i="7"/>
  <c r="BT46" i="7" s="1"/>
  <c r="BV46" i="7" s="1"/>
  <c r="BW46" i="7" s="1" a="1"/>
  <c r="BW46" i="7" s="1"/>
  <c r="BS47" i="7"/>
  <c r="BT47" i="7" s="1"/>
  <c r="BV47" i="7" s="1"/>
  <c r="BW47" i="7" s="1" a="1"/>
  <c r="BW47" i="7" s="1"/>
  <c r="BS48" i="7"/>
  <c r="BT48" i="7" s="1"/>
  <c r="BV48" i="7" s="1"/>
  <c r="BW48" i="7" s="1" a="1"/>
  <c r="BW48" i="7" s="1"/>
  <c r="BS49" i="7"/>
  <c r="BT49" i="7" s="1"/>
  <c r="BV49" i="7" s="1"/>
  <c r="BW49" i="7" s="1" a="1"/>
  <c r="BW49" i="7" s="1"/>
  <c r="BS50" i="7"/>
  <c r="BT50" i="7" s="1"/>
  <c r="BV50" i="7" s="1"/>
  <c r="BW50" i="7" s="1" a="1"/>
  <c r="BW50" i="7" s="1"/>
  <c r="BS51" i="7"/>
  <c r="BT51" i="7" s="1"/>
  <c r="BV51" i="7" s="1"/>
  <c r="BW51" i="7" s="1" a="1"/>
  <c r="BW51" i="7" s="1"/>
  <c r="BS52" i="7"/>
  <c r="BT52" i="7" s="1"/>
  <c r="BV52" i="7" s="1"/>
  <c r="BW52" i="7" s="1" a="1"/>
  <c r="BW52" i="7" s="1"/>
  <c r="BS53" i="7"/>
  <c r="BT53" i="7" s="1"/>
  <c r="BV53" i="7" s="1"/>
  <c r="BW53" i="7" s="1" a="1"/>
  <c r="BW53" i="7" s="1"/>
  <c r="BS54" i="7"/>
  <c r="BT54" i="7" s="1"/>
  <c r="BV54" i="7" s="1"/>
  <c r="BW54" i="7" s="1" a="1"/>
  <c r="BW54" i="7" s="1"/>
  <c r="BS55" i="7"/>
  <c r="BT55" i="7" s="1"/>
  <c r="BV55" i="7" s="1"/>
  <c r="BW55" i="7" s="1" a="1"/>
  <c r="BW55" i="7" s="1"/>
  <c r="BS56" i="7"/>
  <c r="BT56" i="7" s="1"/>
  <c r="BV56" i="7" s="1"/>
  <c r="BW56" i="7" s="1" a="1"/>
  <c r="BW56" i="7" s="1"/>
  <c r="BS57" i="7"/>
  <c r="BT57" i="7" s="1"/>
  <c r="BV57" i="7" s="1"/>
  <c r="BW57" i="7" s="1" a="1"/>
  <c r="BW57" i="7" s="1"/>
  <c r="BS8" i="7"/>
  <c r="L50" i="18" l="1" a="1"/>
  <c r="L50" i="18" s="1"/>
  <c r="R52" i="27"/>
  <c r="L40" i="18" a="1"/>
  <c r="L40" i="18" s="1"/>
  <c r="R42" i="27"/>
  <c r="L29" i="18" a="1"/>
  <c r="L29" i="18" s="1"/>
  <c r="R31" i="27"/>
  <c r="L19" i="18" a="1"/>
  <c r="L19" i="18" s="1"/>
  <c r="R21" i="27"/>
  <c r="L8" i="18" a="1"/>
  <c r="L8" i="18" s="1"/>
  <c r="R10" i="27"/>
  <c r="L18" i="18" a="1"/>
  <c r="L18" i="18" s="1"/>
  <c r="R20" i="27"/>
  <c r="L7" i="18" a="1"/>
  <c r="L7" i="18" s="1"/>
  <c r="R9" i="27"/>
  <c r="EJ60" i="7"/>
  <c r="EJ59" i="7"/>
  <c r="CK35" i="7"/>
  <c r="I10" i="26" a="1"/>
  <c r="I10" i="26" s="1"/>
  <c r="L48" i="18" a="1"/>
  <c r="L48" i="18" s="1"/>
  <c r="R50" i="27"/>
  <c r="L38" i="18" a="1"/>
  <c r="L38" i="18" s="1"/>
  <c r="R40" i="27"/>
  <c r="L28" i="18" a="1"/>
  <c r="L28" i="18" s="1"/>
  <c r="R30" i="27"/>
  <c r="L17" i="18" a="1"/>
  <c r="L17" i="18" s="1"/>
  <c r="R19" i="27"/>
  <c r="CK34" i="7"/>
  <c r="L47" i="18" a="1"/>
  <c r="L47" i="18" s="1"/>
  <c r="R49" i="27"/>
  <c r="L37" i="18" a="1"/>
  <c r="L37" i="18" s="1"/>
  <c r="R39" i="27"/>
  <c r="L16" i="18" a="1"/>
  <c r="L16" i="18" s="1"/>
  <c r="R18" i="27"/>
  <c r="CK57" i="7"/>
  <c r="L46" i="18" a="1"/>
  <c r="L46" i="18" s="1"/>
  <c r="R48" i="27"/>
  <c r="L36" i="18" a="1"/>
  <c r="L36" i="18" s="1"/>
  <c r="R38" i="27"/>
  <c r="L26" i="18" a="1"/>
  <c r="L26" i="18" s="1"/>
  <c r="R28" i="27"/>
  <c r="CK32" i="7"/>
  <c r="CK56" i="7"/>
  <c r="L56" i="18" a="1"/>
  <c r="L56" i="18" s="1"/>
  <c r="R58" i="27"/>
  <c r="L45" i="18" a="1"/>
  <c r="L45" i="18" s="1"/>
  <c r="R47" i="27"/>
  <c r="L15" i="18" a="1"/>
  <c r="L15" i="18" s="1"/>
  <c r="R17" i="27"/>
  <c r="CK14" i="7"/>
  <c r="H13" i="24" s="1" a="1"/>
  <c r="H13" i="24" s="1"/>
  <c r="CK31" i="7"/>
  <c r="H30" i="24" s="1" a="1"/>
  <c r="H30" i="24" s="1"/>
  <c r="CK47" i="7"/>
  <c r="CK55" i="7"/>
  <c r="L55" i="18" a="1"/>
  <c r="L55" i="18" s="1"/>
  <c r="R57" i="27"/>
  <c r="L44" i="18" a="1"/>
  <c r="L44" i="18" s="1"/>
  <c r="R46" i="27"/>
  <c r="L35" i="18" a="1"/>
  <c r="L35" i="18" s="1"/>
  <c r="R37" i="27"/>
  <c r="L25" i="18" a="1"/>
  <c r="L25" i="18" s="1"/>
  <c r="R27" i="27"/>
  <c r="L14" i="18" a="1"/>
  <c r="L14" i="18" s="1"/>
  <c r="R16" i="27"/>
  <c r="BT8" i="7"/>
  <c r="BV8" i="7" s="1"/>
  <c r="BW8" i="7" s="1" a="1"/>
  <c r="BW8" i="7" s="1"/>
  <c r="CB8" i="7"/>
  <c r="CK25" i="7"/>
  <c r="H24" i="24" s="1" a="1"/>
  <c r="H24" i="24" s="1"/>
  <c r="CK13" i="7"/>
  <c r="CK30" i="7"/>
  <c r="CK46" i="7"/>
  <c r="CK54" i="7"/>
  <c r="H53" i="24" s="1" a="1"/>
  <c r="H53" i="24" s="1"/>
  <c r="L54" i="18" a="1"/>
  <c r="L54" i="18" s="1"/>
  <c r="R56" i="27"/>
  <c r="L43" i="18" a="1"/>
  <c r="L43" i="18" s="1"/>
  <c r="R45" i="27"/>
  <c r="L34" i="18" a="1"/>
  <c r="L34" i="18" s="1"/>
  <c r="R36" i="27"/>
  <c r="L13" i="18" a="1"/>
  <c r="L13" i="18" s="1"/>
  <c r="R15" i="27"/>
  <c r="EG9" i="7" a="1"/>
  <c r="EG9" i="7" s="1"/>
  <c r="EO9" i="7" s="1"/>
  <c r="EF60" i="7"/>
  <c r="EF59" i="7"/>
  <c r="CK24" i="7"/>
  <c r="H23" i="24" s="1" a="1"/>
  <c r="H23" i="24" s="1"/>
  <c r="CK12" i="7"/>
  <c r="CK29" i="7"/>
  <c r="CK45" i="7"/>
  <c r="L53" i="18" a="1"/>
  <c r="L53" i="18" s="1"/>
  <c r="R55" i="27"/>
  <c r="L33" i="18" a="1"/>
  <c r="L33" i="18" s="1"/>
  <c r="R35" i="27"/>
  <c r="L23" i="18" a="1"/>
  <c r="L23" i="18" s="1"/>
  <c r="R25" i="27"/>
  <c r="L12" i="18" a="1"/>
  <c r="L12" i="18" s="1"/>
  <c r="R14" i="27"/>
  <c r="CK23" i="7"/>
  <c r="CK11" i="7"/>
  <c r="CK28" i="7"/>
  <c r="CK44" i="7"/>
  <c r="L32" i="18" a="1"/>
  <c r="L32" i="18" s="1"/>
  <c r="R34" i="27"/>
  <c r="L22" i="18" a="1"/>
  <c r="L22" i="18" s="1"/>
  <c r="R24" i="27"/>
  <c r="CK22" i="7"/>
  <c r="CK10" i="7"/>
  <c r="H9" i="24" s="1" a="1"/>
  <c r="H9" i="24" s="1"/>
  <c r="CK27" i="7"/>
  <c r="CK43" i="7"/>
  <c r="L52" i="18" a="1"/>
  <c r="L52" i="18" s="1"/>
  <c r="R54" i="27"/>
  <c r="L41" i="18" a="1"/>
  <c r="L41" i="18" s="1"/>
  <c r="R43" i="27"/>
  <c r="L31" i="18" a="1"/>
  <c r="L31" i="18" s="1"/>
  <c r="R33" i="27"/>
  <c r="L21" i="18" a="1"/>
  <c r="L21" i="18" s="1"/>
  <c r="R23" i="27"/>
  <c r="L10" i="18" a="1"/>
  <c r="L10" i="18" s="1"/>
  <c r="R12" i="27"/>
  <c r="CK21" i="7"/>
  <c r="H20" i="24" s="1" a="1"/>
  <c r="H20" i="24" s="1"/>
  <c r="CK9" i="7"/>
  <c r="CK26" i="7"/>
  <c r="CK42" i="7"/>
  <c r="L51" i="18" a="1"/>
  <c r="L51" i="18" s="1"/>
  <c r="R53" i="27"/>
  <c r="L20" i="18" a="1"/>
  <c r="L20" i="18" s="1"/>
  <c r="R22" i="27"/>
  <c r="L9" i="18" a="1"/>
  <c r="L9" i="18" s="1"/>
  <c r="R11" i="27"/>
  <c r="EV8" i="7"/>
  <c r="B51" i="21" a="1"/>
  <c r="B51" i="21" s="1"/>
  <c r="B15" i="24" a="1"/>
  <c r="B15" i="24" s="1"/>
  <c r="B15" i="20" a="1"/>
  <c r="B15" i="20" s="1"/>
  <c r="B15" i="18" a="1"/>
  <c r="B15" i="18" s="1"/>
  <c r="B8" i="18" a="1"/>
  <c r="B8" i="18" s="1"/>
  <c r="B8" i="20" a="1"/>
  <c r="B8" i="20" s="1"/>
  <c r="B17" i="25" a="1"/>
  <c r="B17" i="25" s="1"/>
  <c r="B17" i="20" a="1"/>
  <c r="B17" i="20" s="1"/>
  <c r="B17" i="18" a="1"/>
  <c r="B17" i="18" s="1"/>
  <c r="B29" i="23" a="1"/>
  <c r="B29" i="23" s="1"/>
  <c r="B29" i="20" a="1"/>
  <c r="B29" i="20" s="1"/>
  <c r="B29" i="18" a="1"/>
  <c r="B29" i="18" s="1"/>
  <c r="B41" i="23" a="1"/>
  <c r="B41" i="23" s="1"/>
  <c r="B41" i="20" a="1"/>
  <c r="B41" i="20" s="1"/>
  <c r="B41" i="18" a="1"/>
  <c r="B41" i="18" s="1"/>
  <c r="B54" i="23" a="1"/>
  <c r="B54" i="23" s="1"/>
  <c r="B54" i="20" a="1"/>
  <c r="B54" i="20" s="1"/>
  <c r="B54" i="18" a="1"/>
  <c r="B54" i="18" s="1"/>
  <c r="B46" i="24" a="1"/>
  <c r="B46" i="24" s="1"/>
  <c r="B46" i="20" a="1"/>
  <c r="B46" i="20" s="1"/>
  <c r="B46" i="18" a="1"/>
  <c r="B46" i="18" s="1"/>
  <c r="B24" i="17" a="1"/>
  <c r="B24" i="17" s="1"/>
  <c r="B24" i="20" a="1"/>
  <c r="B24" i="20" s="1"/>
  <c r="B24" i="18" a="1"/>
  <c r="B24" i="18" s="1"/>
  <c r="B16" i="22" a="1"/>
  <c r="B16" i="22" s="1"/>
  <c r="B16" i="20" a="1"/>
  <c r="B16" i="20" s="1"/>
  <c r="B16" i="18" a="1"/>
  <c r="B16" i="18" s="1"/>
  <c r="B28" i="25" a="1"/>
  <c r="B28" i="25" s="1"/>
  <c r="B28" i="20" a="1"/>
  <c r="B28" i="20" s="1"/>
  <c r="B28" i="18" a="1"/>
  <c r="B28" i="18" s="1"/>
  <c r="B40" i="22" a="1"/>
  <c r="B40" i="22" s="1"/>
  <c r="B40" i="20" a="1"/>
  <c r="B40" i="20" s="1"/>
  <c r="B40" i="18" a="1"/>
  <c r="B40" i="18" s="1"/>
  <c r="B53" i="25" a="1"/>
  <c r="B53" i="25" s="1"/>
  <c r="B53" i="20" a="1"/>
  <c r="B53" i="20" s="1"/>
  <c r="B53" i="18" a="1"/>
  <c r="B53" i="18" s="1"/>
  <c r="B45" i="25" a="1"/>
  <c r="B45" i="25" s="1"/>
  <c r="B45" i="20" a="1"/>
  <c r="B45" i="20" s="1"/>
  <c r="B45" i="18" a="1"/>
  <c r="B45" i="18" s="1"/>
  <c r="B14" i="23" a="1"/>
  <c r="B14" i="23" s="1"/>
  <c r="B14" i="20" a="1"/>
  <c r="B14" i="20" s="1"/>
  <c r="B14" i="18" a="1"/>
  <c r="B14" i="18" s="1"/>
  <c r="B23" i="23" a="1"/>
  <c r="B23" i="23" s="1"/>
  <c r="B23" i="20" a="1"/>
  <c r="B23" i="20" s="1"/>
  <c r="B23" i="18" a="1"/>
  <c r="B23" i="18" s="1"/>
  <c r="B35" i="23" a="1"/>
  <c r="B35" i="23" s="1"/>
  <c r="B35" i="20" a="1"/>
  <c r="B35" i="20" s="1"/>
  <c r="B35" i="18" a="1"/>
  <c r="B35" i="18" s="1"/>
  <c r="B27" i="24" a="1"/>
  <c r="B27" i="24" s="1"/>
  <c r="B27" i="20" a="1"/>
  <c r="B27" i="20" s="1"/>
  <c r="B27" i="18" a="1"/>
  <c r="B27" i="18" s="1"/>
  <c r="B39" i="20" a="1"/>
  <c r="B39" i="20" s="1"/>
  <c r="B39" i="18" a="1"/>
  <c r="B39" i="18" s="1"/>
  <c r="B52" i="25" a="1"/>
  <c r="B52" i="25" s="1"/>
  <c r="B52" i="20" a="1"/>
  <c r="B52" i="20" s="1"/>
  <c r="B52" i="18" a="1"/>
  <c r="B52" i="18" s="1"/>
  <c r="B13" i="25" a="1"/>
  <c r="B13" i="25" s="1"/>
  <c r="B13" i="20" a="1"/>
  <c r="B13" i="20" s="1"/>
  <c r="B13" i="18" a="1"/>
  <c r="B13" i="18" s="1"/>
  <c r="B22" i="24" a="1"/>
  <c r="B22" i="24" s="1"/>
  <c r="B22" i="20" a="1"/>
  <c r="B22" i="20" s="1"/>
  <c r="B22" i="18" a="1"/>
  <c r="B22" i="18" s="1"/>
  <c r="B34" i="25" a="1"/>
  <c r="B34" i="25" s="1"/>
  <c r="B34" i="20" a="1"/>
  <c r="B34" i="20" s="1"/>
  <c r="B34" i="18" a="1"/>
  <c r="B34" i="18" s="1"/>
  <c r="B26" i="25" a="1"/>
  <c r="B26" i="25" s="1"/>
  <c r="B26" i="20" a="1"/>
  <c r="B26" i="20" s="1"/>
  <c r="B26" i="18" a="1"/>
  <c r="B26" i="18" s="1"/>
  <c r="B38" i="24" a="1"/>
  <c r="B38" i="24" s="1"/>
  <c r="B38" i="20" a="1"/>
  <c r="B38" i="20" s="1"/>
  <c r="B38" i="18" a="1"/>
  <c r="B38" i="18" s="1"/>
  <c r="B51" i="17" a="1"/>
  <c r="B51" i="17" s="1"/>
  <c r="B51" i="20" a="1"/>
  <c r="B51" i="20" s="1"/>
  <c r="B51" i="18" a="1"/>
  <c r="B51" i="18" s="1"/>
  <c r="B12" i="23" a="1"/>
  <c r="B12" i="23" s="1"/>
  <c r="B12" i="20" a="1"/>
  <c r="B12" i="20" s="1"/>
  <c r="B12" i="18" a="1"/>
  <c r="B12" i="18" s="1"/>
  <c r="B21" i="23" a="1"/>
  <c r="B21" i="23" s="1"/>
  <c r="B21" i="20" a="1"/>
  <c r="B21" i="20" s="1"/>
  <c r="B21" i="18" a="1"/>
  <c r="B21" i="18" s="1"/>
  <c r="B33" i="21" a="1"/>
  <c r="B33" i="21" s="1"/>
  <c r="B33" i="20" a="1"/>
  <c r="B33" i="20" s="1"/>
  <c r="B33" i="18" a="1"/>
  <c r="B33" i="18" s="1"/>
  <c r="B25" i="24" a="1"/>
  <c r="B25" i="24" s="1"/>
  <c r="B25" i="20" a="1"/>
  <c r="B25" i="20" s="1"/>
  <c r="B25" i="18" a="1"/>
  <c r="B25" i="18" s="1"/>
  <c r="B37" i="23" a="1"/>
  <c r="B37" i="23" s="1"/>
  <c r="B37" i="20" a="1"/>
  <c r="B37" i="20" s="1"/>
  <c r="B37" i="18" a="1"/>
  <c r="B37" i="18" s="1"/>
  <c r="B50" i="25" a="1"/>
  <c r="B50" i="25" s="1"/>
  <c r="B50" i="20" a="1"/>
  <c r="B50" i="20" s="1"/>
  <c r="B50" i="18" a="1"/>
  <c r="B50" i="18" s="1"/>
  <c r="B11" i="25" a="1"/>
  <c r="B11" i="25" s="1"/>
  <c r="B11" i="20" a="1"/>
  <c r="B11" i="20" s="1"/>
  <c r="B11" i="18" a="1"/>
  <c r="B11" i="18" s="1"/>
  <c r="B20" i="25" a="1"/>
  <c r="B20" i="25" s="1"/>
  <c r="B20" i="20" a="1"/>
  <c r="B20" i="20" s="1"/>
  <c r="B20" i="18" a="1"/>
  <c r="B20" i="18" s="1"/>
  <c r="B32" i="24" a="1"/>
  <c r="B32" i="24" s="1"/>
  <c r="B32" i="20" a="1"/>
  <c r="B32" i="20" s="1"/>
  <c r="B32" i="18" a="1"/>
  <c r="B32" i="18" s="1"/>
  <c r="B44" i="25" a="1"/>
  <c r="B44" i="25" s="1"/>
  <c r="B44" i="20" a="1"/>
  <c r="B44" i="20" s="1"/>
  <c r="B44" i="18" a="1"/>
  <c r="B44" i="18" s="1"/>
  <c r="B36" i="25" a="1"/>
  <c r="B36" i="25" s="1"/>
  <c r="B36" i="20" a="1"/>
  <c r="B36" i="20" s="1"/>
  <c r="B36" i="18" a="1"/>
  <c r="B36" i="18" s="1"/>
  <c r="B49" i="21" a="1"/>
  <c r="B49" i="21" s="1"/>
  <c r="B49" i="20" a="1"/>
  <c r="B49" i="20" s="1"/>
  <c r="B49" i="18" a="1"/>
  <c r="B49" i="18" s="1"/>
  <c r="B51" i="23" a="1"/>
  <c r="B51" i="23" s="1"/>
  <c r="B10" i="25" a="1"/>
  <c r="B10" i="25" s="1"/>
  <c r="B10" i="20" a="1"/>
  <c r="B10" i="20" s="1"/>
  <c r="B10" i="18" a="1"/>
  <c r="B10" i="18" s="1"/>
  <c r="B19" i="24" a="1"/>
  <c r="B19" i="24" s="1"/>
  <c r="B19" i="20" a="1"/>
  <c r="B19" i="20" s="1"/>
  <c r="B19" i="18" a="1"/>
  <c r="B19" i="18" s="1"/>
  <c r="B31" i="24" a="1"/>
  <c r="B31" i="24" s="1"/>
  <c r="B31" i="20" a="1"/>
  <c r="B31" i="20" s="1"/>
  <c r="B31" i="18" a="1"/>
  <c r="B31" i="18" s="1"/>
  <c r="B43" i="25" a="1"/>
  <c r="B43" i="25" s="1"/>
  <c r="B43" i="20" a="1"/>
  <c r="B43" i="20" s="1"/>
  <c r="B43" i="18" a="1"/>
  <c r="B43" i="18" s="1"/>
  <c r="B56" i="23" a="1"/>
  <c r="B56" i="23" s="1"/>
  <c r="B56" i="20" a="1"/>
  <c r="B56" i="20" s="1"/>
  <c r="B56" i="18" a="1"/>
  <c r="B56" i="18" s="1"/>
  <c r="B48" i="23" a="1"/>
  <c r="B48" i="23" s="1"/>
  <c r="B48" i="20" a="1"/>
  <c r="B48" i="20" s="1"/>
  <c r="B48" i="18" a="1"/>
  <c r="B48" i="18" s="1"/>
  <c r="B7" i="23" a="1"/>
  <c r="B7" i="23" s="1"/>
  <c r="B7" i="18" a="1"/>
  <c r="B7" i="18" s="1"/>
  <c r="B7" i="20" a="1"/>
  <c r="B7" i="20" s="1"/>
  <c r="B9" i="25" a="1"/>
  <c r="B9" i="25" s="1"/>
  <c r="B9" i="20" a="1"/>
  <c r="B9" i="20" s="1"/>
  <c r="B9" i="18" a="1"/>
  <c r="B9" i="18" s="1"/>
  <c r="B18" i="25" a="1"/>
  <c r="B18" i="25" s="1"/>
  <c r="B18" i="20" a="1"/>
  <c r="B18" i="20" s="1"/>
  <c r="B18" i="18" a="1"/>
  <c r="B18" i="18" s="1"/>
  <c r="B30" i="24" a="1"/>
  <c r="B30" i="24" s="1"/>
  <c r="B30" i="20" a="1"/>
  <c r="B30" i="20" s="1"/>
  <c r="B30" i="18" a="1"/>
  <c r="B30" i="18" s="1"/>
  <c r="B42" i="25" a="1"/>
  <c r="B42" i="25" s="1"/>
  <c r="B42" i="20" a="1"/>
  <c r="B42" i="20" s="1"/>
  <c r="B42" i="18" a="1"/>
  <c r="B42" i="18" s="1"/>
  <c r="B55" i="25" a="1"/>
  <c r="B55" i="25" s="1"/>
  <c r="B55" i="20" a="1"/>
  <c r="B55" i="20" s="1"/>
  <c r="B55" i="18" a="1"/>
  <c r="B55" i="18" s="1"/>
  <c r="B47" i="25" a="1"/>
  <c r="B47" i="25" s="1"/>
  <c r="B47" i="20" a="1"/>
  <c r="B47" i="20" s="1"/>
  <c r="B47" i="18" a="1"/>
  <c r="B47" i="18" s="1"/>
  <c r="J30" i="22" a="1"/>
  <c r="J30" i="22" s="1"/>
  <c r="R32" i="27"/>
  <c r="J27" i="22" a="1"/>
  <c r="J27" i="22" s="1"/>
  <c r="R29" i="27"/>
  <c r="J39" i="22" a="1"/>
  <c r="J39" i="22" s="1"/>
  <c r="R41" i="27"/>
  <c r="B55" i="21" a="1"/>
  <c r="B55" i="21" s="1"/>
  <c r="B47" i="23" a="1"/>
  <c r="B47" i="23" s="1"/>
  <c r="FC37" i="7"/>
  <c r="J36" i="20" s="1" a="1"/>
  <c r="J36" i="20" s="1"/>
  <c r="CW62" i="7"/>
  <c r="CW61" i="7"/>
  <c r="CX39" i="7" s="1" a="1"/>
  <c r="CX39" i="7" s="1"/>
  <c r="DA39" i="7" s="1"/>
  <c r="CW60" i="7"/>
  <c r="B48" i="21" a="1"/>
  <c r="B48" i="21" s="1"/>
  <c r="B7" i="21" a="1"/>
  <c r="B7" i="21" s="1"/>
  <c r="B31" i="17" a="1"/>
  <c r="B31" i="17" s="1"/>
  <c r="B39" i="17" a="1"/>
  <c r="B39" i="17" s="1"/>
  <c r="FC38" i="7"/>
  <c r="J37" i="20" s="1" a="1"/>
  <c r="J37" i="20" s="1"/>
  <c r="FC36" i="7"/>
  <c r="J35" i="20" s="1" a="1"/>
  <c r="J35" i="20" s="1"/>
  <c r="FC15" i="7"/>
  <c r="J14" i="20" s="1" a="1"/>
  <c r="J14" i="20" s="1"/>
  <c r="B12" i="21" a="1"/>
  <c r="B12" i="21" s="1"/>
  <c r="DL8" i="7"/>
  <c r="DR8" i="7" s="1"/>
  <c r="FC26" i="7"/>
  <c r="FC30" i="7"/>
  <c r="J29" i="25" s="1" a="1"/>
  <c r="J29" i="25" s="1"/>
  <c r="FC52" i="7"/>
  <c r="J51" i="20" s="1" a="1"/>
  <c r="J51" i="20" s="1"/>
  <c r="B29" i="21" a="1"/>
  <c r="B29" i="21" s="1"/>
  <c r="B25" i="17" a="1"/>
  <c r="B25" i="17" s="1"/>
  <c r="B52" i="21" a="1"/>
  <c r="B52" i="21" s="1"/>
  <c r="B37" i="17" a="1"/>
  <c r="B37" i="17" s="1"/>
  <c r="B38" i="23" a="1"/>
  <c r="B38" i="23" s="1"/>
  <c r="B8" i="22" a="1"/>
  <c r="B8" i="22" s="1"/>
  <c r="B33" i="23" a="1"/>
  <c r="B33" i="23" s="1"/>
  <c r="L24" i="18" a="1"/>
  <c r="L24" i="18" s="1"/>
  <c r="R26" i="27"/>
  <c r="L49" i="18" a="1"/>
  <c r="L49" i="18" s="1"/>
  <c r="R51" i="27"/>
  <c r="L42" i="18" a="1"/>
  <c r="L42" i="18" s="1"/>
  <c r="R44" i="27"/>
  <c r="L11" i="18" a="1"/>
  <c r="L11" i="18" s="1"/>
  <c r="R13" i="27"/>
  <c r="FC18" i="7"/>
  <c r="B19" i="17" a="1"/>
  <c r="B19" i="17" s="1"/>
  <c r="FC47" i="7"/>
  <c r="J46" i="20" s="1" a="1"/>
  <c r="J46" i="20" s="1"/>
  <c r="FC27" i="7"/>
  <c r="B11" i="17" a="1"/>
  <c r="B11" i="17" s="1"/>
  <c r="B44" i="24" a="1"/>
  <c r="B44" i="24" s="1"/>
  <c r="B36" i="17" a="1"/>
  <c r="B36" i="17" s="1"/>
  <c r="B11" i="22" a="1"/>
  <c r="B11" i="22" s="1"/>
  <c r="B31" i="21" a="1"/>
  <c r="B31" i="21" s="1"/>
  <c r="B32" i="17" a="1"/>
  <c r="B32" i="17" s="1"/>
  <c r="FC9" i="7"/>
  <c r="FC35" i="7"/>
  <c r="FC11" i="7"/>
  <c r="EV26" i="7"/>
  <c r="I25" i="25" s="1" a="1"/>
  <c r="I25" i="25" s="1"/>
  <c r="EV31" i="7"/>
  <c r="B19" i="21" a="1"/>
  <c r="B19" i="21" s="1"/>
  <c r="B44" i="17" a="1"/>
  <c r="B44" i="17" s="1"/>
  <c r="B36" i="22" a="1"/>
  <c r="B36" i="22" s="1"/>
  <c r="B44" i="22" a="1"/>
  <c r="B44" i="22" s="1"/>
  <c r="B43" i="17" a="1"/>
  <c r="B43" i="17" s="1"/>
  <c r="B20" i="22" a="1"/>
  <c r="B20" i="22" s="1"/>
  <c r="B49" i="25" a="1"/>
  <c r="B49" i="25" s="1"/>
  <c r="FC25" i="7"/>
  <c r="J24" i="20" s="1" a="1"/>
  <c r="J24" i="20" s="1"/>
  <c r="B20" i="21" a="1"/>
  <c r="B20" i="21" s="1"/>
  <c r="B32" i="23" a="1"/>
  <c r="B32" i="23" s="1"/>
  <c r="B20" i="17" a="1"/>
  <c r="B20" i="17" s="1"/>
  <c r="B40" i="17" a="1"/>
  <c r="B40" i="17" s="1"/>
  <c r="B19" i="22" a="1"/>
  <c r="B19" i="22" s="1"/>
  <c r="B48" i="25" a="1"/>
  <c r="B48" i="25" s="1"/>
  <c r="FC24" i="7"/>
  <c r="FC19" i="7"/>
  <c r="J18" i="20" s="1" a="1"/>
  <c r="J18" i="20" s="1"/>
  <c r="FC50" i="7"/>
  <c r="J49" i="20" s="1" a="1"/>
  <c r="J49" i="20" s="1"/>
  <c r="FC56" i="7"/>
  <c r="FC45" i="7"/>
  <c r="J44" i="20" s="1" a="1"/>
  <c r="J44" i="20" s="1"/>
  <c r="J36" i="25" a="1"/>
  <c r="J36" i="25" s="1"/>
  <c r="FC51" i="7"/>
  <c r="EV21" i="7"/>
  <c r="J20" i="17" s="1" a="1"/>
  <c r="J20" i="17" s="1"/>
  <c r="FC21" i="7"/>
  <c r="J20" i="20" s="1" a="1"/>
  <c r="J20" i="20" s="1"/>
  <c r="FC32" i="7"/>
  <c r="FC43" i="7"/>
  <c r="J42" i="20" s="1" a="1"/>
  <c r="J42" i="20" s="1"/>
  <c r="FC20" i="7"/>
  <c r="J19" i="20" s="1" a="1"/>
  <c r="J19" i="20" s="1"/>
  <c r="FC33" i="7"/>
  <c r="J32" i="20" s="1" a="1"/>
  <c r="J32" i="20" s="1"/>
  <c r="FC39" i="7"/>
  <c r="FC44" i="7"/>
  <c r="FC54" i="7"/>
  <c r="J53" i="20" s="1" a="1"/>
  <c r="J53" i="20" s="1"/>
  <c r="FC48" i="7"/>
  <c r="J47" i="20" s="1" a="1"/>
  <c r="J47" i="20" s="1"/>
  <c r="FC12" i="7"/>
  <c r="J11" i="20" s="1" a="1"/>
  <c r="J11" i="20" s="1"/>
  <c r="FC55" i="7"/>
  <c r="FC23" i="7"/>
  <c r="FC57" i="7"/>
  <c r="J56" i="20" s="1" a="1"/>
  <c r="J56" i="20" s="1"/>
  <c r="FC17" i="7"/>
  <c r="J16" i="20" s="1" a="1"/>
  <c r="J16" i="20" s="1"/>
  <c r="FC42" i="7"/>
  <c r="I41" i="18" s="1" a="1"/>
  <c r="I41" i="18" s="1"/>
  <c r="FC22" i="7"/>
  <c r="FC28" i="7"/>
  <c r="FC46" i="7"/>
  <c r="FC53" i="7"/>
  <c r="J52" i="20" s="1" a="1"/>
  <c r="J52" i="20" s="1"/>
  <c r="FC49" i="7"/>
  <c r="J48" i="20" s="1" a="1"/>
  <c r="J48" i="20" s="1"/>
  <c r="FC34" i="7"/>
  <c r="J33" i="20" s="1" a="1"/>
  <c r="J33" i="20" s="1"/>
  <c r="FC40" i="7"/>
  <c r="J39" i="20" s="1" a="1"/>
  <c r="J39" i="20" s="1"/>
  <c r="FC41" i="7"/>
  <c r="FC13" i="7"/>
  <c r="FC16" i="7"/>
  <c r="FC8" i="7"/>
  <c r="J7" i="20" s="1" a="1"/>
  <c r="J7" i="20" s="1"/>
  <c r="FC10" i="7"/>
  <c r="FC31" i="7"/>
  <c r="FC14" i="7"/>
  <c r="EV13" i="7"/>
  <c r="J12" i="17" s="1" a="1"/>
  <c r="J12" i="17" s="1"/>
  <c r="EV53" i="7"/>
  <c r="EV30" i="7"/>
  <c r="J29" i="17" s="1" a="1"/>
  <c r="J29" i="17" s="1"/>
  <c r="FC29" i="7"/>
  <c r="J28" i="20" s="1" a="1"/>
  <c r="J28" i="20" s="1"/>
  <c r="EV55" i="7"/>
  <c r="J54" i="17" s="1" a="1"/>
  <c r="J54" i="17" s="1"/>
  <c r="EV23" i="7"/>
  <c r="J22" i="17" s="1" a="1"/>
  <c r="J22" i="17" s="1"/>
  <c r="AV8" i="7"/>
  <c r="DC9" i="7" a="1"/>
  <c r="DC9" i="7" s="1"/>
  <c r="DC10" i="7" a="1"/>
  <c r="DC10" i="7" s="1"/>
  <c r="DC11" i="7" a="1"/>
  <c r="DC11" i="7" s="1"/>
  <c r="DH11" i="7" s="1"/>
  <c r="DC12" i="7" a="1"/>
  <c r="DC12" i="7" s="1"/>
  <c r="DC13" i="7" a="1"/>
  <c r="DC13" i="7" s="1"/>
  <c r="DC14" i="7" a="1"/>
  <c r="DC14" i="7" s="1"/>
  <c r="DC15" i="7" a="1"/>
  <c r="DC15" i="7" s="1"/>
  <c r="DC16" i="7" a="1"/>
  <c r="DC16" i="7" s="1"/>
  <c r="DH16" i="7" s="1"/>
  <c r="DC17" i="7" a="1"/>
  <c r="DC17" i="7" s="1"/>
  <c r="DH17" i="7" s="1"/>
  <c r="DC18" i="7" a="1"/>
  <c r="DC18" i="7" s="1"/>
  <c r="DH18" i="7" s="1"/>
  <c r="DC19" i="7" a="1"/>
  <c r="DC19" i="7" s="1"/>
  <c r="DC20" i="7" a="1"/>
  <c r="DC20" i="7" s="1"/>
  <c r="DC21" i="7" a="1"/>
  <c r="DC21" i="7" s="1"/>
  <c r="DC22" i="7" a="1"/>
  <c r="DC22" i="7" s="1"/>
  <c r="DC23" i="7" a="1"/>
  <c r="DC23" i="7" s="1"/>
  <c r="DC24" i="7" a="1"/>
  <c r="DC24" i="7" s="1"/>
  <c r="DH24" i="7" s="1"/>
  <c r="DC25" i="7" a="1"/>
  <c r="DC25" i="7" s="1"/>
  <c r="DH25" i="7" s="1"/>
  <c r="DC26" i="7" a="1"/>
  <c r="DC26" i="7" s="1"/>
  <c r="DH26" i="7" s="1"/>
  <c r="DC27" i="7" a="1"/>
  <c r="DC27" i="7" s="1"/>
  <c r="DH27" i="7" s="1"/>
  <c r="DC28" i="7" a="1"/>
  <c r="DC28" i="7" s="1"/>
  <c r="DH28" i="7" s="1"/>
  <c r="DC29" i="7" a="1"/>
  <c r="DC29" i="7" s="1"/>
  <c r="DH29" i="7" s="1"/>
  <c r="DC30" i="7" a="1"/>
  <c r="DC30" i="7" s="1"/>
  <c r="DH30" i="7" s="1"/>
  <c r="DC31" i="7" a="1"/>
  <c r="DC31" i="7" s="1"/>
  <c r="DC32" i="7" a="1"/>
  <c r="DC32" i="7" s="1"/>
  <c r="DC33" i="7" a="1"/>
  <c r="DC33" i="7" s="1"/>
  <c r="DC34" i="7" a="1"/>
  <c r="DC34" i="7" s="1"/>
  <c r="DC35" i="7" a="1"/>
  <c r="DC35" i="7" s="1"/>
  <c r="DC36" i="7" a="1"/>
  <c r="DC36" i="7" s="1"/>
  <c r="DH36" i="7" s="1"/>
  <c r="DC37" i="7" a="1"/>
  <c r="DC37" i="7" s="1"/>
  <c r="DH37" i="7" s="1"/>
  <c r="DC38" i="7" a="1"/>
  <c r="DC38" i="7" s="1"/>
  <c r="DH38" i="7" s="1"/>
  <c r="DC39" i="7" a="1"/>
  <c r="DC39" i="7" s="1"/>
  <c r="DH39" i="7" s="1"/>
  <c r="DC40" i="7" a="1"/>
  <c r="DC40" i="7" s="1"/>
  <c r="DH40" i="7" s="1"/>
  <c r="DC41" i="7" a="1"/>
  <c r="DC41" i="7" s="1"/>
  <c r="DH41" i="7" s="1"/>
  <c r="DC42" i="7" a="1"/>
  <c r="DC42" i="7" s="1"/>
  <c r="DH42" i="7" s="1"/>
  <c r="DC43" i="7" a="1"/>
  <c r="DC43" i="7" s="1"/>
  <c r="DC44" i="7" a="1"/>
  <c r="DC44" i="7" s="1"/>
  <c r="DC45" i="7" a="1"/>
  <c r="DC45" i="7" s="1"/>
  <c r="DC46" i="7" a="1"/>
  <c r="DC46" i="7" s="1"/>
  <c r="DH46" i="7" s="1"/>
  <c r="DC47" i="7" a="1"/>
  <c r="DC47" i="7" s="1"/>
  <c r="DH47" i="7" s="1"/>
  <c r="DC48" i="7" a="1"/>
  <c r="DC48" i="7" s="1"/>
  <c r="DC49" i="7" a="1"/>
  <c r="DC49" i="7" s="1"/>
  <c r="DC50" i="7" a="1"/>
  <c r="DC50" i="7" s="1"/>
  <c r="DH50" i="7" s="1"/>
  <c r="DC51" i="7" a="1"/>
  <c r="DC51" i="7" s="1"/>
  <c r="DH51" i="7" s="1"/>
  <c r="DC52" i="7" a="1"/>
  <c r="DC52" i="7" s="1"/>
  <c r="DC53" i="7" a="1"/>
  <c r="DC53" i="7" s="1"/>
  <c r="DH53" i="7" s="1"/>
  <c r="DC54" i="7" a="1"/>
  <c r="DC54" i="7" s="1"/>
  <c r="DC55" i="7" a="1"/>
  <c r="DC55" i="7" s="1"/>
  <c r="DC56" i="7" a="1"/>
  <c r="DC56" i="7" s="1"/>
  <c r="DC57" i="7" a="1"/>
  <c r="DC57" i="7" s="1"/>
  <c r="DC8" i="7" a="1"/>
  <c r="DC8" i="7" s="1"/>
  <c r="EV15" i="7"/>
  <c r="J14" i="17" s="1" a="1"/>
  <c r="J14" i="17" s="1"/>
  <c r="EV54" i="7"/>
  <c r="EV57" i="7"/>
  <c r="J56" i="17" s="1" a="1"/>
  <c r="J56" i="17" s="1"/>
  <c r="EV40" i="7"/>
  <c r="J39" i="17" s="1" a="1"/>
  <c r="J39" i="17" s="1"/>
  <c r="EV35" i="7"/>
  <c r="J34" i="17" s="1" a="1"/>
  <c r="J34" i="17" s="1"/>
  <c r="EV22" i="7"/>
  <c r="J21" i="17" s="1" a="1"/>
  <c r="J21" i="17" s="1"/>
  <c r="EV56" i="7"/>
  <c r="J55" i="17" s="1" a="1"/>
  <c r="J55" i="17" s="1"/>
  <c r="EV29" i="7"/>
  <c r="EV48" i="7"/>
  <c r="J47" i="17" s="1" a="1"/>
  <c r="J47" i="17" s="1"/>
  <c r="EV43" i="7"/>
  <c r="J42" i="17" s="1" a="1"/>
  <c r="J42" i="17" s="1"/>
  <c r="EV11" i="7"/>
  <c r="J10" i="17" s="1" a="1"/>
  <c r="J10" i="17" s="1"/>
  <c r="EV45" i="7"/>
  <c r="EV9" i="7"/>
  <c r="J8" i="17" s="1" a="1"/>
  <c r="J8" i="17" s="1"/>
  <c r="EV28" i="7"/>
  <c r="J27" i="17" s="1" a="1"/>
  <c r="J27" i="17" s="1"/>
  <c r="EV44" i="7"/>
  <c r="J43" i="17" s="1" a="1"/>
  <c r="J43" i="17" s="1"/>
  <c r="EV39" i="7"/>
  <c r="EV10" i="7"/>
  <c r="J9" i="17" s="1" a="1"/>
  <c r="J9" i="17" s="1"/>
  <c r="EV32" i="7"/>
  <c r="J31" i="17" s="1" a="1"/>
  <c r="J31" i="17" s="1"/>
  <c r="AJ51" i="7"/>
  <c r="D50" i="20" s="1" a="1"/>
  <c r="D50" i="20" s="1"/>
  <c r="EV50" i="7"/>
  <c r="J49" i="17" s="1" a="1"/>
  <c r="J49" i="17" s="1"/>
  <c r="EV16" i="7"/>
  <c r="J15" i="17" s="1" a="1"/>
  <c r="J15" i="17" s="1"/>
  <c r="EV49" i="7"/>
  <c r="EV17" i="7"/>
  <c r="EV14" i="7"/>
  <c r="J13" i="17" s="1" a="1"/>
  <c r="J13" i="17" s="1"/>
  <c r="EV18" i="7"/>
  <c r="J17" i="17" s="1" a="1"/>
  <c r="J17" i="17" s="1"/>
  <c r="EV37" i="7"/>
  <c r="J36" i="17" s="1" a="1"/>
  <c r="J36" i="17" s="1"/>
  <c r="EV46" i="7"/>
  <c r="EV52" i="7"/>
  <c r="EV51" i="7"/>
  <c r="EV47" i="7"/>
  <c r="J46" i="17" s="1" a="1"/>
  <c r="J46" i="17" s="1"/>
  <c r="EV25" i="7"/>
  <c r="EV33" i="7"/>
  <c r="EV41" i="7"/>
  <c r="EV36" i="7"/>
  <c r="J35" i="17" s="1" a="1"/>
  <c r="J35" i="17" s="1"/>
  <c r="EV24" i="7"/>
  <c r="EV19" i="7"/>
  <c r="EV27" i="7"/>
  <c r="J26" i="17" s="1" a="1"/>
  <c r="J26" i="17" s="1"/>
  <c r="EV34" i="7"/>
  <c r="EV42" i="7"/>
  <c r="EV20" i="7"/>
  <c r="EV38" i="7"/>
  <c r="EV12" i="7"/>
  <c r="B42" i="21" a="1"/>
  <c r="B42" i="21" s="1"/>
  <c r="BE56" i="7"/>
  <c r="BK56" i="7" s="1"/>
  <c r="BE48" i="7"/>
  <c r="BE40" i="7"/>
  <c r="BK40" i="7" s="1"/>
  <c r="BE32" i="7"/>
  <c r="BE24" i="7"/>
  <c r="BK24" i="7" s="1"/>
  <c r="BE16" i="7"/>
  <c r="BK16" i="7" s="1"/>
  <c r="BE9" i="7"/>
  <c r="BE54" i="7"/>
  <c r="BE46" i="7"/>
  <c r="BK46" i="7" s="1"/>
  <c r="BE38" i="7"/>
  <c r="EO6" i="7"/>
  <c r="BE14" i="7"/>
  <c r="BK14" i="7" s="1"/>
  <c r="BE30" i="7"/>
  <c r="BK30" i="7" s="1"/>
  <c r="BE27" i="7"/>
  <c r="AQ8" i="7"/>
  <c r="BE51" i="7"/>
  <c r="BE43" i="7"/>
  <c r="BK43" i="7" s="1"/>
  <c r="BE35" i="7"/>
  <c r="BE19" i="7"/>
  <c r="BK19" i="7" s="1"/>
  <c r="BE50" i="7"/>
  <c r="BE42" i="7"/>
  <c r="BK42" i="7" s="1"/>
  <c r="BE34" i="7"/>
  <c r="BE26" i="7"/>
  <c r="BE18" i="7"/>
  <c r="BK18" i="7" s="1"/>
  <c r="BE11" i="7"/>
  <c r="BE57" i="7"/>
  <c r="BE49" i="7"/>
  <c r="BK49" i="7" s="1"/>
  <c r="BE41" i="7"/>
  <c r="BE33" i="7"/>
  <c r="BK33" i="7" s="1"/>
  <c r="BE17" i="7"/>
  <c r="BE10" i="7"/>
  <c r="BE53" i="7"/>
  <c r="BK53" i="7" s="1"/>
  <c r="BE45" i="7"/>
  <c r="BE37" i="7"/>
  <c r="BK37" i="7" s="1"/>
  <c r="BE29" i="7"/>
  <c r="BK29" i="7" s="1"/>
  <c r="BE21" i="7"/>
  <c r="BK21" i="7" s="1"/>
  <c r="BE52" i="7"/>
  <c r="BK52" i="7" s="1"/>
  <c r="BE44" i="7"/>
  <c r="BE36" i="7"/>
  <c r="BE28" i="7"/>
  <c r="BK28" i="7" s="1"/>
  <c r="BE20" i="7"/>
  <c r="BK20" i="7" s="1"/>
  <c r="BE13" i="7"/>
  <c r="BE12" i="7"/>
  <c r="BE25" i="7"/>
  <c r="BK25" i="7" s="1"/>
  <c r="FK60" i="7"/>
  <c r="BE55" i="7"/>
  <c r="BK55" i="7" s="1"/>
  <c r="BE47" i="7"/>
  <c r="BK47" i="7" s="1"/>
  <c r="BE39" i="7"/>
  <c r="BK39" i="7" s="1"/>
  <c r="BE31" i="7"/>
  <c r="BK31" i="7" s="1"/>
  <c r="BE23" i="7"/>
  <c r="BE22" i="7"/>
  <c r="BE15" i="7"/>
  <c r="B9" i="22" a="1"/>
  <c r="B9" i="22" s="1"/>
  <c r="B7" i="25" a="1"/>
  <c r="B7" i="25" s="1"/>
  <c r="B18" i="21" a="1"/>
  <c r="B18" i="21" s="1"/>
  <c r="B46" i="21" a="1"/>
  <c r="B46" i="21" s="1"/>
  <c r="B42" i="22" a="1"/>
  <c r="B42" i="22" s="1"/>
  <c r="B55" i="22" a="1"/>
  <c r="B55" i="22" s="1"/>
  <c r="B9" i="21" a="1"/>
  <c r="B9" i="21" s="1"/>
  <c r="B55" i="24" a="1"/>
  <c r="B55" i="24" s="1"/>
  <c r="EO15" i="7"/>
  <c r="FK59" i="7"/>
  <c r="B30" i="21" a="1"/>
  <c r="B30" i="21" s="1"/>
  <c r="B12" i="17" a="1"/>
  <c r="B12" i="17" s="1"/>
  <c r="B50" i="17" a="1"/>
  <c r="B50" i="17" s="1"/>
  <c r="B33" i="22" a="1"/>
  <c r="B33" i="22" s="1"/>
  <c r="EO8" i="7"/>
  <c r="H7" i="17" s="1" a="1"/>
  <c r="H7" i="17" s="1"/>
  <c r="EO53" i="7"/>
  <c r="EO45" i="7"/>
  <c r="EO37" i="7"/>
  <c r="EO29" i="7"/>
  <c r="EO21" i="7"/>
  <c r="EO14" i="7"/>
  <c r="EO52" i="7"/>
  <c r="EO44" i="7"/>
  <c r="EO36" i="7"/>
  <c r="EO28" i="7"/>
  <c r="EO20" i="7"/>
  <c r="EO13" i="7"/>
  <c r="B50" i="21" a="1"/>
  <c r="B50" i="21" s="1"/>
  <c r="B50" i="23" a="1"/>
  <c r="B50" i="23" s="1"/>
  <c r="EO11" i="7"/>
  <c r="EO51" i="7"/>
  <c r="EO43" i="7"/>
  <c r="EO35" i="7"/>
  <c r="EO27" i="7"/>
  <c r="EO19" i="7"/>
  <c r="EO12" i="7"/>
  <c r="B15" i="22" a="1"/>
  <c r="B15" i="22" s="1"/>
  <c r="EO10" i="7"/>
  <c r="EO50" i="7"/>
  <c r="EO42" i="7"/>
  <c r="EO34" i="7"/>
  <c r="EO26" i="7"/>
  <c r="EO18" i="7"/>
  <c r="EO57" i="7"/>
  <c r="EO49" i="7"/>
  <c r="EO41" i="7"/>
  <c r="EO33" i="7"/>
  <c r="EO25" i="7"/>
  <c r="EO17" i="7"/>
  <c r="B28" i="21" a="1"/>
  <c r="B28" i="21" s="1"/>
  <c r="B22" i="17" a="1"/>
  <c r="B22" i="17" s="1"/>
  <c r="EO56" i="7"/>
  <c r="EO48" i="7"/>
  <c r="EO40" i="7"/>
  <c r="EO32" i="7"/>
  <c r="EO24" i="7"/>
  <c r="EO16" i="7"/>
  <c r="B27" i="21" a="1"/>
  <c r="B27" i="21" s="1"/>
  <c r="B39" i="21" a="1"/>
  <c r="B39" i="21" s="1"/>
  <c r="B25" i="23" a="1"/>
  <c r="B25" i="23" s="1"/>
  <c r="B24" i="24" a="1"/>
  <c r="B24" i="24" s="1"/>
  <c r="EO55" i="7"/>
  <c r="EO47" i="7"/>
  <c r="EO39" i="7"/>
  <c r="EO31" i="7"/>
  <c r="EO23" i="7"/>
  <c r="B21" i="21" a="1"/>
  <c r="B21" i="21" s="1"/>
  <c r="B38" i="21" a="1"/>
  <c r="B38" i="21" s="1"/>
  <c r="B52" i="17" a="1"/>
  <c r="B52" i="17" s="1"/>
  <c r="EO54" i="7"/>
  <c r="EO46" i="7"/>
  <c r="EO38" i="7"/>
  <c r="EO30" i="7"/>
  <c r="EO22" i="7"/>
  <c r="B50" i="22" a="1"/>
  <c r="B50" i="22" s="1"/>
  <c r="B53" i="23" a="1"/>
  <c r="B53" i="23" s="1"/>
  <c r="B17" i="24" a="1"/>
  <c r="B17" i="24" s="1"/>
  <c r="B40" i="25" a="1"/>
  <c r="B40" i="25" s="1"/>
  <c r="B26" i="21" a="1"/>
  <c r="B26" i="21" s="1"/>
  <c r="B8" i="17" a="1"/>
  <c r="B8" i="17" s="1"/>
  <c r="B35" i="25" a="1"/>
  <c r="B35" i="25" s="1"/>
  <c r="B24" i="21" a="1"/>
  <c r="B24" i="21" s="1"/>
  <c r="B45" i="17" a="1"/>
  <c r="B45" i="17" s="1"/>
  <c r="B26" i="23" a="1"/>
  <c r="B26" i="23" s="1"/>
  <c r="B27" i="25" a="1"/>
  <c r="B27" i="25" s="1"/>
  <c r="B22" i="21" a="1"/>
  <c r="B22" i="21" s="1"/>
  <c r="B8" i="21" a="1"/>
  <c r="B8" i="21" s="1"/>
  <c r="B45" i="21" a="1"/>
  <c r="B45" i="21" s="1"/>
  <c r="B26" i="22" a="1"/>
  <c r="B26" i="22" s="1"/>
  <c r="B52" i="24" a="1"/>
  <c r="B52" i="24" s="1"/>
  <c r="B28" i="17" a="1"/>
  <c r="B28" i="17" s="1"/>
  <c r="B45" i="24" a="1"/>
  <c r="B45" i="24" s="1"/>
  <c r="B54" i="25" a="1"/>
  <c r="B54" i="25" s="1"/>
  <c r="B16" i="21" a="1"/>
  <c r="B16" i="21" s="1"/>
  <c r="B53" i="17" a="1"/>
  <c r="B53" i="17" s="1"/>
  <c r="B28" i="22" a="1"/>
  <c r="B28" i="22" s="1"/>
  <c r="B24" i="23" a="1"/>
  <c r="B24" i="23" s="1"/>
  <c r="B16" i="24" a="1"/>
  <c r="B16" i="24" s="1"/>
  <c r="B15" i="21" a="1"/>
  <c r="B15" i="21" s="1"/>
  <c r="B53" i="21" a="1"/>
  <c r="B53" i="21" s="1"/>
  <c r="B40" i="21" a="1"/>
  <c r="B40" i="21" s="1"/>
  <c r="B40" i="23" a="1"/>
  <c r="B40" i="23" s="1"/>
  <c r="B17" i="23" a="1"/>
  <c r="B17" i="23" s="1"/>
  <c r="B40" i="24" a="1"/>
  <c r="B40" i="24" s="1"/>
  <c r="B24" i="25" a="1"/>
  <c r="B24" i="25" s="1"/>
  <c r="B24" i="22" a="1"/>
  <c r="B24" i="22" s="1"/>
  <c r="B16" i="23" a="1"/>
  <c r="B16" i="23" s="1"/>
  <c r="B39" i="24" a="1"/>
  <c r="B39" i="24" s="1"/>
  <c r="B13" i="24" a="1"/>
  <c r="B13" i="24" s="1"/>
  <c r="B22" i="25" a="1"/>
  <c r="B22" i="25" s="1"/>
  <c r="B14" i="21" a="1"/>
  <c r="B14" i="21" s="1"/>
  <c r="B16" i="17" a="1"/>
  <c r="B16" i="17" s="1"/>
  <c r="B27" i="17" a="1"/>
  <c r="B27" i="17" s="1"/>
  <c r="B46" i="17" a="1"/>
  <c r="B46" i="17" s="1"/>
  <c r="B15" i="23" a="1"/>
  <c r="B15" i="23" s="1"/>
  <c r="B45" i="23" a="1"/>
  <c r="B45" i="23" s="1"/>
  <c r="B35" i="24" a="1"/>
  <c r="B35" i="24" s="1"/>
  <c r="B46" i="25" a="1"/>
  <c r="B46" i="25" s="1"/>
  <c r="B16" i="25" a="1"/>
  <c r="B16" i="25" s="1"/>
  <c r="B39" i="22" a="1"/>
  <c r="B39" i="22" s="1"/>
  <c r="B53" i="22" a="1"/>
  <c r="B53" i="22" s="1"/>
  <c r="B28" i="24" a="1"/>
  <c r="B28" i="24" s="1"/>
  <c r="B38" i="22" a="1"/>
  <c r="B38" i="22" s="1"/>
  <c r="B51" i="22" a="1"/>
  <c r="B51" i="22" s="1"/>
  <c r="B28" i="23" a="1"/>
  <c r="B28" i="23" s="1"/>
  <c r="B53" i="24" a="1"/>
  <c r="B53" i="24" s="1"/>
  <c r="B26" i="24" a="1"/>
  <c r="B26" i="24" s="1"/>
  <c r="B41" i="25" a="1"/>
  <c r="B41" i="25" s="1"/>
  <c r="B25" i="22" a="1"/>
  <c r="B25" i="22" s="1"/>
  <c r="B12" i="22" a="1"/>
  <c r="B12" i="22" s="1"/>
  <c r="B41" i="24" a="1"/>
  <c r="B41" i="24" s="1"/>
  <c r="B17" i="21" a="1"/>
  <c r="B17" i="21" s="1"/>
  <c r="B37" i="21" a="1"/>
  <c r="B37" i="21" s="1"/>
  <c r="B18" i="17" a="1"/>
  <c r="B18" i="17" s="1"/>
  <c r="B33" i="17" a="1"/>
  <c r="B33" i="17" s="1"/>
  <c r="B46" i="22" a="1"/>
  <c r="B46" i="22" s="1"/>
  <c r="B10" i="23" a="1"/>
  <c r="B10" i="23" s="1"/>
  <c r="B56" i="21" a="1"/>
  <c r="B56" i="21" s="1"/>
  <c r="B47" i="21" a="1"/>
  <c r="B47" i="21" s="1"/>
  <c r="B17" i="17" a="1"/>
  <c r="B17" i="17" s="1"/>
  <c r="B21" i="17" a="1"/>
  <c r="B21" i="17" s="1"/>
  <c r="B10" i="22" a="1"/>
  <c r="B10" i="22" s="1"/>
  <c r="B9" i="23" a="1"/>
  <c r="B9" i="23" s="1"/>
  <c r="B54" i="21" a="1"/>
  <c r="B54" i="21" s="1"/>
  <c r="B15" i="17" a="1"/>
  <c r="B15" i="17" s="1"/>
  <c r="B29" i="17" a="1"/>
  <c r="B29" i="17" s="1"/>
  <c r="B54" i="17" a="1"/>
  <c r="B54" i="17" s="1"/>
  <c r="B42" i="17" a="1"/>
  <c r="B42" i="17" s="1"/>
  <c r="B17" i="22" a="1"/>
  <c r="B17" i="22" s="1"/>
  <c r="B42" i="23" a="1"/>
  <c r="B42" i="23" s="1"/>
  <c r="B15" i="25" a="1"/>
  <c r="B15" i="25" s="1"/>
  <c r="AJ57" i="7"/>
  <c r="B43" i="24" a="1"/>
  <c r="B43" i="24" s="1"/>
  <c r="B54" i="24" a="1"/>
  <c r="B54" i="24" s="1"/>
  <c r="AJ16" i="7"/>
  <c r="B29" i="25" a="1"/>
  <c r="B29" i="25" s="1"/>
  <c r="B8" i="25" a="1"/>
  <c r="B8" i="25" s="1"/>
  <c r="AA6" i="7"/>
  <c r="B29" i="24" a="1"/>
  <c r="B29" i="24" s="1"/>
  <c r="B34" i="21" a="1"/>
  <c r="B34" i="21" s="1"/>
  <c r="B23" i="21" a="1"/>
  <c r="B23" i="21" s="1"/>
  <c r="B23" i="17" a="1"/>
  <c r="B23" i="17" s="1"/>
  <c r="B34" i="22" a="1"/>
  <c r="B34" i="22" s="1"/>
  <c r="B22" i="23" a="1"/>
  <c r="B22" i="23" s="1"/>
  <c r="B23" i="24" a="1"/>
  <c r="B23" i="24" s="1"/>
  <c r="B14" i="25" a="1"/>
  <c r="B14" i="25" s="1"/>
  <c r="CN54" i="7"/>
  <c r="H53" i="25" s="1" a="1"/>
  <c r="H53" i="25" s="1"/>
  <c r="CN15" i="7"/>
  <c r="H14" i="25" s="1" a="1"/>
  <c r="H14" i="25" s="1"/>
  <c r="H29" i="25" a="1"/>
  <c r="H29" i="25" s="1"/>
  <c r="H21" i="25" a="1"/>
  <c r="H21" i="25" s="1"/>
  <c r="H14" i="24" a="1"/>
  <c r="H14" i="24" s="1"/>
  <c r="CN45" i="7"/>
  <c r="H44" i="25" s="1" a="1"/>
  <c r="H44" i="25" s="1"/>
  <c r="CN37" i="7"/>
  <c r="H36" i="25" s="1" a="1"/>
  <c r="H36" i="25" s="1"/>
  <c r="H28" i="25" a="1"/>
  <c r="H28" i="25" s="1"/>
  <c r="H20" i="25" a="1"/>
  <c r="H20" i="25" s="1"/>
  <c r="CN52" i="7"/>
  <c r="H51" i="25" s="1" a="1"/>
  <c r="H51" i="25" s="1"/>
  <c r="CN36" i="7"/>
  <c r="H35" i="25" s="1" a="1"/>
  <c r="H35" i="25" s="1"/>
  <c r="CN13" i="7"/>
  <c r="H12" i="25" s="1" a="1"/>
  <c r="H12" i="25" s="1"/>
  <c r="H27" i="25" a="1"/>
  <c r="H27" i="25" s="1"/>
  <c r="H19" i="25" a="1"/>
  <c r="H19" i="25" s="1"/>
  <c r="B13" i="17" a="1"/>
  <c r="B13" i="17" s="1"/>
  <c r="B27" i="22" a="1"/>
  <c r="B27" i="22" s="1"/>
  <c r="B27" i="23" a="1"/>
  <c r="B27" i="23" s="1"/>
  <c r="B51" i="24" a="1"/>
  <c r="B51" i="24" s="1"/>
  <c r="B23" i="25" a="1"/>
  <c r="B23" i="25" s="1"/>
  <c r="FE57" i="7" a="1"/>
  <c r="FE57" i="7" s="1"/>
  <c r="CN51" i="7"/>
  <c r="H50" i="25" s="1" a="1"/>
  <c r="H50" i="25" s="1"/>
  <c r="CN43" i="7"/>
  <c r="H42" i="25" s="1" a="1"/>
  <c r="H42" i="25" s="1"/>
  <c r="CN35" i="7"/>
  <c r="H34" i="25" s="1" a="1"/>
  <c r="H34" i="25" s="1"/>
  <c r="CN19" i="7"/>
  <c r="H18" i="25" s="1" a="1"/>
  <c r="H18" i="25" s="1"/>
  <c r="CN12" i="7"/>
  <c r="H11" i="25" s="1" a="1"/>
  <c r="H11" i="25" s="1"/>
  <c r="CN8" i="7"/>
  <c r="H7" i="25" s="1" a="1"/>
  <c r="H7" i="25" s="1"/>
  <c r="CN42" i="7"/>
  <c r="H41" i="25" s="1" a="1"/>
  <c r="H41" i="25" s="1"/>
  <c r="CN34" i="7"/>
  <c r="H33" i="25" s="1" a="1"/>
  <c r="H33" i="25" s="1"/>
  <c r="H17" i="25" a="1"/>
  <c r="H17" i="25" s="1"/>
  <c r="H10" i="25" a="1"/>
  <c r="H10" i="25" s="1"/>
  <c r="B52" i="22" a="1"/>
  <c r="B52" i="22" s="1"/>
  <c r="B39" i="23" a="1"/>
  <c r="B39" i="23" s="1"/>
  <c r="B14" i="24" a="1"/>
  <c r="B14" i="24" s="1"/>
  <c r="B39" i="25" a="1"/>
  <c r="B39" i="25" s="1"/>
  <c r="CN49" i="7"/>
  <c r="H48" i="25" s="1" a="1"/>
  <c r="H48" i="25" s="1"/>
  <c r="CN33" i="7"/>
  <c r="H32" i="25" s="1" a="1"/>
  <c r="H32" i="25" s="1"/>
  <c r="CN10" i="7"/>
  <c r="H9" i="25" s="1" a="1"/>
  <c r="H9" i="25" s="1"/>
  <c r="H13" i="25" a="1"/>
  <c r="H13" i="25" s="1"/>
  <c r="H43" i="25" a="1"/>
  <c r="H43" i="25" s="1"/>
  <c r="H52" i="25" a="1"/>
  <c r="H52" i="25" s="1"/>
  <c r="H26" i="25" a="1"/>
  <c r="H26" i="25" s="1"/>
  <c r="H40" i="25" a="1"/>
  <c r="H40" i="25" s="1"/>
  <c r="H49" i="25" a="1"/>
  <c r="H49" i="25" s="1"/>
  <c r="H16" i="25" a="1"/>
  <c r="H16" i="25" s="1"/>
  <c r="H25" i="25" a="1"/>
  <c r="H25" i="25" s="1"/>
  <c r="H56" i="25" a="1"/>
  <c r="H56" i="25" s="1"/>
  <c r="CN56" i="7"/>
  <c r="H55" i="25" s="1" a="1"/>
  <c r="H55" i="25" s="1"/>
  <c r="CN48" i="7"/>
  <c r="H47" i="25" s="1" a="1"/>
  <c r="H47" i="25" s="1"/>
  <c r="CN40" i="7"/>
  <c r="H39" i="25" s="1" a="1"/>
  <c r="H39" i="25" s="1"/>
  <c r="CN9" i="7"/>
  <c r="H8" i="25" s="1" a="1"/>
  <c r="H8" i="25" s="1"/>
  <c r="H15" i="25" a="1"/>
  <c r="H15" i="25" s="1"/>
  <c r="H24" i="25" a="1"/>
  <c r="H24" i="25" s="1"/>
  <c r="H31" i="25" a="1"/>
  <c r="H31" i="25" s="1"/>
  <c r="H23" i="25" a="1"/>
  <c r="H23" i="25" s="1"/>
  <c r="H45" i="25" a="1"/>
  <c r="H45" i="25" s="1"/>
  <c r="H37" i="25" a="1"/>
  <c r="H37" i="25" s="1"/>
  <c r="B35" i="21" a="1"/>
  <c r="B35" i="21" s="1"/>
  <c r="B35" i="17" a="1"/>
  <c r="B35" i="17" s="1"/>
  <c r="B38" i="17" a="1"/>
  <c r="B38" i="17" s="1"/>
  <c r="B35" i="22" a="1"/>
  <c r="B35" i="22" s="1"/>
  <c r="B23" i="22" a="1"/>
  <c r="B23" i="22" s="1"/>
  <c r="AJ22" i="7"/>
  <c r="CN55" i="7"/>
  <c r="H54" i="25" s="1" a="1"/>
  <c r="H54" i="25" s="1"/>
  <c r="CN47" i="7"/>
  <c r="H46" i="25" s="1" a="1"/>
  <c r="H46" i="25" s="1"/>
  <c r="CN39" i="7"/>
  <c r="H38" i="25" s="1" a="1"/>
  <c r="H38" i="25" s="1"/>
  <c r="CN31" i="7"/>
  <c r="H30" i="25" s="1" a="1"/>
  <c r="H30" i="25" s="1"/>
  <c r="CN23" i="7"/>
  <c r="H22" i="25" s="1" a="1"/>
  <c r="H22" i="25" s="1"/>
  <c r="H52" i="24" a="1"/>
  <c r="H52" i="24" s="1"/>
  <c r="H44" i="24" a="1"/>
  <c r="H44" i="24" s="1"/>
  <c r="H36" i="24" a="1"/>
  <c r="H36" i="24" s="1"/>
  <c r="H28" i="24" a="1"/>
  <c r="H28" i="24" s="1"/>
  <c r="H51" i="24" a="1"/>
  <c r="H51" i="24" s="1"/>
  <c r="H43" i="24" a="1"/>
  <c r="H43" i="24" s="1"/>
  <c r="H35" i="24" a="1"/>
  <c r="H35" i="24" s="1"/>
  <c r="H27" i="24" a="1"/>
  <c r="H27" i="24" s="1"/>
  <c r="H19" i="24" a="1"/>
  <c r="H19" i="24" s="1"/>
  <c r="H12" i="24" a="1"/>
  <c r="H12" i="24" s="1"/>
  <c r="B13" i="21" a="1"/>
  <c r="B13" i="21" s="1"/>
  <c r="B41" i="22" a="1"/>
  <c r="B41" i="22" s="1"/>
  <c r="B30" i="22" a="1"/>
  <c r="B30" i="22" s="1"/>
  <c r="B22" i="22" a="1"/>
  <c r="B22" i="22" s="1"/>
  <c r="B13" i="22" a="1"/>
  <c r="B13" i="22" s="1"/>
  <c r="B54" i="22" a="1"/>
  <c r="B54" i="22" s="1"/>
  <c r="B34" i="23" a="1"/>
  <c r="B34" i="23" s="1"/>
  <c r="B13" i="23" a="1"/>
  <c r="B13" i="23" s="1"/>
  <c r="B8" i="24" a="1"/>
  <c r="B8" i="24" s="1"/>
  <c r="H50" i="24" a="1"/>
  <c r="H50" i="24" s="1"/>
  <c r="H42" i="24" a="1"/>
  <c r="H42" i="24" s="1"/>
  <c r="H34" i="24" a="1"/>
  <c r="H34" i="24" s="1"/>
  <c r="H26" i="24" a="1"/>
  <c r="H26" i="24" s="1"/>
  <c r="H18" i="24" a="1"/>
  <c r="H18" i="24" s="1"/>
  <c r="H11" i="24" a="1"/>
  <c r="H11" i="24" s="1"/>
  <c r="B41" i="21" a="1"/>
  <c r="B41" i="21" s="1"/>
  <c r="B41" i="17" a="1"/>
  <c r="B41" i="17" s="1"/>
  <c r="B29" i="22" a="1"/>
  <c r="B29" i="22" s="1"/>
  <c r="B7" i="22" a="1"/>
  <c r="B7" i="22" s="1"/>
  <c r="H7" i="24" a="1"/>
  <c r="H7" i="24" s="1"/>
  <c r="H49" i="24" a="1"/>
  <c r="H49" i="24" s="1"/>
  <c r="H41" i="24" a="1"/>
  <c r="H41" i="24" s="1"/>
  <c r="H33" i="24" a="1"/>
  <c r="H33" i="24" s="1"/>
  <c r="H25" i="24" a="1"/>
  <c r="H25" i="24" s="1"/>
  <c r="H17" i="24" a="1"/>
  <c r="H17" i="24" s="1"/>
  <c r="H10" i="24" a="1"/>
  <c r="H10" i="24" s="1"/>
  <c r="H56" i="24" a="1"/>
  <c r="H56" i="24" s="1"/>
  <c r="H48" i="24" a="1"/>
  <c r="H48" i="24" s="1"/>
  <c r="H40" i="24" a="1"/>
  <c r="H40" i="24" s="1"/>
  <c r="H32" i="24" a="1"/>
  <c r="H32" i="24" s="1"/>
  <c r="H16" i="24" a="1"/>
  <c r="H16" i="24" s="1"/>
  <c r="B30" i="17" a="1"/>
  <c r="B30" i="17" s="1"/>
  <c r="B47" i="17" a="1"/>
  <c r="B47" i="17" s="1"/>
  <c r="B7" i="17" a="1"/>
  <c r="B7" i="17" s="1"/>
  <c r="B18" i="22" a="1"/>
  <c r="B18" i="22" s="1"/>
  <c r="B18" i="23" a="1"/>
  <c r="B18" i="23" s="1"/>
  <c r="B8" i="23" a="1"/>
  <c r="B8" i="23" s="1"/>
  <c r="B46" i="23" a="1"/>
  <c r="B46" i="23" s="1"/>
  <c r="B34" i="24" a="1"/>
  <c r="B34" i="24" s="1"/>
  <c r="B7" i="24" a="1"/>
  <c r="B7" i="24" s="1"/>
  <c r="H55" i="24" a="1"/>
  <c r="H55" i="24" s="1"/>
  <c r="H47" i="24" a="1"/>
  <c r="H47" i="24" s="1"/>
  <c r="H39" i="24" a="1"/>
  <c r="H39" i="24" s="1"/>
  <c r="H31" i="24" a="1"/>
  <c r="H31" i="24" s="1"/>
  <c r="H15" i="24" a="1"/>
  <c r="H15" i="24" s="1"/>
  <c r="H8" i="24" a="1"/>
  <c r="H8" i="24" s="1"/>
  <c r="H54" i="24" a="1"/>
  <c r="H54" i="24" s="1"/>
  <c r="H46" i="24" a="1"/>
  <c r="H46" i="24" s="1"/>
  <c r="H38" i="24" a="1"/>
  <c r="H38" i="24" s="1"/>
  <c r="H22" i="24" a="1"/>
  <c r="H22" i="24" s="1"/>
  <c r="B9" i="17" a="1"/>
  <c r="B9" i="17" s="1"/>
  <c r="B55" i="17" a="1"/>
  <c r="B55" i="17" s="1"/>
  <c r="B47" i="22" a="1"/>
  <c r="B47" i="22" s="1"/>
  <c r="H45" i="24" a="1"/>
  <c r="H45" i="24" s="1"/>
  <c r="H37" i="24" a="1"/>
  <c r="H37" i="24" s="1"/>
  <c r="H29" i="24" a="1"/>
  <c r="H29" i="24" s="1"/>
  <c r="H21" i="24" a="1"/>
  <c r="H21" i="24" s="1"/>
  <c r="B37" i="25" a="1"/>
  <c r="B37" i="25" s="1"/>
  <c r="FE20" i="7" a="1"/>
  <c r="FE20" i="7" s="1"/>
  <c r="B33" i="24" a="1"/>
  <c r="B33" i="24" s="1"/>
  <c r="B21" i="24" a="1"/>
  <c r="B21" i="24" s="1"/>
  <c r="B25" i="25" a="1"/>
  <c r="B25" i="25" s="1"/>
  <c r="AJ38" i="7"/>
  <c r="AJ45" i="7"/>
  <c r="AJ52" i="7"/>
  <c r="AJ54" i="7"/>
  <c r="D53" i="20" s="1" a="1"/>
  <c r="D53" i="20" s="1"/>
  <c r="FE36" i="7" a="1"/>
  <c r="FE36" i="7" s="1"/>
  <c r="B20" i="24" a="1"/>
  <c r="B20" i="24" s="1"/>
  <c r="B12" i="24" a="1"/>
  <c r="B12" i="24" s="1"/>
  <c r="B33" i="25" a="1"/>
  <c r="B33" i="25" s="1"/>
  <c r="AJ24" i="7"/>
  <c r="AJ32" i="7"/>
  <c r="B31" i="23" a="1"/>
  <c r="B31" i="23" s="1"/>
  <c r="B55" i="23" a="1"/>
  <c r="B55" i="23" s="1"/>
  <c r="B18" i="24" a="1"/>
  <c r="B18" i="24" s="1"/>
  <c r="B11" i="24" a="1"/>
  <c r="B11" i="24" s="1"/>
  <c r="B32" i="25" a="1"/>
  <c r="B32" i="25" s="1"/>
  <c r="B11" i="21" a="1"/>
  <c r="B11" i="21" s="1"/>
  <c r="B44" i="21" a="1"/>
  <c r="B44" i="21" s="1"/>
  <c r="B36" i="21" a="1"/>
  <c r="B36" i="21" s="1"/>
  <c r="B10" i="17" a="1"/>
  <c r="B10" i="17" s="1"/>
  <c r="B49" i="17" a="1"/>
  <c r="B49" i="17" s="1"/>
  <c r="B32" i="22" a="1"/>
  <c r="B32" i="22" s="1"/>
  <c r="B30" i="23" a="1"/>
  <c r="B30" i="23" s="1"/>
  <c r="B44" i="23" a="1"/>
  <c r="B44" i="23" s="1"/>
  <c r="B50" i="24" a="1"/>
  <c r="B50" i="24" s="1"/>
  <c r="B10" i="24" a="1"/>
  <c r="B10" i="24" s="1"/>
  <c r="B31" i="25" a="1"/>
  <c r="B31" i="25" s="1"/>
  <c r="B12" i="25" a="1"/>
  <c r="B12" i="25" s="1"/>
  <c r="B25" i="21" a="1"/>
  <c r="B25" i="21" s="1"/>
  <c r="B10" i="21" a="1"/>
  <c r="B10" i="21" s="1"/>
  <c r="B43" i="21" a="1"/>
  <c r="B43" i="21" s="1"/>
  <c r="B56" i="17" a="1"/>
  <c r="B56" i="17" s="1"/>
  <c r="B48" i="17" a="1"/>
  <c r="B48" i="17" s="1"/>
  <c r="B31" i="22" a="1"/>
  <c r="B31" i="22" s="1"/>
  <c r="B20" i="23" a="1"/>
  <c r="B20" i="23" s="1"/>
  <c r="B43" i="23" a="1"/>
  <c r="B43" i="23" s="1"/>
  <c r="B47" i="24" a="1"/>
  <c r="B47" i="24" s="1"/>
  <c r="B37" i="24" a="1"/>
  <c r="B37" i="24" s="1"/>
  <c r="B9" i="24" a="1"/>
  <c r="B9" i="24" s="1"/>
  <c r="B30" i="25" a="1"/>
  <c r="B30" i="25" s="1"/>
  <c r="B21" i="25" a="1"/>
  <c r="B21" i="25" s="1"/>
  <c r="BQ18" i="7"/>
  <c r="E17" i="24" s="1" a="1"/>
  <c r="E17" i="24" s="1"/>
  <c r="B32" i="21" a="1"/>
  <c r="B32" i="21" s="1"/>
  <c r="B36" i="23" a="1"/>
  <c r="B36" i="23" s="1"/>
  <c r="B19" i="23" a="1"/>
  <c r="B19" i="23" s="1"/>
  <c r="B11" i="23" a="1"/>
  <c r="B11" i="23" s="1"/>
  <c r="B36" i="24" a="1"/>
  <c r="B36" i="24" s="1"/>
  <c r="BQ13" i="7"/>
  <c r="E12" i="24" s="1" a="1"/>
  <c r="E12" i="24" s="1"/>
  <c r="AJ21" i="7"/>
  <c r="FE56" i="7" a="1"/>
  <c r="FE56" i="7" s="1"/>
  <c r="FE52" i="7" a="1"/>
  <c r="FE52" i="7" s="1"/>
  <c r="FE11" i="7" a="1"/>
  <c r="FE11" i="7" s="1"/>
  <c r="FE21" i="7" a="1"/>
  <c r="FE21" i="7" s="1"/>
  <c r="FE26" i="7" a="1"/>
  <c r="FE26" i="7" s="1"/>
  <c r="FE31" i="7" a="1"/>
  <c r="FE31" i="7" s="1"/>
  <c r="FE37" i="7" a="1"/>
  <c r="FE37" i="7" s="1"/>
  <c r="FE42" i="7" a="1"/>
  <c r="FE42" i="7" s="1"/>
  <c r="FE47" i="7" a="1"/>
  <c r="FE47" i="7" s="1"/>
  <c r="FE53" i="7" a="1"/>
  <c r="FE53" i="7" s="1"/>
  <c r="FE16" i="7" a="1"/>
  <c r="FE16" i="7" s="1"/>
  <c r="FE32" i="7" a="1"/>
  <c r="FE32" i="7" s="1"/>
  <c r="FE48" i="7" a="1"/>
  <c r="FE48" i="7" s="1"/>
  <c r="B42" i="24" a="1"/>
  <c r="B42" i="24" s="1"/>
  <c r="B56" i="25" a="1"/>
  <c r="B56" i="25" s="1"/>
  <c r="B38" i="25" a="1"/>
  <c r="B38" i="25" s="1"/>
  <c r="AJ55" i="7"/>
  <c r="FE12" i="7" a="1"/>
  <c r="FE12" i="7" s="1"/>
  <c r="FE17" i="7" a="1"/>
  <c r="FE17" i="7" s="1"/>
  <c r="FE22" i="7" a="1"/>
  <c r="FE22" i="7" s="1"/>
  <c r="FE27" i="7" a="1"/>
  <c r="FE27" i="7" s="1"/>
  <c r="FE33" i="7" a="1"/>
  <c r="FE33" i="7" s="1"/>
  <c r="FE38" i="7" a="1"/>
  <c r="FE38" i="7" s="1"/>
  <c r="FE43" i="7" a="1"/>
  <c r="FE43" i="7" s="1"/>
  <c r="FE49" i="7" a="1"/>
  <c r="FE49" i="7" s="1"/>
  <c r="FE54" i="7" a="1"/>
  <c r="FE54" i="7" s="1"/>
  <c r="B49" i="24" a="1"/>
  <c r="B49" i="24" s="1"/>
  <c r="B19" i="25" a="1"/>
  <c r="B19" i="25" s="1"/>
  <c r="BQ38" i="7"/>
  <c r="E37" i="24" s="1" a="1"/>
  <c r="E37" i="24" s="1"/>
  <c r="FE13" i="7" a="1"/>
  <c r="FE13" i="7" s="1"/>
  <c r="FE28" i="7" a="1"/>
  <c r="FE28" i="7" s="1"/>
  <c r="FE44" i="7" a="1"/>
  <c r="FE44" i="7" s="1"/>
  <c r="B56" i="24" a="1"/>
  <c r="B56" i="24" s="1"/>
  <c r="B48" i="24" a="1"/>
  <c r="B48" i="24" s="1"/>
  <c r="BQ50" i="7"/>
  <c r="E49" i="24" s="1" a="1"/>
  <c r="E49" i="24" s="1"/>
  <c r="FE8" i="7" a="1"/>
  <c r="FE8" i="7" s="1"/>
  <c r="FE14" i="7" a="1"/>
  <c r="FE14" i="7" s="1"/>
  <c r="FE18" i="7" a="1"/>
  <c r="FE18" i="7" s="1"/>
  <c r="FE23" i="7" a="1"/>
  <c r="FE23" i="7" s="1"/>
  <c r="FE29" i="7" a="1"/>
  <c r="FE29" i="7" s="1"/>
  <c r="FE34" i="7" a="1"/>
  <c r="FE34" i="7" s="1"/>
  <c r="FE39" i="7" a="1"/>
  <c r="FE39" i="7" s="1"/>
  <c r="FE45" i="7" a="1"/>
  <c r="FE45" i="7" s="1"/>
  <c r="FE50" i="7" a="1"/>
  <c r="FE50" i="7" s="1"/>
  <c r="FE55" i="7" a="1"/>
  <c r="FE55" i="7" s="1"/>
  <c r="FE9" i="7" a="1"/>
  <c r="FE9" i="7" s="1"/>
  <c r="FE24" i="7" a="1"/>
  <c r="FE24" i="7" s="1"/>
  <c r="FE40" i="7" a="1"/>
  <c r="FE40" i="7" s="1"/>
  <c r="FE10" i="7" a="1"/>
  <c r="FE10" i="7" s="1"/>
  <c r="FE15" i="7" a="1"/>
  <c r="FE15" i="7" s="1"/>
  <c r="FE19" i="7" a="1"/>
  <c r="FE19" i="7" s="1"/>
  <c r="FE25" i="7" a="1"/>
  <c r="FE25" i="7" s="1"/>
  <c r="FE30" i="7" a="1"/>
  <c r="FE30" i="7" s="1"/>
  <c r="FE35" i="7" a="1"/>
  <c r="FE35" i="7" s="1"/>
  <c r="FE41" i="7" a="1"/>
  <c r="FE41" i="7" s="1"/>
  <c r="FE46" i="7" a="1"/>
  <c r="FE46" i="7" s="1"/>
  <c r="FE51" i="7" a="1"/>
  <c r="FE51" i="7" s="1"/>
  <c r="AJ47" i="7"/>
  <c r="D46" i="20" s="1" a="1"/>
  <c r="D46" i="20" s="1"/>
  <c r="D11" i="20" a="1"/>
  <c r="D11" i="20" s="1"/>
  <c r="AJ46" i="7"/>
  <c r="D45" i="20" s="1" a="1"/>
  <c r="D45" i="20" s="1"/>
  <c r="AJ25" i="7"/>
  <c r="D24" i="20" s="1" a="1"/>
  <c r="D24" i="20" s="1"/>
  <c r="AJ56" i="7"/>
  <c r="D55" i="20" s="1" a="1"/>
  <c r="D55" i="20" s="1"/>
  <c r="AJ40" i="7"/>
  <c r="D39" i="20" s="1" a="1"/>
  <c r="D39" i="20" s="1"/>
  <c r="AJ53" i="7"/>
  <c r="D52" i="20" s="1" a="1"/>
  <c r="D52" i="20" s="1"/>
  <c r="AJ17" i="7"/>
  <c r="AJ29" i="7"/>
  <c r="AJ6" i="7"/>
  <c r="AJ39" i="7"/>
  <c r="D38" i="20" s="1" a="1"/>
  <c r="D38" i="20" s="1"/>
  <c r="B49" i="22" a="1"/>
  <c r="B49" i="22" s="1"/>
  <c r="B49" i="23" a="1"/>
  <c r="B49" i="23" s="1"/>
  <c r="BQ26" i="7"/>
  <c r="E25" i="24" s="1" a="1"/>
  <c r="E25" i="24" s="1"/>
  <c r="AJ23" i="7"/>
  <c r="AJ37" i="7"/>
  <c r="D36" i="20" s="1" a="1"/>
  <c r="D36" i="20" s="1"/>
  <c r="AJ43" i="7"/>
  <c r="D7" i="20" a="1"/>
  <c r="D7" i="20" s="1"/>
  <c r="AJ36" i="7"/>
  <c r="B14" i="17" a="1"/>
  <c r="B14" i="17" s="1"/>
  <c r="B34" i="17" a="1"/>
  <c r="B34" i="17" s="1"/>
  <c r="B26" i="17" a="1"/>
  <c r="B26" i="17" s="1"/>
  <c r="B37" i="22" a="1"/>
  <c r="B37" i="22" s="1"/>
  <c r="B21" i="22" a="1"/>
  <c r="B21" i="22" s="1"/>
  <c r="B14" i="22" a="1"/>
  <c r="B14" i="22" s="1"/>
  <c r="B56" i="22" a="1"/>
  <c r="B56" i="22" s="1"/>
  <c r="B48" i="22" a="1"/>
  <c r="B48" i="22" s="1"/>
  <c r="BQ51" i="7"/>
  <c r="E50" i="24" s="1" a="1"/>
  <c r="E50" i="24" s="1"/>
  <c r="AJ31" i="7"/>
  <c r="AJ44" i="7"/>
  <c r="AJ18" i="7"/>
  <c r="D17" i="20" s="1" a="1"/>
  <c r="D17" i="20" s="1"/>
  <c r="AJ30" i="7"/>
  <c r="D29" i="20" s="1" a="1"/>
  <c r="D29" i="20" s="1"/>
  <c r="D50" i="22" a="1"/>
  <c r="D50" i="22" s="1"/>
  <c r="D50" i="21" a="1"/>
  <c r="D50" i="21" s="1"/>
  <c r="BQ21" i="7"/>
  <c r="E20" i="24" s="1" a="1"/>
  <c r="E20" i="24" s="1"/>
  <c r="BQ39" i="7"/>
  <c r="E38" i="24" s="1" a="1"/>
  <c r="E38" i="24" s="1"/>
  <c r="BQ9" i="7"/>
  <c r="E8" i="24" s="1" a="1"/>
  <c r="E8" i="24" s="1"/>
  <c r="BQ45" i="7"/>
  <c r="E44" i="24" s="1" a="1"/>
  <c r="E44" i="24" s="1"/>
  <c r="BQ31" i="7"/>
  <c r="E30" i="24" s="1" a="1"/>
  <c r="E30" i="24" s="1"/>
  <c r="BQ47" i="7"/>
  <c r="E46" i="24" s="1" a="1"/>
  <c r="E46" i="24" s="1"/>
  <c r="AJ28" i="7"/>
  <c r="D27" i="20" s="1" a="1"/>
  <c r="D27" i="20" s="1"/>
  <c r="AJ20" i="7"/>
  <c r="D19" i="20" s="1" a="1"/>
  <c r="D19" i="20" s="1"/>
  <c r="AJ35" i="7"/>
  <c r="D34" i="20" s="1" a="1"/>
  <c r="D34" i="20" s="1"/>
  <c r="AJ50" i="7"/>
  <c r="D49" i="20" s="1" a="1"/>
  <c r="D49" i="20" s="1"/>
  <c r="AJ42" i="7"/>
  <c r="D41" i="20" s="1" a="1"/>
  <c r="D41" i="20" s="1"/>
  <c r="BQ43" i="7"/>
  <c r="E42" i="24" s="1" a="1"/>
  <c r="E42" i="24" s="1"/>
  <c r="AJ27" i="7"/>
  <c r="D26" i="20" s="1" a="1"/>
  <c r="D26" i="20" s="1"/>
  <c r="AJ19" i="7"/>
  <c r="D18" i="20" s="1" a="1"/>
  <c r="D18" i="20" s="1"/>
  <c r="AJ34" i="7"/>
  <c r="D33" i="20" s="1" a="1"/>
  <c r="D33" i="20" s="1"/>
  <c r="AJ49" i="7"/>
  <c r="D48" i="20" s="1" a="1"/>
  <c r="D48" i="20" s="1"/>
  <c r="BQ12" i="7"/>
  <c r="E11" i="24" s="1" a="1"/>
  <c r="E11" i="24" s="1"/>
  <c r="AJ26" i="7"/>
  <c r="AJ41" i="7"/>
  <c r="D40" i="20" s="1" a="1"/>
  <c r="D40" i="20" s="1"/>
  <c r="AJ33" i="7"/>
  <c r="D32" i="20" s="1" a="1"/>
  <c r="D32" i="20" s="1"/>
  <c r="AJ48" i="7"/>
  <c r="D47" i="20" s="1" a="1"/>
  <c r="D47" i="20" s="1"/>
  <c r="BQ19" i="7"/>
  <c r="E18" i="24" s="1" a="1"/>
  <c r="E18" i="24" s="1"/>
  <c r="BQ30" i="7"/>
  <c r="E29" i="24" s="1" a="1"/>
  <c r="E29" i="24" s="1"/>
  <c r="BQ55" i="7"/>
  <c r="E54" i="24" s="1" a="1"/>
  <c r="E54" i="24" s="1"/>
  <c r="AA49" i="7"/>
  <c r="BQ23" i="7"/>
  <c r="E22" i="24" s="1" a="1"/>
  <c r="E22" i="24" s="1"/>
  <c r="BQ35" i="7"/>
  <c r="E34" i="24" s="1" a="1"/>
  <c r="E34" i="24" s="1"/>
  <c r="BQ29" i="7"/>
  <c r="E28" i="24" s="1" a="1"/>
  <c r="E28" i="24" s="1"/>
  <c r="BQ22" i="7"/>
  <c r="E21" i="24" s="1" a="1"/>
  <c r="E21" i="24" s="1"/>
  <c r="BQ34" i="7"/>
  <c r="E33" i="24" s="1" a="1"/>
  <c r="E33" i="24" s="1"/>
  <c r="BQ42" i="7"/>
  <c r="E41" i="24" s="1" a="1"/>
  <c r="E41" i="24" s="1"/>
  <c r="AA52" i="7"/>
  <c r="BQ27" i="7"/>
  <c r="E26" i="24" s="1" a="1"/>
  <c r="E26" i="24" s="1"/>
  <c r="DE11" i="7" a="1"/>
  <c r="DE11" i="7" s="1"/>
  <c r="BQ25" i="7"/>
  <c r="E24" i="24" s="1" a="1"/>
  <c r="E24" i="24" s="1"/>
  <c r="BQ33" i="7"/>
  <c r="E32" i="24" s="1" a="1"/>
  <c r="E32" i="24" s="1"/>
  <c r="BQ54" i="7"/>
  <c r="BQ48" i="7"/>
  <c r="E47" i="24" s="1" a="1"/>
  <c r="E47" i="24" s="1"/>
  <c r="E7" i="24" a="1"/>
  <c r="E7" i="24" s="1"/>
  <c r="BQ11" i="7"/>
  <c r="E10" i="24" s="1" a="1"/>
  <c r="E10" i="24" s="1"/>
  <c r="BQ37" i="7"/>
  <c r="E36" i="24" s="1" a="1"/>
  <c r="E36" i="24" s="1"/>
  <c r="BQ46" i="7"/>
  <c r="E45" i="24" s="1" a="1"/>
  <c r="E45" i="24" s="1"/>
  <c r="BQ41" i="7"/>
  <c r="E40" i="24" s="1" a="1"/>
  <c r="E40" i="24" s="1"/>
  <c r="BQ52" i="7"/>
  <c r="E51" i="24" s="1" a="1"/>
  <c r="E51" i="24" s="1"/>
  <c r="BQ15" i="7"/>
  <c r="E14" i="24" s="1" a="1"/>
  <c r="E14" i="24" s="1"/>
  <c r="BQ17" i="7"/>
  <c r="E16" i="24" s="1" a="1"/>
  <c r="E16" i="24" s="1"/>
  <c r="BQ57" i="7"/>
  <c r="E56" i="24" s="1" a="1"/>
  <c r="E56" i="24" s="1"/>
  <c r="AA17" i="7"/>
  <c r="C16" i="20" s="1" a="1"/>
  <c r="C16" i="20" s="1"/>
  <c r="AA10" i="7"/>
  <c r="C9" i="20" s="1" a="1"/>
  <c r="C9" i="20" s="1"/>
  <c r="AA29" i="7"/>
  <c r="C28" i="20" s="1" a="1"/>
  <c r="C28" i="20" s="1"/>
  <c r="AA21" i="7"/>
  <c r="C20" i="20" s="1" a="1"/>
  <c r="C20" i="20" s="1"/>
  <c r="AA41" i="7"/>
  <c r="C40" i="20" s="1" a="1"/>
  <c r="C40" i="20" s="1"/>
  <c r="AA56" i="7"/>
  <c r="C55" i="20" s="1" a="1"/>
  <c r="C55" i="20" s="1"/>
  <c r="DE57" i="7" a="1"/>
  <c r="DE57" i="7" s="1"/>
  <c r="DE53" i="7" a="1"/>
  <c r="DE53" i="7" s="1"/>
  <c r="DE49" i="7" a="1"/>
  <c r="DE49" i="7" s="1"/>
  <c r="DE45" i="7" a="1"/>
  <c r="DE45" i="7" s="1"/>
  <c r="DE41" i="7" a="1"/>
  <c r="DE41" i="7" s="1"/>
  <c r="DE37" i="7" a="1"/>
  <c r="DE37" i="7" s="1"/>
  <c r="DE33" i="7" a="1"/>
  <c r="DE33" i="7" s="1"/>
  <c r="DE29" i="7" a="1"/>
  <c r="DE29" i="7" s="1"/>
  <c r="DE25" i="7" a="1"/>
  <c r="DE25" i="7" s="1"/>
  <c r="DE21" i="7" a="1"/>
  <c r="DE21" i="7" s="1"/>
  <c r="DE17" i="7" a="1"/>
  <c r="DE17" i="7" s="1"/>
  <c r="DE14" i="7" a="1"/>
  <c r="DE14" i="7" s="1"/>
  <c r="DE10" i="7" a="1"/>
  <c r="DE10" i="7" s="1"/>
  <c r="AA16" i="7"/>
  <c r="C15" i="20" s="1" a="1"/>
  <c r="C15" i="20" s="1"/>
  <c r="AA9" i="7"/>
  <c r="C8" i="20" s="1" a="1"/>
  <c r="C8" i="20" s="1"/>
  <c r="AA28" i="7"/>
  <c r="C27" i="20" s="1" a="1"/>
  <c r="C27" i="20" s="1"/>
  <c r="AA48" i="7"/>
  <c r="C47" i="20" s="1" a="1"/>
  <c r="C47" i="20" s="1"/>
  <c r="AA40" i="7"/>
  <c r="C39" i="20" s="1" a="1"/>
  <c r="C39" i="20" s="1"/>
  <c r="AA55" i="7"/>
  <c r="C54" i="20" s="1" a="1"/>
  <c r="C54" i="20" s="1"/>
  <c r="AA35" i="7"/>
  <c r="C34" i="20" s="1" a="1"/>
  <c r="C34" i="20" s="1"/>
  <c r="AA27" i="7"/>
  <c r="C26" i="20" s="1" a="1"/>
  <c r="C26" i="20" s="1"/>
  <c r="AA47" i="7"/>
  <c r="C46" i="20" s="1" a="1"/>
  <c r="C46" i="20" s="1"/>
  <c r="AA39" i="7"/>
  <c r="C38" i="20" s="1" a="1"/>
  <c r="C38" i="20" s="1"/>
  <c r="AA54" i="7"/>
  <c r="C53" i="20" s="1" a="1"/>
  <c r="C53" i="20" s="1"/>
  <c r="DE56" i="7" a="1"/>
  <c r="DE56" i="7" s="1"/>
  <c r="DE52" i="7" a="1"/>
  <c r="DE52" i="7" s="1"/>
  <c r="DE48" i="7" a="1"/>
  <c r="DE48" i="7" s="1"/>
  <c r="DE44" i="7" a="1"/>
  <c r="DE44" i="7" s="1"/>
  <c r="DE40" i="7" a="1"/>
  <c r="DE40" i="7" s="1"/>
  <c r="DE36" i="7" a="1"/>
  <c r="DE36" i="7" s="1"/>
  <c r="DE32" i="7" a="1"/>
  <c r="DE32" i="7" s="1"/>
  <c r="DE28" i="7" a="1"/>
  <c r="DE28" i="7" s="1"/>
  <c r="DE24" i="7" a="1"/>
  <c r="DE24" i="7" s="1"/>
  <c r="DE20" i="7" a="1"/>
  <c r="DE20" i="7" s="1"/>
  <c r="DE16" i="7" a="1"/>
  <c r="DE16" i="7" s="1"/>
  <c r="DE13" i="7" a="1"/>
  <c r="DE13" i="7" s="1"/>
  <c r="DE9" i="7" a="1"/>
  <c r="DE9" i="7" s="1"/>
  <c r="AA15" i="7"/>
  <c r="C14" i="20" s="1" a="1"/>
  <c r="C14" i="20" s="1"/>
  <c r="AA34" i="7"/>
  <c r="C33" i="20" s="1" a="1"/>
  <c r="C33" i="20" s="1"/>
  <c r="AA26" i="7"/>
  <c r="C25" i="20" s="1" a="1"/>
  <c r="C25" i="20" s="1"/>
  <c r="AA46" i="7"/>
  <c r="C45" i="20" s="1" a="1"/>
  <c r="C45" i="20" s="1"/>
  <c r="AA38" i="7"/>
  <c r="C37" i="20" s="1" a="1"/>
  <c r="C37" i="20" s="1"/>
  <c r="AA53" i="7"/>
  <c r="C52" i="20" s="1" a="1"/>
  <c r="C52" i="20" s="1"/>
  <c r="BQ14" i="7"/>
  <c r="E13" i="24" s="1" a="1"/>
  <c r="E13" i="24" s="1"/>
  <c r="BQ10" i="7"/>
  <c r="E9" i="24" s="1" a="1"/>
  <c r="E9" i="24" s="1"/>
  <c r="BQ24" i="7"/>
  <c r="E23" i="24" s="1" a="1"/>
  <c r="E23" i="24" s="1"/>
  <c r="BQ20" i="7"/>
  <c r="E19" i="24" s="1" a="1"/>
  <c r="E19" i="24" s="1"/>
  <c r="BQ16" i="7"/>
  <c r="E15" i="24" s="1" a="1"/>
  <c r="E15" i="24" s="1"/>
  <c r="BQ36" i="7"/>
  <c r="E35" i="24" s="1" a="1"/>
  <c r="E35" i="24" s="1"/>
  <c r="BQ32" i="7"/>
  <c r="E31" i="24" s="1" a="1"/>
  <c r="E31" i="24" s="1"/>
  <c r="BQ28" i="7"/>
  <c r="E27" i="24" s="1" a="1"/>
  <c r="E27" i="24" s="1"/>
  <c r="BQ44" i="7"/>
  <c r="E43" i="24" s="1" a="1"/>
  <c r="E43" i="24" s="1"/>
  <c r="BQ40" i="7"/>
  <c r="E39" i="24" s="1" a="1"/>
  <c r="E39" i="24" s="1"/>
  <c r="BQ53" i="7"/>
  <c r="E52" i="24" s="1" a="1"/>
  <c r="E52" i="24" s="1"/>
  <c r="BQ49" i="7"/>
  <c r="E48" i="24" s="1" a="1"/>
  <c r="E48" i="24" s="1"/>
  <c r="BQ56" i="7"/>
  <c r="E55" i="24" s="1" a="1"/>
  <c r="E55" i="24" s="1"/>
  <c r="C7" i="20" a="1"/>
  <c r="C7" i="20" s="1"/>
  <c r="AA14" i="7"/>
  <c r="C13" i="20" s="1" a="1"/>
  <c r="C13" i="20" s="1"/>
  <c r="AA33" i="7"/>
  <c r="C32" i="20" s="1" a="1"/>
  <c r="C32" i="20" s="1"/>
  <c r="AA25" i="7"/>
  <c r="C24" i="20" s="1" a="1"/>
  <c r="C24" i="20" s="1"/>
  <c r="AA45" i="7"/>
  <c r="C44" i="20" s="1" a="1"/>
  <c r="C44" i="20" s="1"/>
  <c r="AA37" i="7"/>
  <c r="C36" i="20" s="1" a="1"/>
  <c r="C36" i="20" s="1"/>
  <c r="DE8" i="7" a="1"/>
  <c r="DE8" i="7" s="1"/>
  <c r="DE55" i="7" a="1"/>
  <c r="DE55" i="7" s="1"/>
  <c r="DE51" i="7" a="1"/>
  <c r="DE51" i="7" s="1"/>
  <c r="DE47" i="7" a="1"/>
  <c r="DE47" i="7" s="1"/>
  <c r="DE43" i="7" a="1"/>
  <c r="DE43" i="7" s="1"/>
  <c r="DE39" i="7" a="1"/>
  <c r="DE39" i="7" s="1"/>
  <c r="DE35" i="7" a="1"/>
  <c r="DE35" i="7" s="1"/>
  <c r="DE31" i="7" a="1"/>
  <c r="DE31" i="7" s="1"/>
  <c r="DE27" i="7" a="1"/>
  <c r="DE27" i="7" s="1"/>
  <c r="DE23" i="7" a="1"/>
  <c r="DE23" i="7" s="1"/>
  <c r="DE19" i="7" a="1"/>
  <c r="DE19" i="7" s="1"/>
  <c r="DE12" i="7" a="1"/>
  <c r="DE12" i="7" s="1"/>
  <c r="AA20" i="7"/>
  <c r="C19" i="20" s="1" a="1"/>
  <c r="C19" i="20" s="1"/>
  <c r="AA13" i="7"/>
  <c r="C12" i="20" s="1" a="1"/>
  <c r="C12" i="20" s="1"/>
  <c r="AA32" i="7"/>
  <c r="C31" i="20" s="1" a="1"/>
  <c r="C31" i="20" s="1"/>
  <c r="AA24" i="7"/>
  <c r="C23" i="20" s="1" a="1"/>
  <c r="C23" i="20" s="1"/>
  <c r="AA44" i="7"/>
  <c r="C43" i="20" s="1" a="1"/>
  <c r="C43" i="20" s="1"/>
  <c r="AA36" i="7"/>
  <c r="C35" i="20" s="1" a="1"/>
  <c r="C35" i="20" s="1"/>
  <c r="AA51" i="7"/>
  <c r="C50" i="20" s="1" a="1"/>
  <c r="C50" i="20" s="1"/>
  <c r="AA19" i="7"/>
  <c r="C18" i="20" s="1" a="1"/>
  <c r="C18" i="20" s="1"/>
  <c r="AA12" i="7"/>
  <c r="C11" i="20" s="1" a="1"/>
  <c r="C11" i="20" s="1"/>
  <c r="AA31" i="7"/>
  <c r="C30" i="20" s="1" a="1"/>
  <c r="C30" i="20" s="1"/>
  <c r="AA23" i="7"/>
  <c r="C22" i="20" s="1" a="1"/>
  <c r="C22" i="20" s="1"/>
  <c r="AA43" i="7"/>
  <c r="C42" i="20" s="1" a="1"/>
  <c r="C42" i="20" s="1"/>
  <c r="AA50" i="7"/>
  <c r="C49" i="20" s="1" a="1"/>
  <c r="C49" i="20" s="1"/>
  <c r="DE54" i="7" a="1"/>
  <c r="DE54" i="7" s="1"/>
  <c r="DE50" i="7" a="1"/>
  <c r="DE50" i="7" s="1"/>
  <c r="DE46" i="7" a="1"/>
  <c r="DE46" i="7" s="1"/>
  <c r="DE42" i="7" a="1"/>
  <c r="DE42" i="7" s="1"/>
  <c r="DE38" i="7" a="1"/>
  <c r="DE38" i="7" s="1"/>
  <c r="DE34" i="7" a="1"/>
  <c r="DE34" i="7" s="1"/>
  <c r="DE30" i="7" a="1"/>
  <c r="DE30" i="7" s="1"/>
  <c r="DE26" i="7" a="1"/>
  <c r="DE26" i="7" s="1"/>
  <c r="DE22" i="7" a="1"/>
  <c r="DE22" i="7" s="1"/>
  <c r="DE18" i="7" a="1"/>
  <c r="DE18" i="7" s="1"/>
  <c r="DE15" i="7" a="1"/>
  <c r="DE15" i="7" s="1"/>
  <c r="AA18" i="7"/>
  <c r="C17" i="20" s="1" a="1"/>
  <c r="C17" i="20" s="1"/>
  <c r="AA11" i="7"/>
  <c r="C10" i="20" s="1" a="1"/>
  <c r="C10" i="20" s="1"/>
  <c r="AA30" i="7"/>
  <c r="C29" i="20" s="1" a="1"/>
  <c r="C29" i="20" s="1"/>
  <c r="AA22" i="7"/>
  <c r="C21" i="20" s="1" a="1"/>
  <c r="C21" i="20" s="1"/>
  <c r="AA42" i="7"/>
  <c r="C41" i="20" s="1" a="1"/>
  <c r="C41" i="20" s="1"/>
  <c r="AA57" i="7"/>
  <c r="C56" i="20" s="1" a="1"/>
  <c r="C56" i="20" s="1"/>
  <c r="AN63" i="26"/>
  <c r="AN62" i="26"/>
  <c r="DL54" i="7"/>
  <c r="DR54" i="7" s="1"/>
  <c r="DL51" i="7"/>
  <c r="DR51" i="7" s="1"/>
  <c r="DL38" i="7"/>
  <c r="DR38" i="7" s="1"/>
  <c r="DL35" i="7"/>
  <c r="DR35" i="7" s="1"/>
  <c r="DL22" i="7"/>
  <c r="DR22" i="7" s="1"/>
  <c r="DL19" i="7"/>
  <c r="DR19" i="7" s="1"/>
  <c r="DW9" i="7" a="1"/>
  <c r="DW9" i="7" s="1"/>
  <c r="DW10" i="7" a="1"/>
  <c r="DW10" i="7" s="1"/>
  <c r="DW11" i="7" a="1"/>
  <c r="DW11" i="7" s="1"/>
  <c r="DW12" i="7" a="1"/>
  <c r="DW12" i="7" s="1"/>
  <c r="DW13" i="7" a="1"/>
  <c r="DW13" i="7" s="1"/>
  <c r="DW14" i="7" a="1"/>
  <c r="DW14" i="7" s="1"/>
  <c r="DW15" i="7" a="1"/>
  <c r="DW15" i="7" s="1"/>
  <c r="DW16" i="7" a="1"/>
  <c r="DW16" i="7" s="1"/>
  <c r="DW17" i="7" a="1"/>
  <c r="DW17" i="7" s="1"/>
  <c r="DW18" i="7" a="1"/>
  <c r="DW18" i="7" s="1"/>
  <c r="DW19" i="7" a="1"/>
  <c r="DW19" i="7" s="1"/>
  <c r="DW20" i="7" a="1"/>
  <c r="DW20" i="7" s="1"/>
  <c r="DW21" i="7" a="1"/>
  <c r="DW21" i="7" s="1"/>
  <c r="DW22" i="7" a="1"/>
  <c r="DW22" i="7" s="1"/>
  <c r="DW23" i="7" a="1"/>
  <c r="DW23" i="7" s="1"/>
  <c r="DW24" i="7" a="1"/>
  <c r="DW24" i="7" s="1"/>
  <c r="DW25" i="7" a="1"/>
  <c r="DW25" i="7" s="1"/>
  <c r="DW26" i="7" a="1"/>
  <c r="DW26" i="7" s="1"/>
  <c r="DW27" i="7" a="1"/>
  <c r="DW27" i="7" s="1"/>
  <c r="DW28" i="7" a="1"/>
  <c r="DW28" i="7" s="1"/>
  <c r="DW29" i="7" a="1"/>
  <c r="DW29" i="7" s="1"/>
  <c r="DW30" i="7" a="1"/>
  <c r="DW30" i="7" s="1"/>
  <c r="DW31" i="7" a="1"/>
  <c r="DW31" i="7" s="1"/>
  <c r="DW32" i="7" a="1"/>
  <c r="DW32" i="7" s="1"/>
  <c r="DW33" i="7" a="1"/>
  <c r="DW33" i="7" s="1"/>
  <c r="DW34" i="7" a="1"/>
  <c r="DW34" i="7" s="1"/>
  <c r="DW35" i="7" a="1"/>
  <c r="DW35" i="7" s="1"/>
  <c r="DW36" i="7" a="1"/>
  <c r="DW36" i="7" s="1"/>
  <c r="DW37" i="7" a="1"/>
  <c r="DW37" i="7" s="1"/>
  <c r="DW38" i="7" a="1"/>
  <c r="DW38" i="7" s="1"/>
  <c r="DW39" i="7" a="1"/>
  <c r="DW39" i="7" s="1"/>
  <c r="DW40" i="7" a="1"/>
  <c r="DW40" i="7" s="1"/>
  <c r="DW41" i="7" a="1"/>
  <c r="DW41" i="7" s="1"/>
  <c r="DW42" i="7" a="1"/>
  <c r="DW42" i="7" s="1"/>
  <c r="DW43" i="7" a="1"/>
  <c r="DW43" i="7" s="1"/>
  <c r="DW44" i="7" a="1"/>
  <c r="DW44" i="7" s="1"/>
  <c r="DW45" i="7" a="1"/>
  <c r="DW45" i="7" s="1"/>
  <c r="DW46" i="7" a="1"/>
  <c r="DW46" i="7" s="1"/>
  <c r="DW47" i="7" a="1"/>
  <c r="DW47" i="7" s="1"/>
  <c r="DW48" i="7" a="1"/>
  <c r="DW48" i="7" s="1"/>
  <c r="DW49" i="7" a="1"/>
  <c r="DW49" i="7" s="1"/>
  <c r="DW50" i="7" a="1"/>
  <c r="DW50" i="7" s="1"/>
  <c r="DW51" i="7" a="1"/>
  <c r="DW51" i="7" s="1"/>
  <c r="DW52" i="7" a="1"/>
  <c r="DW52" i="7" s="1"/>
  <c r="DW53" i="7" a="1"/>
  <c r="DW53" i="7" s="1"/>
  <c r="DW54" i="7" a="1"/>
  <c r="DW54" i="7" s="1"/>
  <c r="DW55" i="7" a="1"/>
  <c r="DW55" i="7" s="1"/>
  <c r="DW56" i="7" a="1"/>
  <c r="DW56" i="7" s="1"/>
  <c r="DW57" i="7" a="1"/>
  <c r="DW57" i="7" s="1"/>
  <c r="DW8" i="7" a="1"/>
  <c r="DW8" i="7" s="1"/>
  <c r="DR55" i="7"/>
  <c r="DR39" i="7"/>
  <c r="DR23" i="7"/>
  <c r="DR50" i="7"/>
  <c r="DR34" i="7"/>
  <c r="DR18" i="7"/>
  <c r="DR47" i="7"/>
  <c r="DR31" i="7"/>
  <c r="DR46" i="7"/>
  <c r="DR30" i="7"/>
  <c r="DR15" i="7"/>
  <c r="DO60" i="7"/>
  <c r="DR43" i="7"/>
  <c r="DR27" i="7"/>
  <c r="DR12" i="7"/>
  <c r="DR42" i="7"/>
  <c r="DR26" i="7"/>
  <c r="DR11" i="7"/>
  <c r="DO59" i="7"/>
  <c r="DR53" i="7"/>
  <c r="DR45" i="7"/>
  <c r="DR37" i="7"/>
  <c r="DR29" i="7"/>
  <c r="DR21" i="7"/>
  <c r="DR14" i="7"/>
  <c r="DR52" i="7"/>
  <c r="DR44" i="7"/>
  <c r="DR36" i="7"/>
  <c r="DR28" i="7"/>
  <c r="DR20" i="7"/>
  <c r="DR13" i="7"/>
  <c r="DR57" i="7"/>
  <c r="DR49" i="7"/>
  <c r="DR41" i="7"/>
  <c r="DR33" i="7"/>
  <c r="DR25" i="7"/>
  <c r="DR17" i="7"/>
  <c r="DR10" i="7"/>
  <c r="DR56" i="7"/>
  <c r="DR48" i="7"/>
  <c r="DR40" i="7"/>
  <c r="DR32" i="7"/>
  <c r="DR24" i="7"/>
  <c r="DR16" i="7"/>
  <c r="DR9" i="7"/>
  <c r="BK50" i="7"/>
  <c r="H63" i="26"/>
  <c r="H62" i="26"/>
  <c r="P63" i="26"/>
  <c r="P62" i="26"/>
  <c r="V63" i="26"/>
  <c r="V62" i="26"/>
  <c r="AD63" i="26"/>
  <c r="AD62" i="26"/>
  <c r="AJ63" i="26"/>
  <c r="AJ62" i="26"/>
  <c r="AX63" i="26"/>
  <c r="AX62" i="26"/>
  <c r="BF63" i="26"/>
  <c r="BF62" i="26"/>
  <c r="CA57" i="7" a="1"/>
  <c r="CA57" i="7" s="1"/>
  <c r="CB57" i="7" s="1"/>
  <c r="CA50" i="7" a="1"/>
  <c r="CA50" i="7" s="1"/>
  <c r="CB50" i="7" s="1"/>
  <c r="CA11" i="7" a="1"/>
  <c r="CA11" i="7" s="1"/>
  <c r="CB11" i="7" s="1"/>
  <c r="CA19" i="7" a="1"/>
  <c r="CA19" i="7" s="1"/>
  <c r="CB19" i="7" s="1"/>
  <c r="CA28" i="7" a="1"/>
  <c r="CA28" i="7" s="1"/>
  <c r="CB28" i="7" s="1"/>
  <c r="CA33" i="7" a="1"/>
  <c r="CA33" i="7" s="1"/>
  <c r="CB33" i="7" s="1"/>
  <c r="CA42" i="7" a="1"/>
  <c r="CA42" i="7" s="1"/>
  <c r="CB42" i="7" s="1"/>
  <c r="CA51" i="7" a="1"/>
  <c r="CA51" i="7" s="1"/>
  <c r="CB51" i="7" s="1"/>
  <c r="CA8" i="7" a="1"/>
  <c r="CA8" i="7" s="1"/>
  <c r="CA16" i="7" a="1"/>
  <c r="CA16" i="7" s="1"/>
  <c r="CB16" i="7" s="1"/>
  <c r="CA21" i="7" a="1"/>
  <c r="CA21" i="7" s="1"/>
  <c r="CB21" i="7" s="1"/>
  <c r="CA30" i="7" a="1"/>
  <c r="CA30" i="7" s="1"/>
  <c r="CB30" i="7" s="1"/>
  <c r="CA39" i="7" a="1"/>
  <c r="CA39" i="7" s="1"/>
  <c r="CB39" i="7" s="1"/>
  <c r="CA53" i="7" a="1"/>
  <c r="CA53" i="7" s="1"/>
  <c r="CB53" i="7" s="1"/>
  <c r="CA13" i="7" a="1"/>
  <c r="CA13" i="7" s="1"/>
  <c r="CB13" i="7" s="1"/>
  <c r="CA17" i="7" a="1"/>
  <c r="CA17" i="7" s="1"/>
  <c r="CB17" i="7" s="1"/>
  <c r="CA26" i="7" a="1"/>
  <c r="CA26" i="7" s="1"/>
  <c r="CB26" i="7" s="1"/>
  <c r="CA35" i="7" a="1"/>
  <c r="CA35" i="7" s="1"/>
  <c r="CB35" i="7" s="1"/>
  <c r="CA44" i="7" a="1"/>
  <c r="CA44" i="7" s="1"/>
  <c r="CB44" i="7" s="1"/>
  <c r="CA9" i="7" a="1"/>
  <c r="CA9" i="7" s="1"/>
  <c r="CB9" i="7" s="1"/>
  <c r="CA14" i="7" a="1"/>
  <c r="CA14" i="7" s="1"/>
  <c r="CB14" i="7" s="1"/>
  <c r="CA22" i="7" a="1"/>
  <c r="CA22" i="7" s="1"/>
  <c r="CB22" i="7" s="1"/>
  <c r="CA31" i="7" a="1"/>
  <c r="CA31" i="7" s="1"/>
  <c r="CB31" i="7" s="1"/>
  <c r="CA40" i="7" a="1"/>
  <c r="CA40" i="7" s="1"/>
  <c r="CB40" i="7" s="1"/>
  <c r="CA45" i="7" a="1"/>
  <c r="CA45" i="7" s="1"/>
  <c r="CB45" i="7" s="1"/>
  <c r="CA54" i="7" a="1"/>
  <c r="CA54" i="7" s="1"/>
  <c r="CB54" i="7" s="1"/>
  <c r="CA15" i="7" a="1"/>
  <c r="CA15" i="7" s="1"/>
  <c r="CB15" i="7" s="1"/>
  <c r="CA23" i="7" a="1"/>
  <c r="CA23" i="7" s="1"/>
  <c r="CB23" i="7" s="1"/>
  <c r="CA32" i="7" a="1"/>
  <c r="CA32" i="7" s="1"/>
  <c r="CB32" i="7" s="1"/>
  <c r="CA37" i="7" a="1"/>
  <c r="CA37" i="7" s="1"/>
  <c r="CB37" i="7" s="1"/>
  <c r="CA55" i="7" a="1"/>
  <c r="CA55" i="7" s="1"/>
  <c r="CB55" i="7" s="1"/>
  <c r="CA24" i="7" a="1"/>
  <c r="CA24" i="7" s="1"/>
  <c r="CB24" i="7" s="1"/>
  <c r="CA29" i="7" a="1"/>
  <c r="CA29" i="7" s="1"/>
  <c r="CB29" i="7" s="1"/>
  <c r="CA38" i="7" a="1"/>
  <c r="CA38" i="7" s="1"/>
  <c r="CB38" i="7" s="1"/>
  <c r="CA47" i="7" a="1"/>
  <c r="CA47" i="7" s="1"/>
  <c r="CB47" i="7" s="1"/>
  <c r="CA56" i="7" a="1"/>
  <c r="CA56" i="7" s="1"/>
  <c r="CB56" i="7" s="1"/>
  <c r="CA48" i="7" a="1"/>
  <c r="CA48" i="7" s="1"/>
  <c r="CB48" i="7" s="1"/>
  <c r="CA49" i="7" a="1"/>
  <c r="CA49" i="7" s="1"/>
  <c r="CB49" i="7" s="1"/>
  <c r="CA10" i="7" a="1"/>
  <c r="CA10" i="7" s="1"/>
  <c r="CB10" i="7" s="1"/>
  <c r="CB18" i="7"/>
  <c r="CA27" i="7" a="1"/>
  <c r="CA27" i="7" s="1"/>
  <c r="CB27" i="7" s="1"/>
  <c r="CA36" i="7" a="1"/>
  <c r="CA36" i="7" s="1"/>
  <c r="CB36" i="7" s="1"/>
  <c r="CA41" i="7" a="1"/>
  <c r="CA41" i="7" s="1"/>
  <c r="CB41" i="7" s="1"/>
  <c r="CA46" i="7" a="1"/>
  <c r="CA46" i="7" s="1"/>
  <c r="CB46" i="7" s="1"/>
  <c r="CA12" i="7" a="1"/>
  <c r="CA12" i="7" s="1"/>
  <c r="CB12" i="7" s="1"/>
  <c r="CA20" i="7" a="1"/>
  <c r="CA20" i="7" s="1"/>
  <c r="CB20" i="7" s="1"/>
  <c r="CA25" i="7" a="1"/>
  <c r="CA25" i="7" s="1"/>
  <c r="CB25" i="7" s="1"/>
  <c r="CA34" i="7" a="1"/>
  <c r="CA34" i="7" s="1"/>
  <c r="CB34" i="7" s="1"/>
  <c r="CA43" i="7" a="1"/>
  <c r="CA43" i="7" s="1"/>
  <c r="CB43" i="7" s="1"/>
  <c r="CA52" i="7" a="1"/>
  <c r="CA52" i="7" s="1"/>
  <c r="CB52" i="7" s="1"/>
  <c r="BK17" i="7"/>
  <c r="BK57" i="7"/>
  <c r="AV9" i="7"/>
  <c r="AQ51" i="7"/>
  <c r="BH51" i="7" s="1"/>
  <c r="AQ27" i="7"/>
  <c r="BH27" i="7" s="1"/>
  <c r="AQ43" i="7"/>
  <c r="BH43" i="7" s="1"/>
  <c r="AQ12" i="7"/>
  <c r="AQ35" i="7"/>
  <c r="BH35" i="7" s="1"/>
  <c r="AQ19" i="7"/>
  <c r="BH19" i="7" s="1"/>
  <c r="AQ55" i="7"/>
  <c r="BH55" i="7" s="1"/>
  <c r="AQ47" i="7"/>
  <c r="BH47" i="7" s="1"/>
  <c r="AQ39" i="7"/>
  <c r="BH39" i="7" s="1"/>
  <c r="AQ31" i="7"/>
  <c r="BH31" i="7" s="1"/>
  <c r="AQ23" i="7"/>
  <c r="BH23" i="7" s="1"/>
  <c r="BK34" i="7"/>
  <c r="BK26" i="7"/>
  <c r="BK48" i="7"/>
  <c r="BK32" i="7"/>
  <c r="AQ9" i="7"/>
  <c r="BK44" i="7"/>
  <c r="BK36" i="7"/>
  <c r="BK41" i="7"/>
  <c r="AQ38" i="7"/>
  <c r="BH38" i="7" s="1"/>
  <c r="AQ15" i="7"/>
  <c r="BH15" i="7" s="1"/>
  <c r="AQ53" i="7"/>
  <c r="BH53" i="7" s="1"/>
  <c r="AQ45" i="7"/>
  <c r="BH45" i="7" s="1"/>
  <c r="AQ37" i="7"/>
  <c r="BH37" i="7" s="1"/>
  <c r="AQ29" i="7"/>
  <c r="BH29" i="7" s="1"/>
  <c r="AQ21" i="7"/>
  <c r="BH21" i="7" s="1"/>
  <c r="AQ14" i="7"/>
  <c r="BH14" i="7" s="1"/>
  <c r="AQ54" i="7"/>
  <c r="BH54" i="7" s="1"/>
  <c r="AQ46" i="7"/>
  <c r="BH46" i="7" s="1"/>
  <c r="AQ30" i="7"/>
  <c r="BH30" i="7" s="1"/>
  <c r="AQ22" i="7"/>
  <c r="BH22" i="7" s="1"/>
  <c r="AQ52" i="7"/>
  <c r="BH52" i="7" s="1"/>
  <c r="AQ44" i="7"/>
  <c r="BH44" i="7" s="1"/>
  <c r="AQ36" i="7"/>
  <c r="BH36" i="7" s="1"/>
  <c r="AQ28" i="7"/>
  <c r="BH28" i="7" s="1"/>
  <c r="AQ20" i="7"/>
  <c r="BH20" i="7" s="1"/>
  <c r="AQ13" i="7"/>
  <c r="AQ50" i="7"/>
  <c r="BH50" i="7" s="1"/>
  <c r="AQ42" i="7"/>
  <c r="BH42" i="7" s="1"/>
  <c r="AQ34" i="7"/>
  <c r="BH34" i="7" s="1"/>
  <c r="AQ26" i="7"/>
  <c r="BH26" i="7" s="1"/>
  <c r="AQ11" i="7"/>
  <c r="AQ57" i="7"/>
  <c r="BH57" i="7" s="1"/>
  <c r="AQ49" i="7"/>
  <c r="BH49" i="7" s="1"/>
  <c r="AQ41" i="7"/>
  <c r="BH41" i="7" s="1"/>
  <c r="AQ33" i="7"/>
  <c r="BH33" i="7" s="1"/>
  <c r="AQ25" i="7"/>
  <c r="BH25" i="7" s="1"/>
  <c r="AQ17" i="7"/>
  <c r="BH17" i="7" s="1"/>
  <c r="AQ10" i="7"/>
  <c r="AQ18" i="7"/>
  <c r="BH18" i="7" s="1"/>
  <c r="AQ56" i="7"/>
  <c r="BH56" i="7" s="1"/>
  <c r="AQ48" i="7"/>
  <c r="BH48" i="7" s="1"/>
  <c r="AQ40" i="7"/>
  <c r="BH40" i="7" s="1"/>
  <c r="AQ32" i="7"/>
  <c r="BH32" i="7" s="1"/>
  <c r="AQ24" i="7"/>
  <c r="BH24" i="7" s="1"/>
  <c r="AQ16" i="7"/>
  <c r="BH16" i="7" s="1"/>
  <c r="BK54" i="7"/>
  <c r="BK38" i="7"/>
  <c r="BK22" i="7"/>
  <c r="BK15" i="7"/>
  <c r="BK45" i="7"/>
  <c r="BK23" i="7"/>
  <c r="BK51" i="7"/>
  <c r="BK35" i="7"/>
  <c r="BK27" i="7"/>
  <c r="AV56" i="7"/>
  <c r="AV48" i="7"/>
  <c r="AV40" i="7"/>
  <c r="AV32" i="7"/>
  <c r="AV24" i="7"/>
  <c r="AV16" i="7"/>
  <c r="AV53" i="7"/>
  <c r="AV45" i="7"/>
  <c r="AV37" i="7"/>
  <c r="AV29" i="7"/>
  <c r="AV21" i="7"/>
  <c r="AV14" i="7"/>
  <c r="AV50" i="7"/>
  <c r="AV42" i="7"/>
  <c r="AV34" i="7"/>
  <c r="AV26" i="7"/>
  <c r="AV18" i="7"/>
  <c r="AV11" i="7"/>
  <c r="AV55" i="7"/>
  <c r="AV47" i="7"/>
  <c r="AV39" i="7"/>
  <c r="AV31" i="7"/>
  <c r="AV23" i="7"/>
  <c r="AV54" i="7"/>
  <c r="AV46" i="7"/>
  <c r="AV38" i="7"/>
  <c r="AV30" i="7"/>
  <c r="AV22" i="7"/>
  <c r="AV15" i="7"/>
  <c r="AV52" i="7"/>
  <c r="AV44" i="7"/>
  <c r="AV36" i="7"/>
  <c r="AV28" i="7"/>
  <c r="AV20" i="7"/>
  <c r="AV13" i="7"/>
  <c r="AV51" i="7"/>
  <c r="AV43" i="7"/>
  <c r="AV35" i="7"/>
  <c r="AV27" i="7"/>
  <c r="AV19" i="7"/>
  <c r="AV12" i="7"/>
  <c r="AV57" i="7"/>
  <c r="AV49" i="7"/>
  <c r="AV41" i="7"/>
  <c r="AV33" i="7"/>
  <c r="AV25" i="7"/>
  <c r="AV17" i="7"/>
  <c r="AV10" i="7"/>
  <c r="DH54" i="7" l="1"/>
  <c r="D50" i="24" a="1"/>
  <c r="D50" i="24" s="1"/>
  <c r="DH52" i="7"/>
  <c r="DH15" i="7"/>
  <c r="DH14" i="7"/>
  <c r="DH49" i="7"/>
  <c r="DH13" i="7"/>
  <c r="DH48" i="7"/>
  <c r="DH12" i="7"/>
  <c r="I11" i="24" s="1" a="1"/>
  <c r="I11" i="24" s="1"/>
  <c r="AO14" i="26" a="1"/>
  <c r="AO14" i="26" s="1"/>
  <c r="I11" i="23" s="1" a="1"/>
  <c r="I11" i="23" s="1"/>
  <c r="DH35" i="7"/>
  <c r="I34" i="24" s="1" a="1"/>
  <c r="I34" i="24" s="1"/>
  <c r="DH23" i="7"/>
  <c r="I22" i="24" s="1" a="1"/>
  <c r="I22" i="24" s="1"/>
  <c r="P14" i="29" a="1"/>
  <c r="P14" i="29" s="1"/>
  <c r="DH8" i="7"/>
  <c r="DH34" i="7"/>
  <c r="DH22" i="7"/>
  <c r="DH10" i="7"/>
  <c r="I9" i="24" s="1" a="1"/>
  <c r="I9" i="24" s="1"/>
  <c r="D50" i="17" a="1"/>
  <c r="D50" i="17" s="1"/>
  <c r="DH57" i="7"/>
  <c r="DH45" i="7"/>
  <c r="DH33" i="7"/>
  <c r="DH21" i="7"/>
  <c r="I20" i="24" s="1" a="1"/>
  <c r="I20" i="24" s="1"/>
  <c r="DH9" i="7"/>
  <c r="I8" i="24" s="1" a="1"/>
  <c r="I8" i="24" s="1"/>
  <c r="D50" i="23" a="1"/>
  <c r="D50" i="23" s="1"/>
  <c r="DH56" i="7"/>
  <c r="DH44" i="7"/>
  <c r="DH32" i="7"/>
  <c r="DH20" i="7"/>
  <c r="D50" i="25" a="1"/>
  <c r="D50" i="25" s="1"/>
  <c r="DH55" i="7"/>
  <c r="DH43" i="7"/>
  <c r="DH31" i="7"/>
  <c r="DH19" i="7"/>
  <c r="I18" i="24" s="1" a="1"/>
  <c r="I18" i="24" s="1"/>
  <c r="I37" i="18" a="1"/>
  <c r="I37" i="18" s="1"/>
  <c r="I7" i="24" a="1"/>
  <c r="I7" i="24" s="1"/>
  <c r="D50" i="18" a="1"/>
  <c r="D50" i="18" s="1"/>
  <c r="H25" i="18" a="1"/>
  <c r="H25" i="18" s="1"/>
  <c r="I11" i="20" a="1"/>
  <c r="I11" i="20" s="1"/>
  <c r="J11" i="17" a="1"/>
  <c r="J11" i="17" s="1"/>
  <c r="I23" i="20" a="1"/>
  <c r="I23" i="20" s="1"/>
  <c r="J23" i="17" a="1"/>
  <c r="J23" i="17" s="1"/>
  <c r="I30" i="20" a="1"/>
  <c r="I30" i="20" s="1"/>
  <c r="J30" i="17" a="1"/>
  <c r="J30" i="17" s="1"/>
  <c r="I37" i="20" a="1"/>
  <c r="I37" i="20" s="1"/>
  <c r="J37" i="17" a="1"/>
  <c r="J37" i="17" s="1"/>
  <c r="I25" i="20" a="1"/>
  <c r="I25" i="20" s="1"/>
  <c r="J25" i="17" a="1"/>
  <c r="J25" i="17" s="1"/>
  <c r="I19" i="20" a="1"/>
  <c r="I19" i="20" s="1"/>
  <c r="J19" i="17" a="1"/>
  <c r="J19" i="17" s="1"/>
  <c r="I40" i="20" a="1"/>
  <c r="I40" i="20" s="1"/>
  <c r="J40" i="17" a="1"/>
  <c r="J40" i="17" s="1"/>
  <c r="I45" i="20" a="1"/>
  <c r="I45" i="20" s="1"/>
  <c r="J45" i="17" a="1"/>
  <c r="J45" i="17" s="1"/>
  <c r="I44" i="20" a="1"/>
  <c r="I44" i="20" s="1"/>
  <c r="J44" i="17" a="1"/>
  <c r="J44" i="17" s="1"/>
  <c r="I41" i="20" a="1"/>
  <c r="I41" i="20" s="1"/>
  <c r="J41" i="17" a="1"/>
  <c r="J41" i="17" s="1"/>
  <c r="I32" i="20" a="1"/>
  <c r="I32" i="20" s="1"/>
  <c r="J32" i="17" a="1"/>
  <c r="J32" i="17" s="1"/>
  <c r="I7" i="20" a="1"/>
  <c r="I7" i="20" s="1"/>
  <c r="J7" i="17" a="1"/>
  <c r="J7" i="17" s="1"/>
  <c r="J35" i="25" a="1"/>
  <c r="J35" i="25" s="1"/>
  <c r="I33" i="20" a="1"/>
  <c r="I33" i="20" s="1"/>
  <c r="J33" i="17" a="1"/>
  <c r="J33" i="17" s="1"/>
  <c r="I24" i="20" a="1"/>
  <c r="I24" i="20" s="1"/>
  <c r="J24" i="17" a="1"/>
  <c r="J24" i="17" s="1"/>
  <c r="I53" i="20" a="1"/>
  <c r="I53" i="20" s="1"/>
  <c r="J53" i="17" a="1"/>
  <c r="J53" i="17" s="1"/>
  <c r="I50" i="20" a="1"/>
  <c r="I50" i="20" s="1"/>
  <c r="J50" i="17" a="1"/>
  <c r="J50" i="17" s="1"/>
  <c r="I16" i="20" a="1"/>
  <c r="I16" i="20" s="1"/>
  <c r="J16" i="17" a="1"/>
  <c r="J16" i="17" s="1"/>
  <c r="I38" i="20" a="1"/>
  <c r="I38" i="20" s="1"/>
  <c r="J38" i="17" a="1"/>
  <c r="J38" i="17" s="1"/>
  <c r="I28" i="20" a="1"/>
  <c r="I28" i="20" s="1"/>
  <c r="J28" i="17" a="1"/>
  <c r="J28" i="17" s="1"/>
  <c r="I52" i="20" a="1"/>
  <c r="I52" i="20" s="1"/>
  <c r="J52" i="17" a="1"/>
  <c r="J52" i="17" s="1"/>
  <c r="I18" i="20" a="1"/>
  <c r="I18" i="20" s="1"/>
  <c r="J18" i="17" a="1"/>
  <c r="J18" i="17" s="1"/>
  <c r="I51" i="20" a="1"/>
  <c r="I51" i="20" s="1"/>
  <c r="J51" i="17" a="1"/>
  <c r="J51" i="17" s="1"/>
  <c r="I48" i="20" a="1"/>
  <c r="I48" i="20" s="1"/>
  <c r="J48" i="17" a="1"/>
  <c r="J48" i="17" s="1"/>
  <c r="AO12" i="26" a="1"/>
  <c r="AO12" i="26" s="1"/>
  <c r="I9" i="23" s="1" a="1"/>
  <c r="I9" i="23" s="1"/>
  <c r="I30" i="25" a="1"/>
  <c r="I30" i="25" s="1"/>
  <c r="H30" i="18" a="1"/>
  <c r="H30" i="18" s="1"/>
  <c r="D35" i="22" a="1"/>
  <c r="D35" i="22" s="1"/>
  <c r="D35" i="20" a="1"/>
  <c r="D35" i="20" s="1"/>
  <c r="D10" i="21" a="1"/>
  <c r="D10" i="21" s="1"/>
  <c r="D10" i="20" a="1"/>
  <c r="D10" i="20" s="1"/>
  <c r="H13" i="18" a="1"/>
  <c r="H13" i="18" s="1"/>
  <c r="I13" i="20" a="1"/>
  <c r="I13" i="20" s="1"/>
  <c r="H9" i="18" a="1"/>
  <c r="H9" i="18" s="1"/>
  <c r="I9" i="20" a="1"/>
  <c r="I9" i="20" s="1"/>
  <c r="I47" i="25" a="1"/>
  <c r="I47" i="25" s="1"/>
  <c r="I47" i="20" a="1"/>
  <c r="I47" i="20" s="1"/>
  <c r="H14" i="18" a="1"/>
  <c r="H14" i="18" s="1"/>
  <c r="I14" i="20" a="1"/>
  <c r="I14" i="20" s="1"/>
  <c r="I29" i="25" a="1"/>
  <c r="I29" i="25" s="1"/>
  <c r="I29" i="20" a="1"/>
  <c r="I29" i="20" s="1"/>
  <c r="J13" i="25" a="1"/>
  <c r="J13" i="25" s="1"/>
  <c r="J13" i="20" a="1"/>
  <c r="J13" i="20" s="1"/>
  <c r="J31" i="25" a="1"/>
  <c r="J31" i="25" s="1"/>
  <c r="J31" i="20" a="1"/>
  <c r="J31" i="20" s="1"/>
  <c r="J8" i="25" a="1"/>
  <c r="J8" i="25" s="1"/>
  <c r="J8" i="20" a="1"/>
  <c r="J8" i="20" s="1"/>
  <c r="I26" i="18" a="1"/>
  <c r="I26" i="18" s="1"/>
  <c r="J26" i="20" a="1"/>
  <c r="J26" i="20" s="1"/>
  <c r="CX28" i="7" a="1"/>
  <c r="CX28" i="7" s="1"/>
  <c r="D21" i="24" a="1"/>
  <c r="D21" i="24" s="1"/>
  <c r="D21" i="20" a="1"/>
  <c r="D21" i="20" s="1"/>
  <c r="I30" i="18" a="1"/>
  <c r="I30" i="18" s="1"/>
  <c r="J30" i="20" a="1"/>
  <c r="J30" i="20" s="1"/>
  <c r="J22" i="25" a="1"/>
  <c r="J22" i="25" s="1"/>
  <c r="J22" i="20" a="1"/>
  <c r="J22" i="20" s="1"/>
  <c r="I55" i="18" a="1"/>
  <c r="I55" i="18" s="1"/>
  <c r="J55" i="20" a="1"/>
  <c r="J55" i="20" s="1"/>
  <c r="CX47" i="7" a="1"/>
  <c r="CX47" i="7" s="1"/>
  <c r="H35" i="18" a="1"/>
  <c r="H35" i="18" s="1"/>
  <c r="I35" i="20" a="1"/>
  <c r="I35" i="20" s="1"/>
  <c r="I43" i="25" a="1"/>
  <c r="I43" i="25" s="1"/>
  <c r="I43" i="20" a="1"/>
  <c r="I43" i="20" s="1"/>
  <c r="I55" i="25" a="1"/>
  <c r="I55" i="25" s="1"/>
  <c r="I55" i="20" a="1"/>
  <c r="I55" i="20" s="1"/>
  <c r="I12" i="25" a="1"/>
  <c r="I12" i="25" s="1"/>
  <c r="I12" i="20" a="1"/>
  <c r="I12" i="20" s="1"/>
  <c r="I9" i="18" a="1"/>
  <c r="I9" i="18" s="1"/>
  <c r="J9" i="20" a="1"/>
  <c r="J9" i="20" s="1"/>
  <c r="H20" i="18" a="1"/>
  <c r="H20" i="18" s="1"/>
  <c r="I20" i="20" a="1"/>
  <c r="I20" i="20" s="1"/>
  <c r="CX16" i="7" a="1"/>
  <c r="CX16" i="7" s="1"/>
  <c r="DA16" i="7" s="1"/>
  <c r="H15" i="20" s="1" a="1"/>
  <c r="H15" i="20" s="1"/>
  <c r="D9" i="18" a="1"/>
  <c r="D9" i="18" s="1"/>
  <c r="D9" i="20" a="1"/>
  <c r="D9" i="20" s="1"/>
  <c r="D28" i="22" a="1"/>
  <c r="D28" i="22" s="1"/>
  <c r="D28" i="20" a="1"/>
  <c r="D28" i="20" s="1"/>
  <c r="D16" i="24" a="1"/>
  <c r="D16" i="24" s="1"/>
  <c r="D16" i="20" a="1"/>
  <c r="D16" i="20" s="1"/>
  <c r="D15" i="23" a="1"/>
  <c r="D15" i="23" s="1"/>
  <c r="D15" i="20" a="1"/>
  <c r="D15" i="20" s="1"/>
  <c r="H15" i="18" a="1"/>
  <c r="H15" i="18" s="1"/>
  <c r="I15" i="20" a="1"/>
  <c r="I15" i="20" s="1"/>
  <c r="I27" i="25" a="1"/>
  <c r="I27" i="25" s="1"/>
  <c r="I27" i="20" a="1"/>
  <c r="I27" i="20" s="1"/>
  <c r="H21" i="18" a="1"/>
  <c r="H21" i="18" s="1"/>
  <c r="I21" i="20" a="1"/>
  <c r="I21" i="20" s="1"/>
  <c r="I8" i="18" a="1"/>
  <c r="I8" i="18" s="1"/>
  <c r="J45" i="25" a="1"/>
  <c r="J45" i="25" s="1"/>
  <c r="J45" i="20" a="1"/>
  <c r="J45" i="20" s="1"/>
  <c r="I35" i="18" a="1"/>
  <c r="I35" i="18" s="1"/>
  <c r="I43" i="18" a="1"/>
  <c r="I43" i="18" s="1"/>
  <c r="J43" i="20" a="1"/>
  <c r="J43" i="20" s="1"/>
  <c r="I50" i="18" a="1"/>
  <c r="I50" i="18" s="1"/>
  <c r="J50" i="20" a="1"/>
  <c r="J50" i="20" s="1"/>
  <c r="I17" i="18" a="1"/>
  <c r="I17" i="18" s="1"/>
  <c r="J17" i="20" a="1"/>
  <c r="J17" i="20" s="1"/>
  <c r="CX50" i="7" a="1"/>
  <c r="CX50" i="7" s="1"/>
  <c r="DA50" i="7" s="1"/>
  <c r="C51" i="22" a="1"/>
  <c r="C51" i="22" s="1"/>
  <c r="C51" i="20" a="1"/>
  <c r="C51" i="20" s="1"/>
  <c r="D42" i="21" a="1"/>
  <c r="D42" i="21" s="1"/>
  <c r="D42" i="20" a="1"/>
  <c r="D42" i="20" s="1"/>
  <c r="D14" i="22" a="1"/>
  <c r="D14" i="22" s="1"/>
  <c r="D14" i="20" a="1"/>
  <c r="D14" i="20" s="1"/>
  <c r="D22" i="21" a="1"/>
  <c r="D22" i="21" s="1"/>
  <c r="D22" i="20" a="1"/>
  <c r="D22" i="20" s="1"/>
  <c r="H49" i="18" a="1"/>
  <c r="H49" i="18" s="1"/>
  <c r="I49" i="20" a="1"/>
  <c r="I49" i="20" s="1"/>
  <c r="I8" i="25" a="1"/>
  <c r="I8" i="25" s="1"/>
  <c r="I8" i="20" a="1"/>
  <c r="I8" i="20" s="1"/>
  <c r="I34" i="25" a="1"/>
  <c r="I34" i="25" s="1"/>
  <c r="I34" i="20" a="1"/>
  <c r="I34" i="20" s="1"/>
  <c r="J17" i="25" a="1"/>
  <c r="J17" i="25" s="1"/>
  <c r="I15" i="18" a="1"/>
  <c r="I15" i="18" s="1"/>
  <c r="J15" i="20" a="1"/>
  <c r="J15" i="20" s="1"/>
  <c r="J27" i="25" a="1"/>
  <c r="J27" i="25" s="1"/>
  <c r="J27" i="20" a="1"/>
  <c r="J27" i="20" s="1"/>
  <c r="J37" i="25" a="1"/>
  <c r="J37" i="25" s="1"/>
  <c r="J38" i="25" a="1"/>
  <c r="J38" i="25" s="1"/>
  <c r="J38" i="20" a="1"/>
  <c r="J38" i="20" s="1"/>
  <c r="I36" i="18" a="1"/>
  <c r="I36" i="18" s="1"/>
  <c r="I23" i="18" a="1"/>
  <c r="I23" i="18" s="1"/>
  <c r="J23" i="20" a="1"/>
  <c r="J23" i="20" s="1"/>
  <c r="I29" i="18" a="1"/>
  <c r="I29" i="18" s="1"/>
  <c r="J29" i="20" a="1"/>
  <c r="J29" i="20" s="1"/>
  <c r="CX15" i="7" a="1"/>
  <c r="CX15" i="7" s="1"/>
  <c r="CX31" i="7" a="1"/>
  <c r="CX31" i="7" s="1"/>
  <c r="D43" i="24" a="1"/>
  <c r="D43" i="24" s="1"/>
  <c r="D43" i="20" a="1"/>
  <c r="D43" i="20" s="1"/>
  <c r="D54" i="25" a="1"/>
  <c r="D54" i="25" s="1"/>
  <c r="D54" i="20" a="1"/>
  <c r="D54" i="20" s="1"/>
  <c r="D51" i="24" a="1"/>
  <c r="D51" i="24" s="1"/>
  <c r="D51" i="20" a="1"/>
  <c r="D51" i="20" s="1"/>
  <c r="I39" i="25" a="1"/>
  <c r="I39" i="25" s="1"/>
  <c r="I39" i="20" a="1"/>
  <c r="I39" i="20" s="1"/>
  <c r="H22" i="18" a="1"/>
  <c r="H22" i="18" s="1"/>
  <c r="I22" i="20" a="1"/>
  <c r="I22" i="20" s="1"/>
  <c r="I14" i="18" a="1"/>
  <c r="I14" i="18" s="1"/>
  <c r="I12" i="18" a="1"/>
  <c r="I12" i="18" s="1"/>
  <c r="J12" i="20" a="1"/>
  <c r="J12" i="20" s="1"/>
  <c r="I21" i="18" a="1"/>
  <c r="I21" i="18" s="1"/>
  <c r="J21" i="20" a="1"/>
  <c r="J21" i="20" s="1"/>
  <c r="J25" i="25" a="1"/>
  <c r="J25" i="25" s="1"/>
  <c r="J25" i="20" a="1"/>
  <c r="J25" i="20" s="1"/>
  <c r="CX40" i="7" a="1"/>
  <c r="CX40" i="7" s="1"/>
  <c r="CX18" i="7" a="1"/>
  <c r="CX18" i="7" s="1"/>
  <c r="D25" i="25" a="1"/>
  <c r="D25" i="25" s="1"/>
  <c r="D25" i="20" a="1"/>
  <c r="D25" i="20" s="1"/>
  <c r="D30" i="18" a="1"/>
  <c r="D30" i="18" s="1"/>
  <c r="D30" i="20" a="1"/>
  <c r="D30" i="20" s="1"/>
  <c r="D31" i="24" a="1"/>
  <c r="D31" i="24" s="1"/>
  <c r="D31" i="20" a="1"/>
  <c r="D31" i="20" s="1"/>
  <c r="D44" i="24" a="1"/>
  <c r="D44" i="24" s="1"/>
  <c r="D44" i="20" a="1"/>
  <c r="D44" i="20" s="1"/>
  <c r="D56" i="23" a="1"/>
  <c r="D56" i="23" s="1"/>
  <c r="D56" i="20" a="1"/>
  <c r="D56" i="20" s="1"/>
  <c r="I46" i="25" a="1"/>
  <c r="I46" i="25" s="1"/>
  <c r="I46" i="20" a="1"/>
  <c r="I46" i="20" s="1"/>
  <c r="H36" i="18" a="1"/>
  <c r="H36" i="18" s="1"/>
  <c r="I36" i="20" a="1"/>
  <c r="I36" i="20" s="1"/>
  <c r="I10" i="25" a="1"/>
  <c r="I10" i="25" s="1"/>
  <c r="I10" i="20" a="1"/>
  <c r="I10" i="20" s="1"/>
  <c r="I56" i="25" a="1"/>
  <c r="I56" i="25" s="1"/>
  <c r="I56" i="20" a="1"/>
  <c r="I56" i="20" s="1"/>
  <c r="H54" i="18" a="1"/>
  <c r="H54" i="18" s="1"/>
  <c r="I54" i="20" a="1"/>
  <c r="I54" i="20" s="1"/>
  <c r="J14" i="25" a="1"/>
  <c r="J14" i="25" s="1"/>
  <c r="I40" i="18" a="1"/>
  <c r="I40" i="18" s="1"/>
  <c r="J40" i="20" a="1"/>
  <c r="J40" i="20" s="1"/>
  <c r="J41" i="25" a="1"/>
  <c r="J41" i="25" s="1"/>
  <c r="J41" i="20" a="1"/>
  <c r="J41" i="20" s="1"/>
  <c r="J54" i="25" a="1"/>
  <c r="J54" i="25" s="1"/>
  <c r="J54" i="20" a="1"/>
  <c r="J54" i="20" s="1"/>
  <c r="J51" i="25" a="1"/>
  <c r="J51" i="25" s="1"/>
  <c r="J10" i="25" a="1"/>
  <c r="J10" i="25" s="1"/>
  <c r="J10" i="20" a="1"/>
  <c r="J10" i="20" s="1"/>
  <c r="CX12" i="7" a="1"/>
  <c r="CX12" i="7" s="1"/>
  <c r="CX46" i="7" a="1"/>
  <c r="CX46" i="7" s="1"/>
  <c r="D13" i="17" a="1"/>
  <c r="D13" i="17" s="1"/>
  <c r="D13" i="20" a="1"/>
  <c r="D13" i="20" s="1"/>
  <c r="C48" i="23" a="1"/>
  <c r="C48" i="23" s="1"/>
  <c r="C48" i="20" a="1"/>
  <c r="C48" i="20" s="1"/>
  <c r="D12" i="17" a="1"/>
  <c r="D12" i="17" s="1"/>
  <c r="D12" i="20" a="1"/>
  <c r="D12" i="20" s="1"/>
  <c r="D20" i="23" a="1"/>
  <c r="D20" i="23" s="1"/>
  <c r="D20" i="20" a="1"/>
  <c r="D20" i="20" s="1"/>
  <c r="D23" i="21" a="1"/>
  <c r="D23" i="21" s="1"/>
  <c r="D23" i="20" a="1"/>
  <c r="D23" i="20" s="1"/>
  <c r="D37" i="23" a="1"/>
  <c r="D37" i="23" s="1"/>
  <c r="D37" i="20" a="1"/>
  <c r="D37" i="20" s="1"/>
  <c r="D8" i="23" a="1"/>
  <c r="D8" i="23" s="1"/>
  <c r="D8" i="20" a="1"/>
  <c r="D8" i="20" s="1"/>
  <c r="I26" i="25" a="1"/>
  <c r="I26" i="25" s="1"/>
  <c r="I26" i="20" a="1"/>
  <c r="I26" i="20" s="1"/>
  <c r="H17" i="18" a="1"/>
  <c r="H17" i="18" s="1"/>
  <c r="I17" i="20" a="1"/>
  <c r="I17" i="20" s="1"/>
  <c r="H31" i="18" a="1"/>
  <c r="H31" i="18" s="1"/>
  <c r="I31" i="20" a="1"/>
  <c r="I31" i="20" s="1"/>
  <c r="H42" i="18" a="1"/>
  <c r="H42" i="18" s="1"/>
  <c r="I42" i="20" a="1"/>
  <c r="I42" i="20" s="1"/>
  <c r="I51" i="18" a="1"/>
  <c r="I51" i="18" s="1"/>
  <c r="J34" i="25" a="1"/>
  <c r="J34" i="25" s="1"/>
  <c r="J34" i="20" a="1"/>
  <c r="J34" i="20" s="1"/>
  <c r="CX27" i="7" a="1"/>
  <c r="CX27" i="7" s="1"/>
  <c r="DA27" i="7" s="1"/>
  <c r="CX53" i="7" a="1"/>
  <c r="CX53" i="7" s="1"/>
  <c r="DA53" i="7" s="1"/>
  <c r="I20" i="25" a="1"/>
  <c r="I20" i="25" s="1"/>
  <c r="CX54" i="7" a="1"/>
  <c r="CX54" i="7" s="1"/>
  <c r="I18" i="18" a="1"/>
  <c r="I18" i="18" s="1"/>
  <c r="CX20" i="7" a="1"/>
  <c r="CX20" i="7" s="1"/>
  <c r="DA20" i="7" s="1"/>
  <c r="CX34" i="7" a="1"/>
  <c r="CX34" i="7" s="1"/>
  <c r="CX43" i="7" a="1"/>
  <c r="CX43" i="7" s="1"/>
  <c r="CX30" i="7" a="1"/>
  <c r="CX30" i="7" s="1"/>
  <c r="DA30" i="7" s="1"/>
  <c r="CX49" i="7" a="1"/>
  <c r="CX49" i="7" s="1"/>
  <c r="CX21" i="7" a="1"/>
  <c r="CX21" i="7" s="1"/>
  <c r="CX35" i="7" a="1"/>
  <c r="CX35" i="7" s="1"/>
  <c r="CX45" i="7" a="1"/>
  <c r="CX45" i="7" s="1"/>
  <c r="CX10" i="7" a="1"/>
  <c r="CX10" i="7" s="1"/>
  <c r="CX13" i="7" a="1"/>
  <c r="CX13" i="7" s="1"/>
  <c r="CX23" i="7" a="1"/>
  <c r="CX23" i="7" s="1"/>
  <c r="CX33" i="7" a="1"/>
  <c r="CX33" i="7" s="1"/>
  <c r="CX42" i="7" a="1"/>
  <c r="CX42" i="7" s="1"/>
  <c r="CX52" i="7" a="1"/>
  <c r="CX52" i="7" s="1"/>
  <c r="CX41" i="7" a="1"/>
  <c r="CX41" i="7" s="1"/>
  <c r="DA41" i="7" s="1"/>
  <c r="CX11" i="7" a="1"/>
  <c r="CX11" i="7" s="1"/>
  <c r="CX8" i="7" a="1"/>
  <c r="CX8" i="7" s="1"/>
  <c r="CX24" i="7" a="1"/>
  <c r="CX24" i="7" s="1"/>
  <c r="DA24" i="7" s="1"/>
  <c r="CX55" i="7" a="1"/>
  <c r="CX55" i="7" s="1"/>
  <c r="CX56" i="7" a="1"/>
  <c r="CX56" i="7" s="1"/>
  <c r="DA56" i="7" s="1"/>
  <c r="CX22" i="7" a="1"/>
  <c r="CX22" i="7" s="1"/>
  <c r="DA22" i="7" s="1"/>
  <c r="CX51" i="7" a="1"/>
  <c r="CX51" i="7" s="1"/>
  <c r="CX19" i="7" a="1"/>
  <c r="CX19" i="7" s="1"/>
  <c r="CX29" i="7" a="1"/>
  <c r="CX29" i="7" s="1"/>
  <c r="CX38" i="7" a="1"/>
  <c r="CX38" i="7" s="1"/>
  <c r="DA38" i="7" s="1"/>
  <c r="CX48" i="7" a="1"/>
  <c r="CX48" i="7" s="1"/>
  <c r="DA48" i="7" s="1"/>
  <c r="CX57" i="7" a="1"/>
  <c r="CX57" i="7" s="1"/>
  <c r="CX32" i="7" a="1"/>
  <c r="CX32" i="7" s="1"/>
  <c r="CX44" i="7" a="1"/>
  <c r="CX44" i="7" s="1"/>
  <c r="CX17" i="7" a="1"/>
  <c r="CX17" i="7" s="1"/>
  <c r="CX37" i="7" a="1"/>
  <c r="CX37" i="7" s="1"/>
  <c r="DA37" i="7" s="1"/>
  <c r="CX9" i="7" a="1"/>
  <c r="CX9" i="7" s="1"/>
  <c r="CX14" i="7" a="1"/>
  <c r="CX14" i="7" s="1"/>
  <c r="CX36" i="7" a="1"/>
  <c r="CX36" i="7" s="1"/>
  <c r="DA36" i="7" s="1"/>
  <c r="CX25" i="7" a="1"/>
  <c r="CX25" i="7" s="1"/>
  <c r="DA25" i="7" s="1"/>
  <c r="CX26" i="7" a="1"/>
  <c r="CX26" i="7" s="1"/>
  <c r="J18" i="25" a="1"/>
  <c r="J18" i="25" s="1"/>
  <c r="I34" i="18" a="1"/>
  <c r="I34" i="18" s="1"/>
  <c r="I49" i="18" a="1"/>
  <c r="I49" i="18" s="1"/>
  <c r="J49" i="25" a="1"/>
  <c r="J49" i="25" s="1"/>
  <c r="J47" i="25" a="1"/>
  <c r="J47" i="25" s="1"/>
  <c r="I25" i="18" a="1"/>
  <c r="I25" i="18" s="1"/>
  <c r="G38" i="21" a="1"/>
  <c r="G38" i="21" s="1"/>
  <c r="I47" i="18" a="1"/>
  <c r="I47" i="18" s="1"/>
  <c r="P10" i="29" a="1"/>
  <c r="P10" i="29" s="1"/>
  <c r="H52" i="18" a="1"/>
  <c r="H52" i="18" s="1"/>
  <c r="BL8" i="7"/>
  <c r="P21" i="29" a="1"/>
  <c r="P21" i="29" s="1"/>
  <c r="P13" i="29" a="1"/>
  <c r="P13" i="29" s="1"/>
  <c r="P23" i="29" a="1"/>
  <c r="P23" i="29" s="1"/>
  <c r="J26" i="25" a="1"/>
  <c r="J26" i="25" s="1"/>
  <c r="I31" i="18" a="1"/>
  <c r="I31" i="18" s="1"/>
  <c r="J40" i="25" a="1"/>
  <c r="J40" i="25" s="1"/>
  <c r="I22" i="25" a="1"/>
  <c r="I22" i="25" s="1"/>
  <c r="H45" i="18" a="1"/>
  <c r="H45" i="18" s="1"/>
  <c r="I54" i="25" a="1"/>
  <c r="I54" i="25" s="1"/>
  <c r="I54" i="18" a="1"/>
  <c r="I54" i="18" s="1"/>
  <c r="I27" i="18" a="1"/>
  <c r="I27" i="18" s="1"/>
  <c r="I45" i="25" a="1"/>
  <c r="I45" i="25" s="1"/>
  <c r="I42" i="18" a="1"/>
  <c r="I42" i="18" s="1"/>
  <c r="J24" i="25" a="1"/>
  <c r="J24" i="25" s="1"/>
  <c r="J23" i="25" a="1"/>
  <c r="J23" i="25" s="1"/>
  <c r="J55" i="25" a="1"/>
  <c r="J55" i="25" s="1"/>
  <c r="I22" i="18" a="1"/>
  <c r="I22" i="18" s="1"/>
  <c r="J7" i="25" a="1"/>
  <c r="J7" i="25" s="1"/>
  <c r="I45" i="18" a="1"/>
  <c r="I45" i="18" s="1"/>
  <c r="I7" i="18" a="1"/>
  <c r="I7" i="18" s="1"/>
  <c r="D53" i="25" a="1"/>
  <c r="D53" i="25" s="1"/>
  <c r="P11" i="29" a="1"/>
  <c r="P11" i="29" s="1"/>
  <c r="J42" i="25" a="1"/>
  <c r="J42" i="25" s="1"/>
  <c r="I44" i="18" a="1"/>
  <c r="I44" i="18" s="1"/>
  <c r="I46" i="18" a="1"/>
  <c r="I46" i="18" s="1"/>
  <c r="E53" i="24" a="1"/>
  <c r="E53" i="24" s="1"/>
  <c r="I11" i="18" a="1"/>
  <c r="I11" i="18" s="1"/>
  <c r="J44" i="25" a="1"/>
  <c r="J44" i="25" s="1"/>
  <c r="I53" i="25" a="1"/>
  <c r="I53" i="25" s="1"/>
  <c r="P22" i="29" a="1"/>
  <c r="P22" i="29" s="1"/>
  <c r="AO21" i="26" a="1"/>
  <c r="AO21" i="26" s="1"/>
  <c r="I18" i="23" s="1" a="1"/>
  <c r="I18" i="23" s="1"/>
  <c r="AO56" i="26" a="1"/>
  <c r="AO56" i="26" s="1"/>
  <c r="I53" i="23" s="1" a="1"/>
  <c r="I53" i="23" s="1"/>
  <c r="AO27" i="26" a="1"/>
  <c r="AO27" i="26" s="1"/>
  <c r="I24" i="23" s="1" a="1"/>
  <c r="I24" i="23" s="1"/>
  <c r="AO28" i="26" a="1"/>
  <c r="AO28" i="26" s="1"/>
  <c r="I25" i="23" s="1" a="1"/>
  <c r="I25" i="23" s="1"/>
  <c r="AO29" i="26" a="1"/>
  <c r="AO29" i="26" s="1"/>
  <c r="I26" i="23" s="1" a="1"/>
  <c r="I26" i="23" s="1"/>
  <c r="AO37" i="26" a="1"/>
  <c r="AO37" i="26" s="1"/>
  <c r="I34" i="23" s="1" a="1"/>
  <c r="I34" i="23" s="1"/>
  <c r="AO43" i="26" a="1"/>
  <c r="AO43" i="26" s="1"/>
  <c r="I40" i="23" s="1" a="1"/>
  <c r="I40" i="23" s="1"/>
  <c r="AO13" i="26" a="1"/>
  <c r="AO13" i="26" s="1"/>
  <c r="I10" i="23" s="1" a="1"/>
  <c r="I10" i="23" s="1"/>
  <c r="AO53" i="26" a="1"/>
  <c r="AO53" i="26" s="1"/>
  <c r="I50" i="23" s="1" a="1"/>
  <c r="I50" i="23" s="1"/>
  <c r="AO47" i="26" a="1"/>
  <c r="AO47" i="26" s="1"/>
  <c r="I44" i="23" s="1" a="1"/>
  <c r="I44" i="23" s="1"/>
  <c r="I49" i="25" a="1"/>
  <c r="I49" i="25" s="1"/>
  <c r="J20" i="25" a="1"/>
  <c r="J20" i="25" s="1"/>
  <c r="J11" i="25" a="1"/>
  <c r="J11" i="25" s="1"/>
  <c r="J30" i="25" a="1"/>
  <c r="J30" i="25" s="1"/>
  <c r="I24" i="18" a="1"/>
  <c r="I24" i="18" s="1"/>
  <c r="I10" i="18" a="1"/>
  <c r="I10" i="18" s="1"/>
  <c r="J46" i="25" a="1"/>
  <c r="J46" i="25" s="1"/>
  <c r="I39" i="18" a="1"/>
  <c r="I39" i="18" s="1"/>
  <c r="I52" i="25" a="1"/>
  <c r="I52" i="25" s="1"/>
  <c r="I38" i="25" a="1"/>
  <c r="I38" i="25" s="1"/>
  <c r="J39" i="25" a="1"/>
  <c r="J39" i="25" s="1"/>
  <c r="I53" i="18" a="1"/>
  <c r="I53" i="18" s="1"/>
  <c r="D56" i="24" a="1"/>
  <c r="D56" i="24" s="1"/>
  <c r="J12" i="25" a="1"/>
  <c r="J12" i="25" s="1"/>
  <c r="J53" i="25" a="1"/>
  <c r="J53" i="25" s="1"/>
  <c r="J15" i="25" a="1"/>
  <c r="J15" i="25" s="1"/>
  <c r="I20" i="18" a="1"/>
  <c r="I20" i="18" s="1"/>
  <c r="I38" i="18" a="1"/>
  <c r="I38" i="18" s="1"/>
  <c r="J32" i="25" a="1"/>
  <c r="J32" i="25" s="1"/>
  <c r="I32" i="18" a="1"/>
  <c r="I32" i="18" s="1"/>
  <c r="I7" i="25" a="1"/>
  <c r="I7" i="25" s="1"/>
  <c r="H12" i="18" a="1"/>
  <c r="H12" i="18" s="1"/>
  <c r="I13" i="18" a="1"/>
  <c r="I13" i="18" s="1"/>
  <c r="I33" i="18" a="1"/>
  <c r="I33" i="18" s="1"/>
  <c r="J43" i="25" a="1"/>
  <c r="J43" i="25" s="1"/>
  <c r="J19" i="25" a="1"/>
  <c r="J19" i="25" s="1"/>
  <c r="J33" i="25" a="1"/>
  <c r="J33" i="25" s="1"/>
  <c r="J9" i="25" a="1"/>
  <c r="J9" i="25" s="1"/>
  <c r="I19" i="18" a="1"/>
  <c r="I19" i="18" s="1"/>
  <c r="J50" i="25" a="1"/>
  <c r="J50" i="25" s="1"/>
  <c r="H39" i="18" a="1"/>
  <c r="H39" i="18" s="1"/>
  <c r="I9" i="25" a="1"/>
  <c r="I9" i="25" s="1"/>
  <c r="H56" i="18" a="1"/>
  <c r="H56" i="18" s="1"/>
  <c r="H29" i="18" a="1"/>
  <c r="H29" i="18" s="1"/>
  <c r="I14" i="25" a="1"/>
  <c r="I14" i="25" s="1"/>
  <c r="H16" i="18" a="1"/>
  <c r="H16" i="18" s="1"/>
  <c r="H38" i="18" a="1"/>
  <c r="H38" i="18" s="1"/>
  <c r="H43" i="18" a="1"/>
  <c r="H43" i="18" s="1"/>
  <c r="H8" i="18" a="1"/>
  <c r="H8" i="18" s="1"/>
  <c r="I31" i="25" a="1"/>
  <c r="I31" i="25" s="1"/>
  <c r="I15" i="25" a="1"/>
  <c r="I15" i="25" s="1"/>
  <c r="H34" i="18" a="1"/>
  <c r="H34" i="18" s="1"/>
  <c r="J21" i="25" a="1"/>
  <c r="J21" i="25" s="1"/>
  <c r="J52" i="25" a="1"/>
  <c r="J52" i="25" s="1"/>
  <c r="I52" i="18" a="1"/>
  <c r="I52" i="18" s="1"/>
  <c r="I44" i="25" a="1"/>
  <c r="I44" i="25" s="1"/>
  <c r="H44" i="18" a="1"/>
  <c r="H44" i="18" s="1"/>
  <c r="I21" i="25" a="1"/>
  <c r="I21" i="25" s="1"/>
  <c r="H27" i="18" a="1"/>
  <c r="H27" i="18" s="1"/>
  <c r="I16" i="18" a="1"/>
  <c r="I16" i="18" s="1"/>
  <c r="J16" i="25" a="1"/>
  <c r="J16" i="25" s="1"/>
  <c r="I56" i="18" a="1"/>
  <c r="I56" i="18" s="1"/>
  <c r="J56" i="25" a="1"/>
  <c r="J56" i="25" s="1"/>
  <c r="I48" i="18" a="1"/>
  <c r="I48" i="18" s="1"/>
  <c r="J48" i="25" a="1"/>
  <c r="J48" i="25" s="1"/>
  <c r="H55" i="18" a="1"/>
  <c r="H55" i="18" s="1"/>
  <c r="J28" i="25" a="1"/>
  <c r="J28" i="25" s="1"/>
  <c r="I28" i="18" a="1"/>
  <c r="I28" i="18" s="1"/>
  <c r="I16" i="25" a="1"/>
  <c r="I16" i="25" s="1"/>
  <c r="I17" i="25" a="1"/>
  <c r="I17" i="25" s="1"/>
  <c r="H28" i="18" a="1"/>
  <c r="H28" i="18" s="1"/>
  <c r="I28" i="25" a="1"/>
  <c r="I28" i="25" s="1"/>
  <c r="H53" i="18" a="1"/>
  <c r="H53" i="18" s="1"/>
  <c r="I42" i="25" a="1"/>
  <c r="I42" i="25" s="1"/>
  <c r="H47" i="18" a="1"/>
  <c r="H47" i="18" s="1"/>
  <c r="H23" i="18" a="1"/>
  <c r="H23" i="18" s="1"/>
  <c r="I23" i="25" a="1"/>
  <c r="I23" i="25" s="1"/>
  <c r="H50" i="18" a="1"/>
  <c r="H50" i="18" s="1"/>
  <c r="I13" i="25" a="1"/>
  <c r="I13" i="25" s="1"/>
  <c r="H7" i="18" a="1"/>
  <c r="H7" i="18" s="1"/>
  <c r="I48" i="25" a="1"/>
  <c r="I48" i="25" s="1"/>
  <c r="I50" i="25" a="1"/>
  <c r="I50" i="25" s="1"/>
  <c r="H48" i="18" a="1"/>
  <c r="H48" i="18" s="1"/>
  <c r="H26" i="18" a="1"/>
  <c r="H26" i="18" s="1"/>
  <c r="H10" i="18" a="1"/>
  <c r="H10" i="18" s="1"/>
  <c r="H51" i="18" a="1"/>
  <c r="H51" i="18" s="1"/>
  <c r="I51" i="25" a="1"/>
  <c r="I51" i="25" s="1"/>
  <c r="AO11" i="26" a="1"/>
  <c r="AO11" i="26" s="1"/>
  <c r="I8" i="23" s="1" a="1"/>
  <c r="I8" i="23" s="1"/>
  <c r="AO26" i="26" a="1"/>
  <c r="AO26" i="26" s="1"/>
  <c r="I23" i="23" s="1" a="1"/>
  <c r="I23" i="23" s="1"/>
  <c r="AO42" i="26" a="1"/>
  <c r="AO42" i="26" s="1"/>
  <c r="I39" i="23" s="1" a="1"/>
  <c r="I39" i="23" s="1"/>
  <c r="AO54" i="26" a="1"/>
  <c r="AO54" i="26" s="1"/>
  <c r="I51" i="23" s="1" a="1"/>
  <c r="I51" i="23" s="1"/>
  <c r="AO44" i="26" a="1"/>
  <c r="AO44" i="26" s="1"/>
  <c r="I41" i="23" s="1" a="1"/>
  <c r="I41" i="23" s="1"/>
  <c r="AO45" i="26" a="1"/>
  <c r="AO45" i="26" s="1"/>
  <c r="I42" i="23" s="1" a="1"/>
  <c r="I42" i="23" s="1"/>
  <c r="AO18" i="26" a="1"/>
  <c r="AO18" i="26" s="1"/>
  <c r="I15" i="23" s="1" a="1"/>
  <c r="I15" i="23" s="1"/>
  <c r="AO34" i="26" a="1"/>
  <c r="AO34" i="26" s="1"/>
  <c r="I31" i="23" s="1" a="1"/>
  <c r="I31" i="23" s="1"/>
  <c r="AO50" i="26" a="1"/>
  <c r="AO50" i="26" s="1"/>
  <c r="I47" i="23" s="1" a="1"/>
  <c r="I47" i="23" s="1"/>
  <c r="AO19" i="26" a="1"/>
  <c r="AO19" i="26" s="1"/>
  <c r="I16" i="23" s="1" a="1"/>
  <c r="I16" i="23" s="1"/>
  <c r="AO35" i="26" a="1"/>
  <c r="AO35" i="26" s="1"/>
  <c r="I32" i="23" s="1" a="1"/>
  <c r="I32" i="23" s="1"/>
  <c r="AO51" i="26" a="1"/>
  <c r="AO51" i="26" s="1"/>
  <c r="I48" i="23" s="1" a="1"/>
  <c r="I48" i="23" s="1"/>
  <c r="AO20" i="26" a="1"/>
  <c r="AO20" i="26" s="1"/>
  <c r="I17" i="23" s="1" a="1"/>
  <c r="I17" i="23" s="1"/>
  <c r="AO36" i="26" a="1"/>
  <c r="AO36" i="26" s="1"/>
  <c r="I33" i="23" s="1" a="1"/>
  <c r="I33" i="23" s="1"/>
  <c r="AO52" i="26" a="1"/>
  <c r="AO52" i="26" s="1"/>
  <c r="I49" i="23" s="1" a="1"/>
  <c r="I49" i="23" s="1"/>
  <c r="I35" i="25" a="1"/>
  <c r="I35" i="25" s="1"/>
  <c r="D34" i="22" a="1"/>
  <c r="D34" i="22" s="1"/>
  <c r="BL11" i="7"/>
  <c r="E10" i="20" s="1" a="1"/>
  <c r="E10" i="20" s="1"/>
  <c r="BL13" i="7"/>
  <c r="E12" i="20" s="1" a="1"/>
  <c r="E12" i="20" s="1"/>
  <c r="I36" i="25" a="1"/>
  <c r="I36" i="25" s="1"/>
  <c r="BL10" i="7"/>
  <c r="E9" i="20" s="1" a="1"/>
  <c r="E9" i="20" s="1"/>
  <c r="I24" i="25" a="1"/>
  <c r="I24" i="25" s="1"/>
  <c r="H24" i="18" a="1"/>
  <c r="H24" i="18" s="1"/>
  <c r="H40" i="18" a="1"/>
  <c r="H40" i="18" s="1"/>
  <c r="I40" i="25" a="1"/>
  <c r="I40" i="25" s="1"/>
  <c r="H32" i="18" a="1"/>
  <c r="H32" i="18" s="1"/>
  <c r="I32" i="25" a="1"/>
  <c r="I32" i="25" s="1"/>
  <c r="H18" i="18" a="1"/>
  <c r="H18" i="18" s="1"/>
  <c r="I18" i="25" a="1"/>
  <c r="I18" i="25" s="1"/>
  <c r="H46" i="18" a="1"/>
  <c r="H46" i="18" s="1"/>
  <c r="I11" i="25" a="1"/>
  <c r="I11" i="25" s="1"/>
  <c r="H11" i="18" a="1"/>
  <c r="H11" i="18" s="1"/>
  <c r="I37" i="25" a="1"/>
  <c r="I37" i="25" s="1"/>
  <c r="H37" i="18" a="1"/>
  <c r="H37" i="18" s="1"/>
  <c r="I19" i="25" a="1"/>
  <c r="I19" i="25" s="1"/>
  <c r="H19" i="18" a="1"/>
  <c r="H19" i="18" s="1"/>
  <c r="I41" i="25" a="1"/>
  <c r="I41" i="25" s="1"/>
  <c r="H41" i="18" a="1"/>
  <c r="H41" i="18" s="1"/>
  <c r="I33" i="25" a="1"/>
  <c r="I33" i="25" s="1"/>
  <c r="H33" i="18" a="1"/>
  <c r="H33" i="18" s="1"/>
  <c r="D21" i="21" a="1"/>
  <c r="D21" i="21" s="1"/>
  <c r="BL12" i="7"/>
  <c r="E11" i="20" s="1" a="1"/>
  <c r="E11" i="20" s="1"/>
  <c r="I42" i="24" a="1"/>
  <c r="I42" i="24" s="1"/>
  <c r="FL35" i="7" a="1"/>
  <c r="FL35" i="7" s="1"/>
  <c r="FM35" i="7" s="1"/>
  <c r="I24" i="24" a="1"/>
  <c r="I24" i="24" s="1"/>
  <c r="I19" i="24" a="1"/>
  <c r="I19" i="24" s="1"/>
  <c r="D44" i="23" a="1"/>
  <c r="D44" i="23" s="1"/>
  <c r="AO25" i="26" a="1"/>
  <c r="AO25" i="26" s="1"/>
  <c r="I22" i="23" s="1" a="1"/>
  <c r="I22" i="23" s="1"/>
  <c r="AO33" i="26" a="1"/>
  <c r="AO33" i="26" s="1"/>
  <c r="I30" i="23" s="1" a="1"/>
  <c r="I30" i="23" s="1"/>
  <c r="AO41" i="26" a="1"/>
  <c r="AO41" i="26" s="1"/>
  <c r="I38" i="23" s="1" a="1"/>
  <c r="I38" i="23" s="1"/>
  <c r="AO49" i="26" a="1"/>
  <c r="AO49" i="26" s="1"/>
  <c r="I46" i="23" s="1" a="1"/>
  <c r="I46" i="23" s="1"/>
  <c r="AO57" i="26" a="1"/>
  <c r="AO57" i="26" s="1"/>
  <c r="I54" i="23" s="1" a="1"/>
  <c r="I54" i="23" s="1"/>
  <c r="AO58" i="26" a="1"/>
  <c r="AO58" i="26" s="1"/>
  <c r="I55" i="23" s="1" a="1"/>
  <c r="I55" i="23" s="1"/>
  <c r="AO59" i="26" a="1"/>
  <c r="AO59" i="26" s="1"/>
  <c r="I56" i="23" s="1" a="1"/>
  <c r="I56" i="23" s="1"/>
  <c r="AO15" i="26" a="1"/>
  <c r="AO15" i="26" s="1"/>
  <c r="I12" i="23" s="1" a="1"/>
  <c r="I12" i="23" s="1"/>
  <c r="AO22" i="26" a="1"/>
  <c r="AO22" i="26" s="1"/>
  <c r="I19" i="23" s="1" a="1"/>
  <c r="I19" i="23" s="1"/>
  <c r="AO30" i="26" a="1"/>
  <c r="AO30" i="26" s="1"/>
  <c r="I27" i="23" s="1" a="1"/>
  <c r="I27" i="23" s="1"/>
  <c r="AO38" i="26" a="1"/>
  <c r="AO38" i="26" s="1"/>
  <c r="I35" i="23" s="1" a="1"/>
  <c r="I35" i="23" s="1"/>
  <c r="AO46" i="26" a="1"/>
  <c r="AO46" i="26" s="1"/>
  <c r="I43" i="23" s="1" a="1"/>
  <c r="I43" i="23" s="1"/>
  <c r="AO16" i="26" a="1"/>
  <c r="AO16" i="26" s="1"/>
  <c r="I13" i="23" s="1" a="1"/>
  <c r="I13" i="23" s="1"/>
  <c r="AO23" i="26" a="1"/>
  <c r="AO23" i="26" s="1"/>
  <c r="I20" i="23" s="1" a="1"/>
  <c r="I20" i="23" s="1"/>
  <c r="AO31" i="26" a="1"/>
  <c r="AO31" i="26" s="1"/>
  <c r="I28" i="23" s="1" a="1"/>
  <c r="I28" i="23" s="1"/>
  <c r="AO39" i="26" a="1"/>
  <c r="AO39" i="26" s="1"/>
  <c r="I36" i="23" s="1" a="1"/>
  <c r="I36" i="23" s="1"/>
  <c r="AO55" i="26" a="1"/>
  <c r="AO55" i="26" s="1"/>
  <c r="I52" i="23" s="1" a="1"/>
  <c r="I52" i="23" s="1"/>
  <c r="AO17" i="26" a="1"/>
  <c r="AO17" i="26" s="1"/>
  <c r="I14" i="23" s="1" a="1"/>
  <c r="I14" i="23" s="1"/>
  <c r="AO24" i="26" a="1"/>
  <c r="AO24" i="26" s="1"/>
  <c r="I21" i="23" s="1" a="1"/>
  <c r="I21" i="23" s="1"/>
  <c r="AO32" i="26" a="1"/>
  <c r="AO32" i="26" s="1"/>
  <c r="I29" i="23" s="1" a="1"/>
  <c r="I29" i="23" s="1"/>
  <c r="AO40" i="26" a="1"/>
  <c r="AO40" i="26" s="1"/>
  <c r="I37" i="23" s="1" a="1"/>
  <c r="I37" i="23" s="1"/>
  <c r="AO48" i="26" a="1"/>
  <c r="AO48" i="26" s="1"/>
  <c r="I45" i="23" s="1" a="1"/>
  <c r="I45" i="23" s="1"/>
  <c r="FL27" i="7" a="1"/>
  <c r="FL27" i="7" s="1"/>
  <c r="FM27" i="7" s="1"/>
  <c r="FL44" i="7" a="1"/>
  <c r="FL44" i="7" s="1"/>
  <c r="FM44" i="7" s="1"/>
  <c r="FL16" i="7" a="1"/>
  <c r="FL16" i="7" s="1"/>
  <c r="FM16" i="7" s="1"/>
  <c r="FL10" i="7" a="1"/>
  <c r="FL10" i="7" s="1"/>
  <c r="FM10" i="7" s="1"/>
  <c r="FL26" i="7" a="1"/>
  <c r="FL26" i="7" s="1"/>
  <c r="FM26" i="7" s="1"/>
  <c r="FL38" i="7" a="1"/>
  <c r="FL38" i="7" s="1"/>
  <c r="FM38" i="7" s="1"/>
  <c r="FL9" i="7" a="1"/>
  <c r="FL9" i="7" s="1"/>
  <c r="FM9" i="7" s="1"/>
  <c r="FL17" i="7" a="1"/>
  <c r="FL17" i="7" s="1"/>
  <c r="FM17" i="7" s="1"/>
  <c r="P25" i="29" s="1" a="1"/>
  <c r="P25" i="29" s="1"/>
  <c r="FL54" i="7" a="1"/>
  <c r="FL54" i="7" s="1"/>
  <c r="FM54" i="7" s="1"/>
  <c r="FL13" i="7" a="1"/>
  <c r="FL13" i="7" s="1"/>
  <c r="FM13" i="7" s="1"/>
  <c r="FL25" i="7" a="1"/>
  <c r="FL25" i="7" s="1"/>
  <c r="FM25" i="7" s="1"/>
  <c r="FL52" i="7" a="1"/>
  <c r="FL52" i="7" s="1"/>
  <c r="FM52" i="7" s="1"/>
  <c r="FL43" i="7" a="1"/>
  <c r="FL43" i="7" s="1"/>
  <c r="FM43" i="7" s="1"/>
  <c r="FL34" i="7" a="1"/>
  <c r="FL34" i="7" s="1"/>
  <c r="FM34" i="7" s="1"/>
  <c r="FL20" i="7" a="1"/>
  <c r="FL20" i="7" s="1"/>
  <c r="FM20" i="7" s="1"/>
  <c r="FL12" i="7" a="1"/>
  <c r="FL12" i="7" s="1"/>
  <c r="FM12" i="7" s="1"/>
  <c r="FL42" i="7" a="1"/>
  <c r="FL42" i="7" s="1"/>
  <c r="FM42" i="7" s="1"/>
  <c r="FL28" i="7" a="1"/>
  <c r="FL28" i="7" s="1"/>
  <c r="FM28" i="7" s="1"/>
  <c r="FL11" i="7" a="1"/>
  <c r="FL11" i="7" s="1"/>
  <c r="FM11" i="7" s="1"/>
  <c r="FL55" i="7" a="1"/>
  <c r="FL55" i="7" s="1"/>
  <c r="FM55" i="7" s="1"/>
  <c r="FL46" i="7" a="1"/>
  <c r="FL46" i="7" s="1"/>
  <c r="FM46" i="7" s="1"/>
  <c r="FL37" i="7" a="1"/>
  <c r="FL37" i="7" s="1"/>
  <c r="FM37" i="7" s="1"/>
  <c r="FL23" i="7" a="1"/>
  <c r="FL23" i="7" s="1"/>
  <c r="FM23" i="7" s="1"/>
  <c r="FL15" i="7" a="1"/>
  <c r="FL15" i="7" s="1"/>
  <c r="FM15" i="7" s="1"/>
  <c r="FL50" i="7" a="1"/>
  <c r="FL50" i="7" s="1"/>
  <c r="FM50" i="7" s="1"/>
  <c r="FL18" i="7" a="1"/>
  <c r="FL18" i="7" s="1"/>
  <c r="FM18" i="7" s="1"/>
  <c r="FL53" i="7" a="1"/>
  <c r="FL53" i="7" s="1"/>
  <c r="FM53" i="7" s="1"/>
  <c r="FL39" i="7" a="1"/>
  <c r="FL39" i="7" s="1"/>
  <c r="FM39" i="7" s="1"/>
  <c r="FL30" i="7" a="1"/>
  <c r="FL30" i="7" s="1"/>
  <c r="FM30" i="7" s="1"/>
  <c r="FL21" i="7" a="1"/>
  <c r="FL21" i="7" s="1"/>
  <c r="FM21" i="7" s="1"/>
  <c r="FL24" i="7" a="1"/>
  <c r="FL24" i="7" s="1"/>
  <c r="FM24" i="7" s="1"/>
  <c r="FL33" i="7" a="1"/>
  <c r="FL33" i="7" s="1"/>
  <c r="FM33" i="7" s="1"/>
  <c r="FL8" i="7" a="1"/>
  <c r="FL8" i="7" s="1"/>
  <c r="FM8" i="7" s="1"/>
  <c r="FL51" i="7" a="1"/>
  <c r="FL51" i="7" s="1"/>
  <c r="FM51" i="7" s="1"/>
  <c r="FL31" i="7" a="1"/>
  <c r="FL31" i="7" s="1"/>
  <c r="FM31" i="7" s="1"/>
  <c r="FL32" i="7" a="1"/>
  <c r="FL32" i="7" s="1"/>
  <c r="FM32" i="7" s="1"/>
  <c r="FL41" i="7" a="1"/>
  <c r="FL41" i="7" s="1"/>
  <c r="FM41" i="7" s="1"/>
  <c r="FL14" i="7" a="1"/>
  <c r="FL14" i="7" s="1"/>
  <c r="FM14" i="7" s="1"/>
  <c r="FL19" i="7" a="1"/>
  <c r="FL19" i="7" s="1"/>
  <c r="FM19" i="7" s="1"/>
  <c r="FL40" i="7" a="1"/>
  <c r="FL40" i="7" s="1"/>
  <c r="FM40" i="7" s="1"/>
  <c r="FL49" i="7" a="1"/>
  <c r="FL49" i="7" s="1"/>
  <c r="FM49" i="7" s="1"/>
  <c r="FL29" i="7" a="1"/>
  <c r="FL29" i="7" s="1"/>
  <c r="FM29" i="7" s="1"/>
  <c r="FL57" i="7" a="1"/>
  <c r="FL57" i="7" s="1"/>
  <c r="FM57" i="7" s="1"/>
  <c r="FL45" i="7" a="1"/>
  <c r="FL45" i="7" s="1"/>
  <c r="FM45" i="7" s="1"/>
  <c r="FL47" i="7" a="1"/>
  <c r="FL47" i="7" s="1"/>
  <c r="FM47" i="7" s="1"/>
  <c r="BL9" i="7"/>
  <c r="E8" i="20" s="1" a="1"/>
  <c r="E8" i="20" s="1"/>
  <c r="FL36" i="7" a="1"/>
  <c r="FL36" i="7" s="1"/>
  <c r="FM36" i="7" s="1"/>
  <c r="FL48" i="7" a="1"/>
  <c r="FL48" i="7" s="1"/>
  <c r="FM48" i="7" s="1"/>
  <c r="FL56" i="7" a="1"/>
  <c r="FL56" i="7" s="1"/>
  <c r="FM56" i="7" s="1"/>
  <c r="FL22" i="7" a="1"/>
  <c r="FL22" i="7" s="1"/>
  <c r="FM22" i="7" s="1"/>
  <c r="BI49" i="7"/>
  <c r="BL49" i="7"/>
  <c r="E48" i="20" s="1" a="1"/>
  <c r="E48" i="20" s="1"/>
  <c r="BI30" i="7"/>
  <c r="BL30" i="7"/>
  <c r="E29" i="20" s="1" a="1"/>
  <c r="E29" i="20" s="1"/>
  <c r="BI47" i="7"/>
  <c r="BL47" i="7"/>
  <c r="E46" i="20" s="1" a="1"/>
  <c r="E46" i="20" s="1"/>
  <c r="BI24" i="7"/>
  <c r="BL24" i="7"/>
  <c r="E23" i="20" s="1" a="1"/>
  <c r="E23" i="20" s="1"/>
  <c r="BI57" i="7"/>
  <c r="BL57" i="7"/>
  <c r="E56" i="20" s="1" a="1"/>
  <c r="E56" i="20" s="1"/>
  <c r="BI20" i="7"/>
  <c r="BL20" i="7"/>
  <c r="E19" i="20" s="1" a="1"/>
  <c r="E19" i="20" s="1"/>
  <c r="BI38" i="7"/>
  <c r="BL38" i="7"/>
  <c r="E37" i="20" s="1" a="1"/>
  <c r="E37" i="20" s="1"/>
  <c r="BI55" i="7"/>
  <c r="BL55" i="7"/>
  <c r="E54" i="20" s="1" a="1"/>
  <c r="E54" i="20" s="1"/>
  <c r="BI32" i="7"/>
  <c r="BL32" i="7"/>
  <c r="E31" i="20" s="1" a="1"/>
  <c r="E31" i="20" s="1"/>
  <c r="BI33" i="7"/>
  <c r="BL33" i="7"/>
  <c r="E32" i="20" s="1" a="1"/>
  <c r="E32" i="20" s="1"/>
  <c r="BI43" i="7"/>
  <c r="BL43" i="7"/>
  <c r="E42" i="20" s="1" a="1"/>
  <c r="E42" i="20" s="1"/>
  <c r="BI15" i="7"/>
  <c r="BL15" i="7"/>
  <c r="E14" i="20" s="1" a="1"/>
  <c r="E14" i="20" s="1"/>
  <c r="BI31" i="7"/>
  <c r="BL31" i="7"/>
  <c r="E30" i="20" s="1" a="1"/>
  <c r="E30" i="20" s="1"/>
  <c r="BI42" i="7"/>
  <c r="BL42" i="7"/>
  <c r="E41" i="20" s="1" a="1"/>
  <c r="E41" i="20" s="1"/>
  <c r="BI14" i="7"/>
  <c r="BL14" i="7"/>
  <c r="E13" i="20" s="1" a="1"/>
  <c r="E13" i="20" s="1"/>
  <c r="BI28" i="7"/>
  <c r="BL28" i="7"/>
  <c r="E27" i="20" s="1" a="1"/>
  <c r="E27" i="20" s="1"/>
  <c r="BI46" i="7"/>
  <c r="BL46" i="7"/>
  <c r="E45" i="20" s="1" a="1"/>
  <c r="E45" i="20" s="1"/>
  <c r="BI21" i="7"/>
  <c r="BL21" i="7"/>
  <c r="E20" i="20" s="1" a="1"/>
  <c r="E20" i="20" s="1"/>
  <c r="BI40" i="7"/>
  <c r="BL40" i="7"/>
  <c r="E39" i="20" s="1" a="1"/>
  <c r="E39" i="20" s="1"/>
  <c r="BI19" i="7"/>
  <c r="BL19" i="7"/>
  <c r="E18" i="20" s="1" a="1"/>
  <c r="E18" i="20" s="1"/>
  <c r="BI36" i="7"/>
  <c r="BL36" i="7"/>
  <c r="E35" i="20" s="1" a="1"/>
  <c r="E35" i="20" s="1"/>
  <c r="BI54" i="7"/>
  <c r="BL54" i="7"/>
  <c r="E53" i="20" s="1" a="1"/>
  <c r="E53" i="20" s="1"/>
  <c r="BI18" i="7"/>
  <c r="BL18" i="7"/>
  <c r="E17" i="20" s="1" a="1"/>
  <c r="E17" i="20" s="1"/>
  <c r="BI29" i="7"/>
  <c r="BL29" i="7"/>
  <c r="E28" i="20" s="1" a="1"/>
  <c r="E28" i="20" s="1"/>
  <c r="BI48" i="7"/>
  <c r="BL48" i="7"/>
  <c r="E47" i="20" s="1" a="1"/>
  <c r="E47" i="20" s="1"/>
  <c r="BI25" i="7"/>
  <c r="BL25" i="7"/>
  <c r="E24" i="20" s="1" a="1"/>
  <c r="E24" i="20" s="1"/>
  <c r="BI35" i="7"/>
  <c r="BL35" i="7"/>
  <c r="E34" i="20" s="1" a="1"/>
  <c r="E34" i="20" s="1"/>
  <c r="BI52" i="7"/>
  <c r="BL52" i="7"/>
  <c r="E51" i="20" s="1" a="1"/>
  <c r="E51" i="20" s="1"/>
  <c r="BI23" i="7"/>
  <c r="BL23" i="7"/>
  <c r="E22" i="20" s="1" a="1"/>
  <c r="E22" i="20" s="1"/>
  <c r="BI34" i="7"/>
  <c r="BL34" i="7"/>
  <c r="E33" i="20" s="1" a="1"/>
  <c r="E33" i="20" s="1"/>
  <c r="BI45" i="7"/>
  <c r="BL45" i="7"/>
  <c r="E44" i="20" s="1" a="1"/>
  <c r="E44" i="20" s="1"/>
  <c r="BI53" i="7"/>
  <c r="BL53" i="7"/>
  <c r="E52" i="20" s="1" a="1"/>
  <c r="E52" i="20" s="1"/>
  <c r="BI17" i="7"/>
  <c r="BL17" i="7"/>
  <c r="E16" i="20" s="1" a="1"/>
  <c r="E16" i="20" s="1"/>
  <c r="BI27" i="7"/>
  <c r="BL27" i="7"/>
  <c r="E26" i="20" s="1" a="1"/>
  <c r="E26" i="20" s="1"/>
  <c r="BI44" i="7"/>
  <c r="BL44" i="7"/>
  <c r="E43" i="20" s="1" a="1"/>
  <c r="E43" i="20" s="1"/>
  <c r="BI26" i="7"/>
  <c r="BL26" i="7"/>
  <c r="E25" i="20" s="1" a="1"/>
  <c r="E25" i="20" s="1"/>
  <c r="BI37" i="7"/>
  <c r="BL37" i="7"/>
  <c r="E36" i="20" s="1" a="1"/>
  <c r="E36" i="20" s="1"/>
  <c r="BI56" i="7"/>
  <c r="BL56" i="7"/>
  <c r="E55" i="20" s="1" a="1"/>
  <c r="E55" i="20" s="1"/>
  <c r="BI41" i="7"/>
  <c r="BL41" i="7"/>
  <c r="E40" i="20" s="1" a="1"/>
  <c r="E40" i="20" s="1"/>
  <c r="BI51" i="7"/>
  <c r="BL51" i="7"/>
  <c r="E50" i="20" s="1" a="1"/>
  <c r="E50" i="20" s="1"/>
  <c r="BI22" i="7"/>
  <c r="BL22" i="7"/>
  <c r="E21" i="20" s="1" a="1"/>
  <c r="E21" i="20" s="1"/>
  <c r="BI39" i="7"/>
  <c r="BL39" i="7"/>
  <c r="E38" i="20" s="1" a="1"/>
  <c r="E38" i="20" s="1"/>
  <c r="BI50" i="7"/>
  <c r="BL50" i="7"/>
  <c r="E49" i="20" s="1" a="1"/>
  <c r="E49" i="20" s="1"/>
  <c r="BI16" i="7"/>
  <c r="BL16" i="7"/>
  <c r="E15" i="20" s="1" a="1"/>
  <c r="E15" i="20" s="1"/>
  <c r="D56" i="21" a="1"/>
  <c r="D56" i="21" s="1"/>
  <c r="D8" i="25" a="1"/>
  <c r="D8" i="25" s="1"/>
  <c r="D15" i="17" a="1"/>
  <c r="D15" i="17" s="1"/>
  <c r="D15" i="25" a="1"/>
  <c r="D15" i="25" s="1"/>
  <c r="D15" i="22" a="1"/>
  <c r="D15" i="22" s="1"/>
  <c r="D15" i="18" a="1"/>
  <c r="D15" i="18" s="1"/>
  <c r="D10" i="22" a="1"/>
  <c r="D10" i="22" s="1"/>
  <c r="D56" i="18" a="1"/>
  <c r="D56" i="18" s="1"/>
  <c r="D10" i="18" a="1"/>
  <c r="D10" i="18" s="1"/>
  <c r="D56" i="25" a="1"/>
  <c r="D56" i="25" s="1"/>
  <c r="D8" i="18" a="1"/>
  <c r="D8" i="18" s="1"/>
  <c r="D22" i="23" a="1"/>
  <c r="D22" i="23" s="1"/>
  <c r="D16" i="21" a="1"/>
  <c r="D16" i="21" s="1"/>
  <c r="D20" i="22" a="1"/>
  <c r="D20" i="22" s="1"/>
  <c r="D15" i="24" a="1"/>
  <c r="D15" i="24" s="1"/>
  <c r="D16" i="18" a="1"/>
  <c r="D16" i="18" s="1"/>
  <c r="D15" i="21" a="1"/>
  <c r="D15" i="21" s="1"/>
  <c r="D16" i="17" a="1"/>
  <c r="D16" i="17" s="1"/>
  <c r="C51" i="24" a="1"/>
  <c r="C51" i="24" s="1"/>
  <c r="D8" i="24" a="1"/>
  <c r="D8" i="24" s="1"/>
  <c r="D8" i="21" a="1"/>
  <c r="D8" i="21" s="1"/>
  <c r="D56" i="22" a="1"/>
  <c r="D56" i="22" s="1"/>
  <c r="D22" i="22" a="1"/>
  <c r="D22" i="22" s="1"/>
  <c r="D8" i="22" a="1"/>
  <c r="D8" i="22" s="1"/>
  <c r="D56" i="17" a="1"/>
  <c r="D56" i="17" s="1"/>
  <c r="D8" i="17" a="1"/>
  <c r="D8" i="17" s="1"/>
  <c r="D51" i="18" a="1"/>
  <c r="D51" i="18" s="1"/>
  <c r="D35" i="24" a="1"/>
  <c r="D35" i="24" s="1"/>
  <c r="D53" i="24" a="1"/>
  <c r="D53" i="24" s="1"/>
  <c r="D21" i="18" a="1"/>
  <c r="D21" i="18" s="1"/>
  <c r="D51" i="17" a="1"/>
  <c r="D51" i="17" s="1"/>
  <c r="D21" i="23" a="1"/>
  <c r="D21" i="23" s="1"/>
  <c r="D51" i="23" a="1"/>
  <c r="D51" i="23" s="1"/>
  <c r="D21" i="17" a="1"/>
  <c r="D21" i="17" s="1"/>
  <c r="D51" i="25" a="1"/>
  <c r="D51" i="25" s="1"/>
  <c r="D21" i="25" a="1"/>
  <c r="D21" i="25" s="1"/>
  <c r="D21" i="22" a="1"/>
  <c r="D21" i="22" s="1"/>
  <c r="D51" i="21" a="1"/>
  <c r="D51" i="21" s="1"/>
  <c r="D53" i="21" a="1"/>
  <c r="D53" i="21" s="1"/>
  <c r="FH40" i="7"/>
  <c r="G39" i="17" s="1" a="1"/>
  <c r="G39" i="17" s="1"/>
  <c r="D30" i="23" a="1"/>
  <c r="D30" i="23" s="1"/>
  <c r="D51" i="22" a="1"/>
  <c r="D51" i="22" s="1"/>
  <c r="D54" i="24" a="1"/>
  <c r="D54" i="24" s="1"/>
  <c r="D31" i="23" a="1"/>
  <c r="D31" i="23" s="1"/>
  <c r="D54" i="17" a="1"/>
  <c r="D54" i="17" s="1"/>
  <c r="D13" i="22" a="1"/>
  <c r="D13" i="22" s="1"/>
  <c r="D54" i="23" a="1"/>
  <c r="D54" i="23" s="1"/>
  <c r="I43" i="24" a="1"/>
  <c r="I43" i="24" s="1"/>
  <c r="D37" i="25" a="1"/>
  <c r="D37" i="25" s="1"/>
  <c r="D42" i="22" a="1"/>
  <c r="D42" i="22" s="1"/>
  <c r="D42" i="24" a="1"/>
  <c r="D42" i="24" s="1"/>
  <c r="D20" i="17" a="1"/>
  <c r="D20" i="17" s="1"/>
  <c r="D37" i="21" a="1"/>
  <c r="D37" i="21" s="1"/>
  <c r="D22" i="18" a="1"/>
  <c r="D22" i="18" s="1"/>
  <c r="D20" i="25" a="1"/>
  <c r="D20" i="25" s="1"/>
  <c r="D44" i="18" a="1"/>
  <c r="D44" i="18" s="1"/>
  <c r="D54" i="21" a="1"/>
  <c r="D54" i="21" s="1"/>
  <c r="D22" i="25" a="1"/>
  <c r="D22" i="25" s="1"/>
  <c r="D10" i="17" a="1"/>
  <c r="D10" i="17" s="1"/>
  <c r="D23" i="25" a="1"/>
  <c r="D23" i="25" s="1"/>
  <c r="D43" i="23" a="1"/>
  <c r="D43" i="23" s="1"/>
  <c r="FH21" i="7"/>
  <c r="G20" i="17" s="1" a="1"/>
  <c r="G20" i="17" s="1"/>
  <c r="FH22" i="7"/>
  <c r="G21" i="17" s="1" a="1"/>
  <c r="G21" i="17" s="1"/>
  <c r="D44" i="17" a="1"/>
  <c r="D44" i="17" s="1"/>
  <c r="D43" i="25" a="1"/>
  <c r="D43" i="25" s="1"/>
  <c r="D54" i="22" a="1"/>
  <c r="D54" i="22" s="1"/>
  <c r="FH11" i="7"/>
  <c r="G10" i="17" s="1" a="1"/>
  <c r="G10" i="17" s="1"/>
  <c r="FH39" i="7"/>
  <c r="G38" i="17" s="1" a="1"/>
  <c r="G38" i="17" s="1"/>
  <c r="FH12" i="7"/>
  <c r="G11" i="17" s="1" a="1"/>
  <c r="G11" i="17" s="1"/>
  <c r="FH37" i="7"/>
  <c r="G36" i="17" s="1" a="1"/>
  <c r="G36" i="17" s="1"/>
  <c r="FH31" i="7"/>
  <c r="G30" i="17" s="1" a="1"/>
  <c r="G30" i="17" s="1"/>
  <c r="FH44" i="7"/>
  <c r="G43" i="17" s="1" a="1"/>
  <c r="G43" i="17" s="1"/>
  <c r="FH45" i="7"/>
  <c r="G44" i="17" s="1" a="1"/>
  <c r="G44" i="17" s="1"/>
  <c r="FH49" i="7"/>
  <c r="G48" i="17" s="1" a="1"/>
  <c r="G48" i="17" s="1"/>
  <c r="D31" i="17" a="1"/>
  <c r="D31" i="17" s="1"/>
  <c r="FH19" i="7"/>
  <c r="G18" i="17" s="1" a="1"/>
  <c r="G18" i="17" s="1"/>
  <c r="FH20" i="7"/>
  <c r="G19" i="17" s="1" a="1"/>
  <c r="G19" i="17" s="1"/>
  <c r="FH32" i="7"/>
  <c r="G31" i="17" s="1" a="1"/>
  <c r="G31" i="17" s="1"/>
  <c r="D31" i="21" a="1"/>
  <c r="D31" i="21" s="1"/>
  <c r="D54" i="18" a="1"/>
  <c r="D54" i="18" s="1"/>
  <c r="FH52" i="7"/>
  <c r="G51" i="17" s="1" a="1"/>
  <c r="G51" i="17" s="1"/>
  <c r="FH50" i="7"/>
  <c r="G49" i="17" s="1" a="1"/>
  <c r="G49" i="17" s="1"/>
  <c r="FH9" i="7"/>
  <c r="G8" i="17" s="1" a="1"/>
  <c r="G8" i="17" s="1"/>
  <c r="FH17" i="7"/>
  <c r="FH18" i="7"/>
  <c r="G17" i="17" s="1" a="1"/>
  <c r="G17" i="17" s="1"/>
  <c r="FH46" i="7"/>
  <c r="G45" i="17" s="1" a="1"/>
  <c r="G45" i="17" s="1"/>
  <c r="FH16" i="7"/>
  <c r="G15" i="17" s="1" a="1"/>
  <c r="G15" i="17" s="1"/>
  <c r="FH30" i="7"/>
  <c r="G29" i="17" s="1" a="1"/>
  <c r="G29" i="17" s="1"/>
  <c r="FH26" i="7"/>
  <c r="G25" i="17" s="1" a="1"/>
  <c r="G25" i="17" s="1"/>
  <c r="FH41" i="7"/>
  <c r="G40" i="17" s="1" a="1"/>
  <c r="G40" i="17" s="1"/>
  <c r="D43" i="18" a="1"/>
  <c r="D43" i="18" s="1"/>
  <c r="FH54" i="7"/>
  <c r="G53" i="17" s="1" a="1"/>
  <c r="G53" i="17" s="1"/>
  <c r="FH55" i="7"/>
  <c r="G54" i="17" s="1" a="1"/>
  <c r="G54" i="17" s="1"/>
  <c r="FH25" i="7"/>
  <c r="G24" i="17" s="1" a="1"/>
  <c r="G24" i="17" s="1"/>
  <c r="D43" i="17" a="1"/>
  <c r="D43" i="17" s="1"/>
  <c r="D16" i="23" a="1"/>
  <c r="D16" i="23" s="1"/>
  <c r="D23" i="22" a="1"/>
  <c r="D23" i="22" s="1"/>
  <c r="FH36" i="7"/>
  <c r="G35" i="17" s="1" a="1"/>
  <c r="G35" i="17" s="1"/>
  <c r="FH53" i="7"/>
  <c r="G52" i="17" s="1" a="1"/>
  <c r="G52" i="17" s="1"/>
  <c r="FH48" i="7"/>
  <c r="G47" i="17" s="1" a="1"/>
  <c r="G47" i="17" s="1"/>
  <c r="FH10" i="7"/>
  <c r="G9" i="17" s="1" a="1"/>
  <c r="G9" i="17" s="1"/>
  <c r="FH43" i="7"/>
  <c r="G42" i="17" s="1" a="1"/>
  <c r="G42" i="17" s="1"/>
  <c r="FH34" i="7"/>
  <c r="G33" i="17" s="1" a="1"/>
  <c r="G33" i="17" s="1"/>
  <c r="FH24" i="7"/>
  <c r="G23" i="17" s="1" a="1"/>
  <c r="G23" i="17" s="1"/>
  <c r="FH57" i="7"/>
  <c r="G56" i="17" s="1" a="1"/>
  <c r="G56" i="17" s="1"/>
  <c r="FH47" i="7"/>
  <c r="G46" i="17" s="1" a="1"/>
  <c r="G46" i="17" s="1"/>
  <c r="FH38" i="7"/>
  <c r="G37" i="17" s="1" a="1"/>
  <c r="G37" i="17" s="1"/>
  <c r="FH29" i="7"/>
  <c r="G28" i="17" s="1" a="1"/>
  <c r="G28" i="17" s="1"/>
  <c r="FH23" i="7"/>
  <c r="G22" i="17" s="1" a="1"/>
  <c r="G22" i="17" s="1"/>
  <c r="FH14" i="7"/>
  <c r="G13" i="17" s="1" a="1"/>
  <c r="G13" i="17" s="1"/>
  <c r="FH8" i="7"/>
  <c r="G7" i="17" s="1" a="1"/>
  <c r="G7" i="17" s="1"/>
  <c r="FH56" i="7"/>
  <c r="G55" i="17" s="1" a="1"/>
  <c r="G55" i="17" s="1"/>
  <c r="FH51" i="7"/>
  <c r="G50" i="17" s="1" a="1"/>
  <c r="G50" i="17" s="1"/>
  <c r="FH42" i="7"/>
  <c r="G41" i="17" s="1" a="1"/>
  <c r="G41" i="17" s="1"/>
  <c r="FH28" i="7"/>
  <c r="G27" i="17" s="1" a="1"/>
  <c r="G27" i="17" s="1"/>
  <c r="FH13" i="7"/>
  <c r="G12" i="17" s="1" a="1"/>
  <c r="G12" i="17" s="1"/>
  <c r="FH35" i="7"/>
  <c r="G34" i="17" s="1" a="1"/>
  <c r="G34" i="17" s="1"/>
  <c r="FH27" i="7"/>
  <c r="G26" i="17" s="1" a="1"/>
  <c r="G26" i="17" s="1"/>
  <c r="FH15" i="7"/>
  <c r="G14" i="17" s="1" a="1"/>
  <c r="G14" i="17" s="1"/>
  <c r="FH33" i="7"/>
  <c r="G32" i="17" s="1" a="1"/>
  <c r="G32" i="17" s="1"/>
  <c r="D9" i="21" a="1"/>
  <c r="D9" i="21" s="1"/>
  <c r="D23" i="18" a="1"/>
  <c r="D23" i="18" s="1"/>
  <c r="D12" i="25" a="1"/>
  <c r="D12" i="25" s="1"/>
  <c r="D36" i="24" a="1"/>
  <c r="D36" i="24" s="1"/>
  <c r="D31" i="25" a="1"/>
  <c r="D31" i="25" s="1"/>
  <c r="D36" i="21" a="1"/>
  <c r="D36" i="21" s="1"/>
  <c r="D10" i="23" a="1"/>
  <c r="D10" i="23" s="1"/>
  <c r="D36" i="22" a="1"/>
  <c r="D36" i="22" s="1"/>
  <c r="D31" i="18" a="1"/>
  <c r="D31" i="18" s="1"/>
  <c r="D37" i="22" a="1"/>
  <c r="D37" i="22" s="1"/>
  <c r="D16" i="25" a="1"/>
  <c r="D16" i="25" s="1"/>
  <c r="D20" i="24" a="1"/>
  <c r="D20" i="24" s="1"/>
  <c r="D10" i="25" a="1"/>
  <c r="D10" i="25" s="1"/>
  <c r="D23" i="23" a="1"/>
  <c r="D23" i="23" s="1"/>
  <c r="D44" i="25" a="1"/>
  <c r="D44" i="25" s="1"/>
  <c r="D37" i="17" a="1"/>
  <c r="D37" i="17" s="1"/>
  <c r="D44" i="21" a="1"/>
  <c r="D44" i="21" s="1"/>
  <c r="D43" i="21" a="1"/>
  <c r="D43" i="21" s="1"/>
  <c r="D37" i="24" a="1"/>
  <c r="D37" i="24" s="1"/>
  <c r="D22" i="24" a="1"/>
  <c r="D22" i="24" s="1"/>
  <c r="D28" i="24" a="1"/>
  <c r="D28" i="24" s="1"/>
  <c r="D16" i="22" a="1"/>
  <c r="D16" i="22" s="1"/>
  <c r="D20" i="21" a="1"/>
  <c r="D20" i="21" s="1"/>
  <c r="D10" i="24" a="1"/>
  <c r="D10" i="24" s="1"/>
  <c r="D23" i="17" a="1"/>
  <c r="D23" i="17" s="1"/>
  <c r="D36" i="18" a="1"/>
  <c r="D36" i="18" s="1"/>
  <c r="D44" i="22" a="1"/>
  <c r="D44" i="22" s="1"/>
  <c r="D31" i="22" a="1"/>
  <c r="D31" i="22" s="1"/>
  <c r="D43" i="22" a="1"/>
  <c r="D43" i="22" s="1"/>
  <c r="D37" i="18" a="1"/>
  <c r="D37" i="18" s="1"/>
  <c r="D22" i="17" a="1"/>
  <c r="D22" i="17" s="1"/>
  <c r="D28" i="17" a="1"/>
  <c r="D28" i="17" s="1"/>
  <c r="D20" i="18" a="1"/>
  <c r="D20" i="18" s="1"/>
  <c r="D23" i="24" a="1"/>
  <c r="D23" i="24" s="1"/>
  <c r="D53" i="23" a="1"/>
  <c r="D53" i="23" s="1"/>
  <c r="D53" i="22" a="1"/>
  <c r="D53" i="22" s="1"/>
  <c r="D53" i="18" a="1"/>
  <c r="D53" i="18" s="1"/>
  <c r="D53" i="17" a="1"/>
  <c r="D53" i="17" s="1"/>
  <c r="D36" i="25" a="1"/>
  <c r="D36" i="25" s="1"/>
  <c r="D28" i="21" a="1"/>
  <c r="D28" i="21" s="1"/>
  <c r="D36" i="17" a="1"/>
  <c r="D36" i="17" s="1"/>
  <c r="D28" i="18" a="1"/>
  <c r="D28" i="18" s="1"/>
  <c r="D36" i="23" a="1"/>
  <c r="D36" i="23" s="1"/>
  <c r="D28" i="23" a="1"/>
  <c r="D28" i="23" s="1"/>
  <c r="I51" i="24" a="1"/>
  <c r="I51" i="24" s="1"/>
  <c r="D42" i="18" a="1"/>
  <c r="D42" i="18" s="1"/>
  <c r="D28" i="25" a="1"/>
  <c r="D28" i="25" s="1"/>
  <c r="D9" i="23" a="1"/>
  <c r="D9" i="23" s="1"/>
  <c r="D42" i="17" a="1"/>
  <c r="D42" i="17" s="1"/>
  <c r="D9" i="25" a="1"/>
  <c r="D9" i="25" s="1"/>
  <c r="D42" i="23" a="1"/>
  <c r="D42" i="23" s="1"/>
  <c r="D9" i="24" a="1"/>
  <c r="D9" i="24" s="1"/>
  <c r="D39" i="22" a="1"/>
  <c r="D39" i="22" s="1"/>
  <c r="D39" i="17" a="1"/>
  <c r="D39" i="17" s="1"/>
  <c r="D39" i="21" a="1"/>
  <c r="D39" i="21" s="1"/>
  <c r="D39" i="24" a="1"/>
  <c r="D39" i="24" s="1"/>
  <c r="D39" i="23" a="1"/>
  <c r="D39" i="23" s="1"/>
  <c r="D39" i="18" a="1"/>
  <c r="D39" i="18" s="1"/>
  <c r="D39" i="25" a="1"/>
  <c r="D39" i="25" s="1"/>
  <c r="D30" i="25" a="1"/>
  <c r="D30" i="25" s="1"/>
  <c r="D55" i="24" a="1"/>
  <c r="D55" i="24" s="1"/>
  <c r="D55" i="23" a="1"/>
  <c r="D55" i="23" s="1"/>
  <c r="D55" i="21" a="1"/>
  <c r="D55" i="21" s="1"/>
  <c r="D55" i="18" a="1"/>
  <c r="D55" i="18" s="1"/>
  <c r="D55" i="25" a="1"/>
  <c r="D55" i="25" s="1"/>
  <c r="D55" i="22" a="1"/>
  <c r="D55" i="22" s="1"/>
  <c r="D55" i="17" a="1"/>
  <c r="D55" i="17" s="1"/>
  <c r="D35" i="25" a="1"/>
  <c r="D35" i="25" s="1"/>
  <c r="D35" i="21" a="1"/>
  <c r="D35" i="21" s="1"/>
  <c r="D35" i="23" a="1"/>
  <c r="D35" i="23" s="1"/>
  <c r="D35" i="18" a="1"/>
  <c r="D35" i="18" s="1"/>
  <c r="D24" i="24" a="1"/>
  <c r="D24" i="24" s="1"/>
  <c r="D24" i="23" a="1"/>
  <c r="D24" i="23" s="1"/>
  <c r="D24" i="18" a="1"/>
  <c r="D24" i="18" s="1"/>
  <c r="D24" i="25" a="1"/>
  <c r="D24" i="25" s="1"/>
  <c r="D24" i="22" a="1"/>
  <c r="D24" i="22" s="1"/>
  <c r="D24" i="21" a="1"/>
  <c r="D24" i="21" s="1"/>
  <c r="D24" i="17" a="1"/>
  <c r="D24" i="17" s="1"/>
  <c r="D14" i="17" a="1"/>
  <c r="D14" i="17" s="1"/>
  <c r="D30" i="22" a="1"/>
  <c r="D30" i="22" s="1"/>
  <c r="D7" i="24" a="1"/>
  <c r="D7" i="24" s="1"/>
  <c r="D7" i="25" a="1"/>
  <c r="D7" i="25" s="1"/>
  <c r="D7" i="22" a="1"/>
  <c r="D7" i="22" s="1"/>
  <c r="D7" i="23" a="1"/>
  <c r="D7" i="23" s="1"/>
  <c r="D7" i="18" a="1"/>
  <c r="D7" i="18" s="1"/>
  <c r="D7" i="21" a="1"/>
  <c r="D7" i="21" s="1"/>
  <c r="D7" i="17" a="1"/>
  <c r="D7" i="17" s="1"/>
  <c r="D38" i="17" a="1"/>
  <c r="D38" i="17" s="1"/>
  <c r="D38" i="21" a="1"/>
  <c r="D38" i="21" s="1"/>
  <c r="D38" i="24" a="1"/>
  <c r="D38" i="24" s="1"/>
  <c r="D38" i="23" a="1"/>
  <c r="D38" i="23" s="1"/>
  <c r="D38" i="18" a="1"/>
  <c r="D38" i="18" s="1"/>
  <c r="D38" i="25" a="1"/>
  <c r="D38" i="25" s="1"/>
  <c r="D38" i="22" a="1"/>
  <c r="D38" i="22" s="1"/>
  <c r="D30" i="24" a="1"/>
  <c r="D30" i="24" s="1"/>
  <c r="D45" i="25" a="1"/>
  <c r="D45" i="25" s="1"/>
  <c r="D45" i="22" a="1"/>
  <c r="D45" i="22" s="1"/>
  <c r="D45" i="17" a="1"/>
  <c r="D45" i="17" s="1"/>
  <c r="D45" i="24" a="1"/>
  <c r="D45" i="24" s="1"/>
  <c r="D45" i="23" a="1"/>
  <c r="D45" i="23" s="1"/>
  <c r="D45" i="21" a="1"/>
  <c r="D45" i="21" s="1"/>
  <c r="D45" i="18" a="1"/>
  <c r="D45" i="18" s="1"/>
  <c r="I27" i="24" a="1"/>
  <c r="I27" i="24" s="1"/>
  <c r="I33" i="24" a="1"/>
  <c r="I33" i="24" s="1"/>
  <c r="I55" i="24" a="1"/>
  <c r="I55" i="24" s="1"/>
  <c r="D14" i="21" a="1"/>
  <c r="D14" i="21" s="1"/>
  <c r="D30" i="17" a="1"/>
  <c r="D30" i="17" s="1"/>
  <c r="D42" i="25" a="1"/>
  <c r="D42" i="25" s="1"/>
  <c r="D9" i="17" a="1"/>
  <c r="D9" i="17" s="1"/>
  <c r="D29" i="17" a="1"/>
  <c r="D29" i="17" s="1"/>
  <c r="D29" i="24" a="1"/>
  <c r="D29" i="24" s="1"/>
  <c r="D29" i="23" a="1"/>
  <c r="D29" i="23" s="1"/>
  <c r="D29" i="18" a="1"/>
  <c r="D29" i="18" s="1"/>
  <c r="D29" i="25" a="1"/>
  <c r="D29" i="25" s="1"/>
  <c r="D29" i="22" a="1"/>
  <c r="D29" i="22" s="1"/>
  <c r="D29" i="21" a="1"/>
  <c r="D29" i="21" s="1"/>
  <c r="D11" i="25" a="1"/>
  <c r="D11" i="25" s="1"/>
  <c r="D11" i="22" a="1"/>
  <c r="D11" i="22" s="1"/>
  <c r="D11" i="17" a="1"/>
  <c r="D11" i="17" s="1"/>
  <c r="D11" i="21" a="1"/>
  <c r="D11" i="21" s="1"/>
  <c r="D11" i="18" a="1"/>
  <c r="D11" i="18" s="1"/>
  <c r="D11" i="24" a="1"/>
  <c r="D11" i="24" s="1"/>
  <c r="D11" i="23" a="1"/>
  <c r="D11" i="23" s="1"/>
  <c r="I26" i="24" a="1"/>
  <c r="I26" i="24" s="1"/>
  <c r="I50" i="24" a="1"/>
  <c r="I50" i="24" s="1"/>
  <c r="D35" i="17" a="1"/>
  <c r="D35" i="17" s="1"/>
  <c r="D30" i="21" a="1"/>
  <c r="D30" i="21" s="1"/>
  <c r="D9" i="22" a="1"/>
  <c r="D9" i="22" s="1"/>
  <c r="D17" i="25" a="1"/>
  <c r="D17" i="25" s="1"/>
  <c r="D17" i="22" a="1"/>
  <c r="D17" i="22" s="1"/>
  <c r="D17" i="17" a="1"/>
  <c r="D17" i="17" s="1"/>
  <c r="D17" i="21" a="1"/>
  <c r="D17" i="21" s="1"/>
  <c r="D17" i="18" a="1"/>
  <c r="D17" i="18" s="1"/>
  <c r="D17" i="24" a="1"/>
  <c r="D17" i="24" s="1"/>
  <c r="D17" i="23" a="1"/>
  <c r="D17" i="23" s="1"/>
  <c r="D46" i="18" a="1"/>
  <c r="D46" i="18" s="1"/>
  <c r="D46" i="25" a="1"/>
  <c r="D46" i="25" s="1"/>
  <c r="D46" i="22" a="1"/>
  <c r="D46" i="22" s="1"/>
  <c r="D46" i="17" a="1"/>
  <c r="D46" i="17" s="1"/>
  <c r="D46" i="24" a="1"/>
  <c r="D46" i="24" s="1"/>
  <c r="D46" i="23" a="1"/>
  <c r="D46" i="23" s="1"/>
  <c r="D46" i="21" a="1"/>
  <c r="D46" i="21" s="1"/>
  <c r="I31" i="24" a="1"/>
  <c r="I31" i="24" s="1"/>
  <c r="D52" i="21" a="1"/>
  <c r="D52" i="21" s="1"/>
  <c r="D52" i="18" a="1"/>
  <c r="D52" i="18" s="1"/>
  <c r="D52" i="25" a="1"/>
  <c r="D52" i="25" s="1"/>
  <c r="D52" i="22" a="1"/>
  <c r="D52" i="22" s="1"/>
  <c r="D52" i="17" a="1"/>
  <c r="D52" i="17" s="1"/>
  <c r="D52" i="24" a="1"/>
  <c r="D52" i="24" s="1"/>
  <c r="D52" i="23" a="1"/>
  <c r="D52" i="23" s="1"/>
  <c r="D41" i="25" a="1"/>
  <c r="D41" i="25" s="1"/>
  <c r="D41" i="23" a="1"/>
  <c r="D41" i="23" s="1"/>
  <c r="D41" i="17" a="1"/>
  <c r="D41" i="17" s="1"/>
  <c r="D41" i="18" a="1"/>
  <c r="D41" i="18" s="1"/>
  <c r="D41" i="24" a="1"/>
  <c r="D41" i="24" s="1"/>
  <c r="D41" i="22" a="1"/>
  <c r="D41" i="22" s="1"/>
  <c r="D41" i="21" a="1"/>
  <c r="D41" i="21" s="1"/>
  <c r="D34" i="24" a="1"/>
  <c r="D34" i="24" s="1"/>
  <c r="D34" i="21" a="1"/>
  <c r="D34" i="21" s="1"/>
  <c r="D34" i="17" a="1"/>
  <c r="D34" i="17" s="1"/>
  <c r="D34" i="25" a="1"/>
  <c r="D34" i="25" s="1"/>
  <c r="D34" i="23" a="1"/>
  <c r="D34" i="23" s="1"/>
  <c r="D34" i="18" a="1"/>
  <c r="D34" i="18" s="1"/>
  <c r="D49" i="18" a="1"/>
  <c r="D49" i="18" s="1"/>
  <c r="D49" i="25" a="1"/>
  <c r="D49" i="25" s="1"/>
  <c r="D49" i="23" a="1"/>
  <c r="D49" i="23" s="1"/>
  <c r="D49" i="17" a="1"/>
  <c r="D49" i="17" s="1"/>
  <c r="D49" i="24" a="1"/>
  <c r="D49" i="24" s="1"/>
  <c r="D49" i="22" a="1"/>
  <c r="D49" i="22" s="1"/>
  <c r="D49" i="21" a="1"/>
  <c r="D49" i="21" s="1"/>
  <c r="C48" i="21" a="1"/>
  <c r="C48" i="21" s="1"/>
  <c r="I38" i="24" a="1"/>
  <c r="I38" i="24" s="1"/>
  <c r="C48" i="22" a="1"/>
  <c r="C48" i="22" s="1"/>
  <c r="D40" i="25" a="1"/>
  <c r="D40" i="25" s="1"/>
  <c r="D40" i="23" a="1"/>
  <c r="D40" i="23" s="1"/>
  <c r="D40" i="17" a="1"/>
  <c r="D40" i="17" s="1"/>
  <c r="D40" i="18" a="1"/>
  <c r="D40" i="18" s="1"/>
  <c r="D40" i="24" a="1"/>
  <c r="D40" i="24" s="1"/>
  <c r="D40" i="22" a="1"/>
  <c r="D40" i="22" s="1"/>
  <c r="D40" i="21" a="1"/>
  <c r="D40" i="21" s="1"/>
  <c r="D26" i="21" a="1"/>
  <c r="D26" i="21" s="1"/>
  <c r="D26" i="17" a="1"/>
  <c r="D26" i="17" s="1"/>
  <c r="D26" i="24" a="1"/>
  <c r="D26" i="24" s="1"/>
  <c r="D26" i="22" a="1"/>
  <c r="D26" i="22" s="1"/>
  <c r="D26" i="25" a="1"/>
  <c r="D26" i="25" s="1"/>
  <c r="D26" i="23" a="1"/>
  <c r="D26" i="23" s="1"/>
  <c r="D26" i="18" a="1"/>
  <c r="D26" i="18" s="1"/>
  <c r="D14" i="24" a="1"/>
  <c r="D14" i="24" s="1"/>
  <c r="D14" i="25" a="1"/>
  <c r="D14" i="25" s="1"/>
  <c r="D14" i="23" a="1"/>
  <c r="D14" i="23" s="1"/>
  <c r="D14" i="18" a="1"/>
  <c r="D14" i="18" s="1"/>
  <c r="D32" i="24" a="1"/>
  <c r="D32" i="24" s="1"/>
  <c r="D32" i="22" a="1"/>
  <c r="D32" i="22" s="1"/>
  <c r="D32" i="25" a="1"/>
  <c r="D32" i="25" s="1"/>
  <c r="D32" i="23" a="1"/>
  <c r="D32" i="23" s="1"/>
  <c r="D32" i="18" a="1"/>
  <c r="D32" i="18" s="1"/>
  <c r="D32" i="21" a="1"/>
  <c r="D32" i="21" s="1"/>
  <c r="D32" i="17" a="1"/>
  <c r="D32" i="17" s="1"/>
  <c r="D27" i="18" a="1"/>
  <c r="D27" i="18" s="1"/>
  <c r="D27" i="21" a="1"/>
  <c r="D27" i="21" s="1"/>
  <c r="D27" i="17" a="1"/>
  <c r="D27" i="17" s="1"/>
  <c r="D27" i="24" a="1"/>
  <c r="D27" i="24" s="1"/>
  <c r="D27" i="22" a="1"/>
  <c r="D27" i="22" s="1"/>
  <c r="D27" i="25" a="1"/>
  <c r="D27" i="25" s="1"/>
  <c r="D27" i="23" a="1"/>
  <c r="D27" i="23" s="1"/>
  <c r="C48" i="18" a="1"/>
  <c r="C48" i="18" s="1"/>
  <c r="C48" i="25" a="1"/>
  <c r="C48" i="25" s="1"/>
  <c r="D25" i="22" a="1"/>
  <c r="D25" i="22" s="1"/>
  <c r="D25" i="17" a="1"/>
  <c r="D25" i="17" s="1"/>
  <c r="D25" i="24" a="1"/>
  <c r="D25" i="24" s="1"/>
  <c r="D25" i="23" a="1"/>
  <c r="D25" i="23" s="1"/>
  <c r="D25" i="18" a="1"/>
  <c r="D25" i="18" s="1"/>
  <c r="D25" i="21" a="1"/>
  <c r="D25" i="21" s="1"/>
  <c r="D13" i="21" a="1"/>
  <c r="D13" i="21" s="1"/>
  <c r="D13" i="23" a="1"/>
  <c r="D13" i="23" s="1"/>
  <c r="D13" i="18" a="1"/>
  <c r="D13" i="18" s="1"/>
  <c r="D13" i="25" a="1"/>
  <c r="D13" i="25" s="1"/>
  <c r="D13" i="24" a="1"/>
  <c r="D13" i="24" s="1"/>
  <c r="D48" i="25" a="1"/>
  <c r="D48" i="25" s="1"/>
  <c r="D48" i="23" a="1"/>
  <c r="D48" i="23" s="1"/>
  <c r="D48" i="17" a="1"/>
  <c r="D48" i="17" s="1"/>
  <c r="D48" i="18" a="1"/>
  <c r="D48" i="18" s="1"/>
  <c r="D48" i="24" a="1"/>
  <c r="D48" i="24" s="1"/>
  <c r="D48" i="22" a="1"/>
  <c r="D48" i="22" s="1"/>
  <c r="D48" i="21" a="1"/>
  <c r="D48" i="21" s="1"/>
  <c r="D47" i="23" a="1"/>
  <c r="D47" i="23" s="1"/>
  <c r="D47" i="17" a="1"/>
  <c r="D47" i="17" s="1"/>
  <c r="D47" i="18" a="1"/>
  <c r="D47" i="18" s="1"/>
  <c r="D47" i="24" a="1"/>
  <c r="D47" i="24" s="1"/>
  <c r="D47" i="22" a="1"/>
  <c r="D47" i="22" s="1"/>
  <c r="D47" i="21" a="1"/>
  <c r="D47" i="21" s="1"/>
  <c r="D47" i="25" a="1"/>
  <c r="D47" i="25" s="1"/>
  <c r="D33" i="17" a="1"/>
  <c r="D33" i="17" s="1"/>
  <c r="D33" i="24" a="1"/>
  <c r="D33" i="24" s="1"/>
  <c r="D33" i="22" a="1"/>
  <c r="D33" i="22" s="1"/>
  <c r="D33" i="25" a="1"/>
  <c r="D33" i="25" s="1"/>
  <c r="D33" i="23" a="1"/>
  <c r="D33" i="23" s="1"/>
  <c r="D33" i="18" a="1"/>
  <c r="D33" i="18" s="1"/>
  <c r="D33" i="21" a="1"/>
  <c r="D33" i="21" s="1"/>
  <c r="D19" i="18" a="1"/>
  <c r="D19" i="18" s="1"/>
  <c r="D19" i="21" a="1"/>
  <c r="D19" i="21" s="1"/>
  <c r="D19" i="24" a="1"/>
  <c r="D19" i="24" s="1"/>
  <c r="D19" i="22" a="1"/>
  <c r="D19" i="22" s="1"/>
  <c r="D19" i="25" a="1"/>
  <c r="D19" i="25" s="1"/>
  <c r="D19" i="17" a="1"/>
  <c r="D19" i="17" s="1"/>
  <c r="D19" i="23" a="1"/>
  <c r="D19" i="23" s="1"/>
  <c r="C48" i="17" a="1"/>
  <c r="C48" i="17" s="1"/>
  <c r="D18" i="21" a="1"/>
  <c r="D18" i="21" s="1"/>
  <c r="D18" i="24" a="1"/>
  <c r="D18" i="24" s="1"/>
  <c r="D18" i="22" a="1"/>
  <c r="D18" i="22" s="1"/>
  <c r="D18" i="25" a="1"/>
  <c r="D18" i="25" s="1"/>
  <c r="D18" i="17" a="1"/>
  <c r="D18" i="17" s="1"/>
  <c r="D18" i="23" a="1"/>
  <c r="D18" i="23" s="1"/>
  <c r="D18" i="18" a="1"/>
  <c r="D18" i="18" s="1"/>
  <c r="C48" i="24" a="1"/>
  <c r="C48" i="24" s="1"/>
  <c r="D12" i="22" a="1"/>
  <c r="D12" i="22" s="1"/>
  <c r="D12" i="23" a="1"/>
  <c r="D12" i="23" s="1"/>
  <c r="D12" i="18" a="1"/>
  <c r="D12" i="18" s="1"/>
  <c r="D12" i="21" a="1"/>
  <c r="D12" i="21" s="1"/>
  <c r="D12" i="24" a="1"/>
  <c r="D12" i="24" s="1"/>
  <c r="I35" i="24" a="1"/>
  <c r="I35" i="24" s="1"/>
  <c r="I14" i="24" a="1"/>
  <c r="I14" i="24" s="1"/>
  <c r="I36" i="24" a="1"/>
  <c r="I36" i="24" s="1"/>
  <c r="I32" i="24" a="1"/>
  <c r="I32" i="24" s="1"/>
  <c r="I41" i="24" a="1"/>
  <c r="I41" i="24" s="1"/>
  <c r="I54" i="24" a="1"/>
  <c r="I54" i="24" s="1"/>
  <c r="I40" i="24" a="1"/>
  <c r="I40" i="24" s="1"/>
  <c r="I49" i="24" a="1"/>
  <c r="I49" i="24" s="1"/>
  <c r="C51" i="23" a="1"/>
  <c r="C51" i="23" s="1"/>
  <c r="C51" i="17" a="1"/>
  <c r="C51" i="17" s="1"/>
  <c r="C51" i="18" a="1"/>
  <c r="C51" i="18" s="1"/>
  <c r="C51" i="25" a="1"/>
  <c r="C51" i="25" s="1"/>
  <c r="C51" i="21" a="1"/>
  <c r="C51" i="21" s="1"/>
  <c r="I12" i="24" a="1"/>
  <c r="I12" i="24" s="1"/>
  <c r="I17" i="24" a="1"/>
  <c r="I17" i="24" s="1"/>
  <c r="I30" i="24" a="1"/>
  <c r="I30" i="24" s="1"/>
  <c r="I39" i="24" a="1"/>
  <c r="I39" i="24" s="1"/>
  <c r="I10" i="24" a="1"/>
  <c r="I10" i="24" s="1"/>
  <c r="I45" i="24" a="1"/>
  <c r="I45" i="24" s="1"/>
  <c r="C56" i="24" a="1"/>
  <c r="C56" i="24" s="1"/>
  <c r="C56" i="25" a="1"/>
  <c r="C56" i="25" s="1"/>
  <c r="C56" i="22" a="1"/>
  <c r="C56" i="22" s="1"/>
  <c r="C56" i="17" a="1"/>
  <c r="C56" i="17" s="1"/>
  <c r="C56" i="18" a="1"/>
  <c r="C56" i="18" s="1"/>
  <c r="C56" i="23" a="1"/>
  <c r="C56" i="23" s="1"/>
  <c r="C56" i="21" a="1"/>
  <c r="C56" i="21" s="1"/>
  <c r="C18" i="23" a="1"/>
  <c r="C18" i="23" s="1"/>
  <c r="C18" i="25" a="1"/>
  <c r="C18" i="25" s="1"/>
  <c r="C18" i="17" a="1"/>
  <c r="C18" i="17" s="1"/>
  <c r="C18" i="22" a="1"/>
  <c r="C18" i="22" s="1"/>
  <c r="C18" i="18" a="1"/>
  <c r="C18" i="18" s="1"/>
  <c r="C18" i="24" a="1"/>
  <c r="C18" i="24" s="1"/>
  <c r="C18" i="21" a="1"/>
  <c r="C18" i="21" s="1"/>
  <c r="C32" i="24" a="1"/>
  <c r="C32" i="24" s="1"/>
  <c r="C32" i="25" a="1"/>
  <c r="C32" i="25" s="1"/>
  <c r="C32" i="17" a="1"/>
  <c r="C32" i="17" s="1"/>
  <c r="C32" i="18" a="1"/>
  <c r="C32" i="18" s="1"/>
  <c r="C32" i="23" a="1"/>
  <c r="C32" i="23" s="1"/>
  <c r="C32" i="22" a="1"/>
  <c r="C32" i="22" s="1"/>
  <c r="C32" i="21" a="1"/>
  <c r="C32" i="21" s="1"/>
  <c r="C52" i="25" a="1"/>
  <c r="C52" i="25" s="1"/>
  <c r="C52" i="22" a="1"/>
  <c r="C52" i="22" s="1"/>
  <c r="C52" i="17" a="1"/>
  <c r="C52" i="17" s="1"/>
  <c r="C52" i="21" a="1"/>
  <c r="C52" i="21" s="1"/>
  <c r="C52" i="23" a="1"/>
  <c r="C52" i="23" s="1"/>
  <c r="C52" i="24" a="1"/>
  <c r="C52" i="24" s="1"/>
  <c r="C52" i="18" a="1"/>
  <c r="C52" i="18" s="1"/>
  <c r="C9" i="24" a="1"/>
  <c r="C9" i="24" s="1"/>
  <c r="C9" i="25" a="1"/>
  <c r="C9" i="25" s="1"/>
  <c r="C9" i="17" a="1"/>
  <c r="C9" i="17" s="1"/>
  <c r="C9" i="21" a="1"/>
  <c r="C9" i="21" s="1"/>
  <c r="C9" i="23" a="1"/>
  <c r="C9" i="23" s="1"/>
  <c r="C9" i="22" a="1"/>
  <c r="C9" i="22" s="1"/>
  <c r="C9" i="18" a="1"/>
  <c r="C9" i="18" s="1"/>
  <c r="I13" i="24" a="1"/>
  <c r="I13" i="24" s="1"/>
  <c r="C41" i="24" a="1"/>
  <c r="C41" i="24" s="1"/>
  <c r="C41" i="22" a="1"/>
  <c r="C41" i="22" s="1"/>
  <c r="C41" i="23" a="1"/>
  <c r="C41" i="23" s="1"/>
  <c r="C41" i="18" a="1"/>
  <c r="C41" i="18" s="1"/>
  <c r="C41" i="21" a="1"/>
  <c r="C41" i="21" s="1"/>
  <c r="C41" i="25" a="1"/>
  <c r="C41" i="25" s="1"/>
  <c r="C41" i="17" a="1"/>
  <c r="C41" i="17" s="1"/>
  <c r="C50" i="23" a="1"/>
  <c r="C50" i="23" s="1"/>
  <c r="C50" i="24" a="1"/>
  <c r="C50" i="24" s="1"/>
  <c r="F50" i="24" s="1"/>
  <c r="C50" i="18" a="1"/>
  <c r="C50" i="18" s="1"/>
  <c r="C50" i="25" a="1"/>
  <c r="C50" i="25" s="1"/>
  <c r="C50" i="17" a="1"/>
  <c r="C50" i="17" s="1"/>
  <c r="E50" i="17" s="1"/>
  <c r="C50" i="21" a="1"/>
  <c r="C50" i="21" s="1"/>
  <c r="C50" i="22" a="1"/>
  <c r="C50" i="22" s="1"/>
  <c r="E50" i="22" s="1"/>
  <c r="C13" i="22" a="1"/>
  <c r="C13" i="22" s="1"/>
  <c r="C13" i="17" a="1"/>
  <c r="C13" i="17" s="1"/>
  <c r="C13" i="25" a="1"/>
  <c r="C13" i="25" s="1"/>
  <c r="C13" i="23" a="1"/>
  <c r="C13" i="23" s="1"/>
  <c r="C13" i="21" a="1"/>
  <c r="C13" i="21" s="1"/>
  <c r="C13" i="24" a="1"/>
  <c r="C13" i="24" s="1"/>
  <c r="C13" i="18" a="1"/>
  <c r="C13" i="18" s="1"/>
  <c r="C16" i="24" a="1"/>
  <c r="C16" i="24" s="1"/>
  <c r="C16" i="25" a="1"/>
  <c r="C16" i="25" s="1"/>
  <c r="C16" i="17" a="1"/>
  <c r="C16" i="17" s="1"/>
  <c r="C16" i="23" a="1"/>
  <c r="C16" i="23" s="1"/>
  <c r="C16" i="22" a="1"/>
  <c r="C16" i="22" s="1"/>
  <c r="C16" i="21" a="1"/>
  <c r="C16" i="21" s="1"/>
  <c r="C16" i="18" a="1"/>
  <c r="C16" i="18" s="1"/>
  <c r="C21" i="23" a="1"/>
  <c r="C21" i="23" s="1"/>
  <c r="C21" i="22" a="1"/>
  <c r="C21" i="22" s="1"/>
  <c r="C21" i="24" a="1"/>
  <c r="C21" i="24" s="1"/>
  <c r="C21" i="21" a="1"/>
  <c r="C21" i="21" s="1"/>
  <c r="C21" i="18" a="1"/>
  <c r="C21" i="18" s="1"/>
  <c r="C21" i="25" a="1"/>
  <c r="C21" i="25" s="1"/>
  <c r="C21" i="17" a="1"/>
  <c r="C21" i="17" s="1"/>
  <c r="C35" i="17" a="1"/>
  <c r="C35" i="17" s="1"/>
  <c r="C35" i="25" a="1"/>
  <c r="C35" i="25" s="1"/>
  <c r="C35" i="18" a="1"/>
  <c r="C35" i="18" s="1"/>
  <c r="C35" i="23" a="1"/>
  <c r="C35" i="23" s="1"/>
  <c r="C35" i="22" a="1"/>
  <c r="C35" i="22" s="1"/>
  <c r="C35" i="24" a="1"/>
  <c r="C35" i="24" s="1"/>
  <c r="C35" i="21" a="1"/>
  <c r="C35" i="21" s="1"/>
  <c r="C7" i="22" a="1"/>
  <c r="C7" i="22" s="1"/>
  <c r="C7" i="24" a="1"/>
  <c r="C7" i="24" s="1"/>
  <c r="C7" i="21" a="1"/>
  <c r="C7" i="21" s="1"/>
  <c r="C7" i="18" a="1"/>
  <c r="C7" i="18" s="1"/>
  <c r="C7" i="25" a="1"/>
  <c r="C7" i="25" s="1"/>
  <c r="C7" i="23" a="1"/>
  <c r="C7" i="23" s="1"/>
  <c r="C7" i="17" a="1"/>
  <c r="C7" i="17" s="1"/>
  <c r="C29" i="23" a="1"/>
  <c r="C29" i="23" s="1"/>
  <c r="C29" i="22" a="1"/>
  <c r="C29" i="22" s="1"/>
  <c r="C29" i="24" a="1"/>
  <c r="C29" i="24" s="1"/>
  <c r="C29" i="25" a="1"/>
  <c r="C29" i="25" s="1"/>
  <c r="C29" i="21" a="1"/>
  <c r="C29" i="21" s="1"/>
  <c r="C29" i="18" a="1"/>
  <c r="C29" i="18" s="1"/>
  <c r="C29" i="17" a="1"/>
  <c r="C29" i="17" s="1"/>
  <c r="C25" i="24" a="1"/>
  <c r="C25" i="24" s="1"/>
  <c r="C25" i="22" a="1"/>
  <c r="C25" i="22" s="1"/>
  <c r="C25" i="23" a="1"/>
  <c r="C25" i="23" s="1"/>
  <c r="C25" i="18" a="1"/>
  <c r="C25" i="18" s="1"/>
  <c r="C25" i="17" a="1"/>
  <c r="C25" i="17" s="1"/>
  <c r="C25" i="25" a="1"/>
  <c r="C25" i="25" s="1"/>
  <c r="C25" i="21" a="1"/>
  <c r="C25" i="21" s="1"/>
  <c r="C53" i="23" a="1"/>
  <c r="C53" i="23" s="1"/>
  <c r="C53" i="24" a="1"/>
  <c r="C53" i="24" s="1"/>
  <c r="C53" i="17" a="1"/>
  <c r="C53" i="17" s="1"/>
  <c r="C53" i="22" a="1"/>
  <c r="C53" i="22" s="1"/>
  <c r="C53" i="21" a="1"/>
  <c r="C53" i="21" s="1"/>
  <c r="C53" i="18" a="1"/>
  <c r="C53" i="18" s="1"/>
  <c r="C53" i="25" a="1"/>
  <c r="C53" i="25" s="1"/>
  <c r="DL60" i="7"/>
  <c r="C54" i="23" a="1"/>
  <c r="C54" i="23" s="1"/>
  <c r="C54" i="25" a="1"/>
  <c r="C54" i="25" s="1"/>
  <c r="C54" i="18" a="1"/>
  <c r="C54" i="18" s="1"/>
  <c r="C54" i="17" a="1"/>
  <c r="C54" i="17" s="1"/>
  <c r="C54" i="22" a="1"/>
  <c r="C54" i="22" s="1"/>
  <c r="C54" i="21" a="1"/>
  <c r="C54" i="21" s="1"/>
  <c r="C54" i="24" a="1"/>
  <c r="C54" i="24" s="1"/>
  <c r="I48" i="24" a="1"/>
  <c r="I48" i="24" s="1"/>
  <c r="C43" i="25" a="1"/>
  <c r="C43" i="25" s="1"/>
  <c r="C43" i="17" a="1"/>
  <c r="C43" i="17" s="1"/>
  <c r="C43" i="23" a="1"/>
  <c r="C43" i="23" s="1"/>
  <c r="C43" i="22" a="1"/>
  <c r="C43" i="22" s="1"/>
  <c r="C43" i="24" a="1"/>
  <c r="C43" i="24" s="1"/>
  <c r="C43" i="18" a="1"/>
  <c r="C43" i="18" s="1"/>
  <c r="C43" i="21" a="1"/>
  <c r="C43" i="21" s="1"/>
  <c r="C47" i="25" a="1"/>
  <c r="C47" i="25" s="1"/>
  <c r="C47" i="22" a="1"/>
  <c r="C47" i="22" s="1"/>
  <c r="C47" i="18" a="1"/>
  <c r="C47" i="18" s="1"/>
  <c r="C47" i="21" a="1"/>
  <c r="C47" i="21" s="1"/>
  <c r="C47" i="17" a="1"/>
  <c r="C47" i="17" s="1"/>
  <c r="C47" i="23" a="1"/>
  <c r="C47" i="23" s="1"/>
  <c r="C47" i="24" a="1"/>
  <c r="C47" i="24" s="1"/>
  <c r="DL59" i="7"/>
  <c r="C37" i="23" a="1"/>
  <c r="C37" i="23" s="1"/>
  <c r="C37" i="22" a="1"/>
  <c r="C37" i="22" s="1"/>
  <c r="C37" i="24" a="1"/>
  <c r="C37" i="24" s="1"/>
  <c r="C37" i="21" a="1"/>
  <c r="C37" i="21" s="1"/>
  <c r="C37" i="18" a="1"/>
  <c r="C37" i="18" s="1"/>
  <c r="C37" i="17" a="1"/>
  <c r="C37" i="17" s="1"/>
  <c r="C37" i="25" a="1"/>
  <c r="C37" i="25" s="1"/>
  <c r="C49" i="24" a="1"/>
  <c r="C49" i="24" s="1"/>
  <c r="C49" i="18" a="1"/>
  <c r="C49" i="18" s="1"/>
  <c r="C49" i="25" a="1"/>
  <c r="C49" i="25" s="1"/>
  <c r="C49" i="17" a="1"/>
  <c r="C49" i="17" s="1"/>
  <c r="C49" i="21" a="1"/>
  <c r="C49" i="21" s="1"/>
  <c r="C49" i="22" a="1"/>
  <c r="C49" i="22" s="1"/>
  <c r="C49" i="23" a="1"/>
  <c r="C49" i="23" s="1"/>
  <c r="DP50" i="7" a="1"/>
  <c r="DP50" i="7" s="1"/>
  <c r="DP25" i="7" a="1"/>
  <c r="DP25" i="7" s="1"/>
  <c r="I25" i="24" a="1"/>
  <c r="I25" i="24" s="1"/>
  <c r="C45" i="23" a="1"/>
  <c r="C45" i="23" s="1"/>
  <c r="C45" i="24" a="1"/>
  <c r="C45" i="24" s="1"/>
  <c r="C45" i="21" a="1"/>
  <c r="C45" i="21" s="1"/>
  <c r="C45" i="25" a="1"/>
  <c r="C45" i="25" s="1"/>
  <c r="C45" i="17" a="1"/>
  <c r="C45" i="17" s="1"/>
  <c r="C45" i="18" a="1"/>
  <c r="C45" i="18" s="1"/>
  <c r="C45" i="22" a="1"/>
  <c r="C45" i="22" s="1"/>
  <c r="C39" i="25" a="1"/>
  <c r="C39" i="25" s="1"/>
  <c r="C39" i="23" a="1"/>
  <c r="C39" i="23" s="1"/>
  <c r="C39" i="22" a="1"/>
  <c r="C39" i="22" s="1"/>
  <c r="C39" i="18" a="1"/>
  <c r="C39" i="18" s="1"/>
  <c r="C39" i="24" a="1"/>
  <c r="C39" i="24" s="1"/>
  <c r="C39" i="21" a="1"/>
  <c r="C39" i="21" s="1"/>
  <c r="C39" i="17" a="1"/>
  <c r="C39" i="17" s="1"/>
  <c r="I15" i="24" a="1"/>
  <c r="I15" i="24" s="1"/>
  <c r="I44" i="24" a="1"/>
  <c r="I44" i="24" s="1"/>
  <c r="I46" i="24" a="1"/>
  <c r="I46" i="24" s="1"/>
  <c r="C17" i="24" a="1"/>
  <c r="C17" i="24" s="1"/>
  <c r="C17" i="22" a="1"/>
  <c r="C17" i="22" s="1"/>
  <c r="C17" i="25" a="1"/>
  <c r="C17" i="25" s="1"/>
  <c r="C17" i="17" a="1"/>
  <c r="C17" i="17" s="1"/>
  <c r="C17" i="23" a="1"/>
  <c r="C17" i="23" s="1"/>
  <c r="C17" i="18" a="1"/>
  <c r="C17" i="18" s="1"/>
  <c r="C17" i="21" a="1"/>
  <c r="C17" i="21" s="1"/>
  <c r="C22" i="23" a="1"/>
  <c r="C22" i="23" s="1"/>
  <c r="C22" i="21" a="1"/>
  <c r="C22" i="21" s="1"/>
  <c r="C22" i="18" a="1"/>
  <c r="C22" i="18" s="1"/>
  <c r="C22" i="25" a="1"/>
  <c r="C22" i="25" s="1"/>
  <c r="C22" i="17" a="1"/>
  <c r="C22" i="17" s="1"/>
  <c r="C22" i="22" a="1"/>
  <c r="C22" i="22" s="1"/>
  <c r="C22" i="24" a="1"/>
  <c r="C22" i="24" s="1"/>
  <c r="C31" i="25" a="1"/>
  <c r="C31" i="25" s="1"/>
  <c r="C31" i="17" a="1"/>
  <c r="C31" i="17" s="1"/>
  <c r="C31" i="23" a="1"/>
  <c r="C31" i="23" s="1"/>
  <c r="C31" i="22" a="1"/>
  <c r="C31" i="22" s="1"/>
  <c r="C31" i="21" a="1"/>
  <c r="C31" i="21" s="1"/>
  <c r="C31" i="18" a="1"/>
  <c r="C31" i="18" s="1"/>
  <c r="C31" i="24" a="1"/>
  <c r="C31" i="24" s="1"/>
  <c r="C36" i="22" a="1"/>
  <c r="C36" i="22" s="1"/>
  <c r="C36" i="25" a="1"/>
  <c r="C36" i="25" s="1"/>
  <c r="C36" i="17" a="1"/>
  <c r="C36" i="17" s="1"/>
  <c r="C36" i="24" a="1"/>
  <c r="C36" i="24" s="1"/>
  <c r="C36" i="21" a="1"/>
  <c r="C36" i="21" s="1"/>
  <c r="C36" i="18" a="1"/>
  <c r="C36" i="18" s="1"/>
  <c r="C36" i="23" a="1"/>
  <c r="C36" i="23" s="1"/>
  <c r="C14" i="23" a="1"/>
  <c r="C14" i="23" s="1"/>
  <c r="C14" i="22" a="1"/>
  <c r="C14" i="22" s="1"/>
  <c r="C14" i="24" a="1"/>
  <c r="C14" i="24" s="1"/>
  <c r="C14" i="21" a="1"/>
  <c r="C14" i="21" s="1"/>
  <c r="C14" i="18" a="1"/>
  <c r="C14" i="18" s="1"/>
  <c r="C14" i="17" a="1"/>
  <c r="C14" i="17" s="1"/>
  <c r="C14" i="25" a="1"/>
  <c r="C14" i="25" s="1"/>
  <c r="C46" i="23" a="1"/>
  <c r="C46" i="23" s="1"/>
  <c r="C46" i="18" a="1"/>
  <c r="C46" i="18" s="1"/>
  <c r="C46" i="21" a="1"/>
  <c r="C46" i="21" s="1"/>
  <c r="C46" i="25" a="1"/>
  <c r="C46" i="25" s="1"/>
  <c r="C46" i="17" a="1"/>
  <c r="C46" i="17" s="1"/>
  <c r="C46" i="22" a="1"/>
  <c r="C46" i="22" s="1"/>
  <c r="C46" i="24" a="1"/>
  <c r="C46" i="24" s="1"/>
  <c r="C8" i="25" a="1"/>
  <c r="C8" i="25" s="1"/>
  <c r="C8" i="17" a="1"/>
  <c r="C8" i="17" s="1"/>
  <c r="C8" i="21" a="1"/>
  <c r="C8" i="21" s="1"/>
  <c r="C8" i="23" a="1"/>
  <c r="C8" i="23" s="1"/>
  <c r="C8" i="22" a="1"/>
  <c r="C8" i="22" s="1"/>
  <c r="C8" i="18" a="1"/>
  <c r="C8" i="18" s="1"/>
  <c r="C8" i="24" a="1"/>
  <c r="C8" i="24" s="1"/>
  <c r="C40" i="24" a="1"/>
  <c r="C40" i="24" s="1"/>
  <c r="C40" i="25" a="1"/>
  <c r="C40" i="25" s="1"/>
  <c r="C40" i="17" a="1"/>
  <c r="C40" i="17" s="1"/>
  <c r="C40" i="23" a="1"/>
  <c r="C40" i="23" s="1"/>
  <c r="C40" i="22" a="1"/>
  <c r="C40" i="22" s="1"/>
  <c r="C40" i="18" a="1"/>
  <c r="C40" i="18" s="1"/>
  <c r="C40" i="21" a="1"/>
  <c r="C40" i="21" s="1"/>
  <c r="I16" i="24" a="1"/>
  <c r="I16" i="24" s="1"/>
  <c r="I23" i="24" a="1"/>
  <c r="I23" i="24" s="1"/>
  <c r="I29" i="24" a="1"/>
  <c r="I29" i="24" s="1"/>
  <c r="I47" i="24" a="1"/>
  <c r="I47" i="24" s="1"/>
  <c r="C42" i="23" a="1"/>
  <c r="C42" i="23" s="1"/>
  <c r="C42" i="25" a="1"/>
  <c r="C42" i="25" s="1"/>
  <c r="C42" i="17" a="1"/>
  <c r="C42" i="17" s="1"/>
  <c r="C42" i="22" a="1"/>
  <c r="C42" i="22" s="1"/>
  <c r="C42" i="24" a="1"/>
  <c r="C42" i="24" s="1"/>
  <c r="C42" i="18" a="1"/>
  <c r="C42" i="18" s="1"/>
  <c r="C42" i="21" a="1"/>
  <c r="C42" i="21" s="1"/>
  <c r="C23" i="25" a="1"/>
  <c r="C23" i="25" s="1"/>
  <c r="C23" i="24" a="1"/>
  <c r="C23" i="24" s="1"/>
  <c r="C23" i="21" a="1"/>
  <c r="C23" i="21" s="1"/>
  <c r="C23" i="18" a="1"/>
  <c r="C23" i="18" s="1"/>
  <c r="C23" i="17" a="1"/>
  <c r="C23" i="17" s="1"/>
  <c r="C23" i="23" a="1"/>
  <c r="C23" i="23" s="1"/>
  <c r="C23" i="22" a="1"/>
  <c r="C23" i="22" s="1"/>
  <c r="I37" i="24" a="1"/>
  <c r="I37" i="24" s="1"/>
  <c r="C30" i="23" a="1"/>
  <c r="C30" i="23" s="1"/>
  <c r="C30" i="25" a="1"/>
  <c r="C30" i="25" s="1"/>
  <c r="C30" i="22" a="1"/>
  <c r="C30" i="22" s="1"/>
  <c r="C30" i="21" a="1"/>
  <c r="C30" i="21" s="1"/>
  <c r="C30" i="18" a="1"/>
  <c r="C30" i="18" s="1"/>
  <c r="C30" i="24" a="1"/>
  <c r="C30" i="24" s="1"/>
  <c r="C30" i="17" a="1"/>
  <c r="C30" i="17" s="1"/>
  <c r="C12" i="24" a="1"/>
  <c r="C12" i="24" s="1"/>
  <c r="C12" i="18" a="1"/>
  <c r="C12" i="18" s="1"/>
  <c r="C12" i="17" a="1"/>
  <c r="C12" i="17" s="1"/>
  <c r="C12" i="25" a="1"/>
  <c r="C12" i="25" s="1"/>
  <c r="C12" i="23" a="1"/>
  <c r="C12" i="23" s="1"/>
  <c r="C12" i="22" a="1"/>
  <c r="C12" i="22" s="1"/>
  <c r="C12" i="21" a="1"/>
  <c r="C12" i="21" s="1"/>
  <c r="C44" i="25" a="1"/>
  <c r="C44" i="25" s="1"/>
  <c r="C44" i="22" a="1"/>
  <c r="C44" i="22" s="1"/>
  <c r="C44" i="17" a="1"/>
  <c r="C44" i="17" s="1"/>
  <c r="C44" i="21" a="1"/>
  <c r="C44" i="21" s="1"/>
  <c r="C44" i="18" a="1"/>
  <c r="C44" i="18" s="1"/>
  <c r="C44" i="23" a="1"/>
  <c r="C44" i="23" s="1"/>
  <c r="C44" i="24" a="1"/>
  <c r="C44" i="24" s="1"/>
  <c r="C26" i="23" a="1"/>
  <c r="C26" i="23" s="1"/>
  <c r="C26" i="22" a="1"/>
  <c r="C26" i="22" s="1"/>
  <c r="C26" i="24" a="1"/>
  <c r="C26" i="24" s="1"/>
  <c r="C26" i="18" a="1"/>
  <c r="C26" i="18" s="1"/>
  <c r="C26" i="17" a="1"/>
  <c r="C26" i="17" s="1"/>
  <c r="C26" i="25" a="1"/>
  <c r="C26" i="25" s="1"/>
  <c r="C26" i="21" a="1"/>
  <c r="C26" i="21" s="1"/>
  <c r="C15" i="25" a="1"/>
  <c r="C15" i="25" s="1"/>
  <c r="C15" i="23" a="1"/>
  <c r="C15" i="23" s="1"/>
  <c r="C15" i="22" a="1"/>
  <c r="C15" i="22" s="1"/>
  <c r="C15" i="24" a="1"/>
  <c r="C15" i="24" s="1"/>
  <c r="C15" i="21" a="1"/>
  <c r="C15" i="21" s="1"/>
  <c r="C15" i="18" a="1"/>
  <c r="C15" i="18" s="1"/>
  <c r="C15" i="17" a="1"/>
  <c r="C15" i="17" s="1"/>
  <c r="C20" i="22" a="1"/>
  <c r="C20" i="22" s="1"/>
  <c r="C20" i="17" a="1"/>
  <c r="C20" i="17" s="1"/>
  <c r="C20" i="25" a="1"/>
  <c r="C20" i="25" s="1"/>
  <c r="C20" i="21" a="1"/>
  <c r="C20" i="21" s="1"/>
  <c r="C20" i="18" a="1"/>
  <c r="C20" i="18" s="1"/>
  <c r="C20" i="23" a="1"/>
  <c r="C20" i="23" s="1"/>
  <c r="C20" i="24" a="1"/>
  <c r="C20" i="24" s="1"/>
  <c r="C10" i="24" a="1"/>
  <c r="C10" i="24" s="1"/>
  <c r="C10" i="22" a="1"/>
  <c r="C10" i="22" s="1"/>
  <c r="C10" i="18" a="1"/>
  <c r="C10" i="18" s="1"/>
  <c r="C10" i="17" a="1"/>
  <c r="C10" i="17" s="1"/>
  <c r="C10" i="25" a="1"/>
  <c r="C10" i="25" s="1"/>
  <c r="C10" i="21" a="1"/>
  <c r="C10" i="21" s="1"/>
  <c r="C10" i="23" a="1"/>
  <c r="C10" i="23" s="1"/>
  <c r="C33" i="24" a="1"/>
  <c r="C33" i="24" s="1"/>
  <c r="C33" i="22" a="1"/>
  <c r="C33" i="22" s="1"/>
  <c r="C33" i="17" a="1"/>
  <c r="C33" i="17" s="1"/>
  <c r="C33" i="25" a="1"/>
  <c r="C33" i="25" s="1"/>
  <c r="C33" i="18" a="1"/>
  <c r="C33" i="18" s="1"/>
  <c r="C33" i="23" a="1"/>
  <c r="C33" i="23" s="1"/>
  <c r="C33" i="21" a="1"/>
  <c r="C33" i="21" s="1"/>
  <c r="C38" i="23" a="1"/>
  <c r="C38" i="23" s="1"/>
  <c r="C38" i="18" a="1"/>
  <c r="C38" i="18" s="1"/>
  <c r="C38" i="24" a="1"/>
  <c r="C38" i="24" s="1"/>
  <c r="C38" i="21" a="1"/>
  <c r="C38" i="21" s="1"/>
  <c r="C38" i="17" a="1"/>
  <c r="C38" i="17" s="1"/>
  <c r="C38" i="25" a="1"/>
  <c r="C38" i="25" s="1"/>
  <c r="C38" i="22" a="1"/>
  <c r="C38" i="22" s="1"/>
  <c r="C27" i="18" a="1"/>
  <c r="C27" i="18" s="1"/>
  <c r="C27" i="23" a="1"/>
  <c r="C27" i="23" s="1"/>
  <c r="C27" i="22" a="1"/>
  <c r="C27" i="22" s="1"/>
  <c r="C27" i="24" a="1"/>
  <c r="C27" i="24" s="1"/>
  <c r="C27" i="17" a="1"/>
  <c r="C27" i="17" s="1"/>
  <c r="C27" i="25" a="1"/>
  <c r="C27" i="25" s="1"/>
  <c r="C27" i="21" a="1"/>
  <c r="C27" i="21" s="1"/>
  <c r="C55" i="25" a="1"/>
  <c r="C55" i="25" s="1"/>
  <c r="C55" i="22" a="1"/>
  <c r="C55" i="22" s="1"/>
  <c r="C55" i="18" a="1"/>
  <c r="C55" i="18" s="1"/>
  <c r="C55" i="23" a="1"/>
  <c r="C55" i="23" s="1"/>
  <c r="C55" i="17" a="1"/>
  <c r="C55" i="17" s="1"/>
  <c r="C55" i="21" a="1"/>
  <c r="C55" i="21" s="1"/>
  <c r="C55" i="24" a="1"/>
  <c r="C55" i="24" s="1"/>
  <c r="I21" i="24" a="1"/>
  <c r="I21" i="24" s="1"/>
  <c r="I28" i="24" a="1"/>
  <c r="I28" i="24" s="1"/>
  <c r="I52" i="24" a="1"/>
  <c r="I52" i="24" s="1"/>
  <c r="I56" i="24" a="1"/>
  <c r="I56" i="24" s="1"/>
  <c r="C11" i="23" a="1"/>
  <c r="C11" i="23" s="1"/>
  <c r="C11" i="18" a="1"/>
  <c r="C11" i="18" s="1"/>
  <c r="C11" i="17" a="1"/>
  <c r="C11" i="17" s="1"/>
  <c r="C11" i="25" a="1"/>
  <c r="C11" i="25" s="1"/>
  <c r="C11" i="22" a="1"/>
  <c r="C11" i="22" s="1"/>
  <c r="C11" i="21" a="1"/>
  <c r="C11" i="21" s="1"/>
  <c r="C11" i="24" a="1"/>
  <c r="C11" i="24" s="1"/>
  <c r="C19" i="18" a="1"/>
  <c r="C19" i="18" s="1"/>
  <c r="C19" i="25" a="1"/>
  <c r="C19" i="25" s="1"/>
  <c r="C19" i="17" a="1"/>
  <c r="C19" i="17" s="1"/>
  <c r="C19" i="23" a="1"/>
  <c r="C19" i="23" s="1"/>
  <c r="C19" i="22" a="1"/>
  <c r="C19" i="22" s="1"/>
  <c r="C19" i="24" a="1"/>
  <c r="C19" i="24" s="1"/>
  <c r="C19" i="21" a="1"/>
  <c r="C19" i="21" s="1"/>
  <c r="C24" i="24" a="1"/>
  <c r="C24" i="24" s="1"/>
  <c r="C24" i="25" a="1"/>
  <c r="C24" i="25" s="1"/>
  <c r="C24" i="17" a="1"/>
  <c r="C24" i="17" s="1"/>
  <c r="C24" i="21" a="1"/>
  <c r="C24" i="21" s="1"/>
  <c r="C24" i="18" a="1"/>
  <c r="C24" i="18" s="1"/>
  <c r="C24" i="23" a="1"/>
  <c r="C24" i="23" s="1"/>
  <c r="C24" i="22" a="1"/>
  <c r="C24" i="22" s="1"/>
  <c r="C34" i="23" a="1"/>
  <c r="C34" i="23" s="1"/>
  <c r="C34" i="17" a="1"/>
  <c r="C34" i="17" s="1"/>
  <c r="C34" i="25" a="1"/>
  <c r="C34" i="25" s="1"/>
  <c r="C34" i="18" a="1"/>
  <c r="C34" i="18" s="1"/>
  <c r="C34" i="22" a="1"/>
  <c r="C34" i="22" s="1"/>
  <c r="C34" i="24" a="1"/>
  <c r="C34" i="24" s="1"/>
  <c r="C34" i="21" a="1"/>
  <c r="C34" i="21" s="1"/>
  <c r="C28" i="22" a="1"/>
  <c r="C28" i="22" s="1"/>
  <c r="C28" i="25" a="1"/>
  <c r="C28" i="25" s="1"/>
  <c r="C28" i="17" a="1"/>
  <c r="C28" i="17" s="1"/>
  <c r="C28" i="21" a="1"/>
  <c r="C28" i="21" s="1"/>
  <c r="C28" i="18" a="1"/>
  <c r="C28" i="18" s="1"/>
  <c r="C28" i="23" a="1"/>
  <c r="C28" i="23" s="1"/>
  <c r="C28" i="24" a="1"/>
  <c r="C28" i="24" s="1"/>
  <c r="BG10" i="26" a="1"/>
  <c r="BG10" i="26" s="1"/>
  <c r="K7" i="25" s="1" a="1"/>
  <c r="K7" i="25" s="1"/>
  <c r="BG11" i="26" a="1"/>
  <c r="BG11" i="26" s="1"/>
  <c r="K8" i="25" s="1" a="1"/>
  <c r="K8" i="25" s="1"/>
  <c r="BG12" i="26" a="1"/>
  <c r="BG12" i="26" s="1"/>
  <c r="K9" i="25" s="1" a="1"/>
  <c r="K9" i="25" s="1"/>
  <c r="BG13" i="26" a="1"/>
  <c r="BG13" i="26" s="1"/>
  <c r="BG14" i="26" a="1"/>
  <c r="BG14" i="26" s="1"/>
  <c r="BG15" i="26" a="1"/>
  <c r="BG15" i="26" s="1"/>
  <c r="K12" i="25" s="1" a="1"/>
  <c r="K12" i="25" s="1"/>
  <c r="BG16" i="26" a="1"/>
  <c r="BG16" i="26" s="1"/>
  <c r="K13" i="25" s="1" a="1"/>
  <c r="K13" i="25" s="1"/>
  <c r="BG17" i="26" a="1"/>
  <c r="BG17" i="26" s="1"/>
  <c r="K14" i="25" s="1" a="1"/>
  <c r="K14" i="25" s="1"/>
  <c r="BG18" i="26" a="1"/>
  <c r="BG18" i="26" s="1"/>
  <c r="BG19" i="26" a="1"/>
  <c r="BG19" i="26" s="1"/>
  <c r="K16" i="25" s="1" a="1"/>
  <c r="K16" i="25" s="1"/>
  <c r="BG20" i="26" a="1"/>
  <c r="BG20" i="26" s="1"/>
  <c r="K17" i="25" s="1" a="1"/>
  <c r="K17" i="25" s="1"/>
  <c r="BG21" i="26" a="1"/>
  <c r="BG21" i="26" s="1"/>
  <c r="BG22" i="26" a="1"/>
  <c r="BG22" i="26" s="1"/>
  <c r="K19" i="25" s="1" a="1"/>
  <c r="K19" i="25" s="1"/>
  <c r="BG23" i="26" a="1"/>
  <c r="BG23" i="26" s="1"/>
  <c r="K20" i="25" s="1" a="1"/>
  <c r="K20" i="25" s="1"/>
  <c r="BG24" i="26" a="1"/>
  <c r="BG24" i="26" s="1"/>
  <c r="K21" i="25" s="1" a="1"/>
  <c r="K21" i="25" s="1"/>
  <c r="BG25" i="26" a="1"/>
  <c r="BG25" i="26" s="1"/>
  <c r="K22" i="25" s="1" a="1"/>
  <c r="K22" i="25" s="1"/>
  <c r="BG26" i="26" a="1"/>
  <c r="BG26" i="26" s="1"/>
  <c r="K23" i="25" s="1" a="1"/>
  <c r="K23" i="25" s="1"/>
  <c r="BG27" i="26" a="1"/>
  <c r="BG27" i="26" s="1"/>
  <c r="BG28" i="26" a="1"/>
  <c r="BG28" i="26" s="1"/>
  <c r="K25" i="25" s="1" a="1"/>
  <c r="K25" i="25" s="1"/>
  <c r="BG29" i="26" a="1"/>
  <c r="BG29" i="26" s="1"/>
  <c r="K26" i="25" s="1" a="1"/>
  <c r="K26" i="25" s="1"/>
  <c r="BG30" i="26" a="1"/>
  <c r="BG30" i="26" s="1"/>
  <c r="K27" i="25" s="1" a="1"/>
  <c r="K27" i="25" s="1"/>
  <c r="BG31" i="26" a="1"/>
  <c r="BG31" i="26" s="1"/>
  <c r="K28" i="25" s="1" a="1"/>
  <c r="K28" i="25" s="1"/>
  <c r="BG32" i="26" a="1"/>
  <c r="BG32" i="26" s="1"/>
  <c r="K29" i="25" s="1" a="1"/>
  <c r="K29" i="25" s="1"/>
  <c r="BG33" i="26" a="1"/>
  <c r="BG33" i="26" s="1"/>
  <c r="K30" i="25" s="1" a="1"/>
  <c r="K30" i="25" s="1"/>
  <c r="BG34" i="26" a="1"/>
  <c r="BG34" i="26" s="1"/>
  <c r="K31" i="25" s="1" a="1"/>
  <c r="K31" i="25" s="1"/>
  <c r="BG35" i="26" a="1"/>
  <c r="BG35" i="26" s="1"/>
  <c r="K32" i="25" s="1" a="1"/>
  <c r="K32" i="25" s="1"/>
  <c r="BG36" i="26" a="1"/>
  <c r="BG36" i="26" s="1"/>
  <c r="K33" i="25" s="1" a="1"/>
  <c r="K33" i="25" s="1"/>
  <c r="BG37" i="26" a="1"/>
  <c r="BG37" i="26" s="1"/>
  <c r="K34" i="25" s="1" a="1"/>
  <c r="K34" i="25" s="1"/>
  <c r="BG38" i="26" a="1"/>
  <c r="BG38" i="26" s="1"/>
  <c r="K35" i="25" s="1" a="1"/>
  <c r="K35" i="25" s="1"/>
  <c r="BG39" i="26" a="1"/>
  <c r="BG39" i="26" s="1"/>
  <c r="K36" i="25" s="1" a="1"/>
  <c r="K36" i="25" s="1"/>
  <c r="BG40" i="26" a="1"/>
  <c r="BG40" i="26" s="1"/>
  <c r="K37" i="25" s="1" a="1"/>
  <c r="K37" i="25" s="1"/>
  <c r="BG41" i="26" a="1"/>
  <c r="BG41" i="26" s="1"/>
  <c r="K38" i="25" s="1" a="1"/>
  <c r="K38" i="25" s="1"/>
  <c r="BG42" i="26" a="1"/>
  <c r="BG42" i="26" s="1"/>
  <c r="K39" i="25" s="1" a="1"/>
  <c r="K39" i="25" s="1"/>
  <c r="BG43" i="26" a="1"/>
  <c r="BG43" i="26" s="1"/>
  <c r="K40" i="25" s="1" a="1"/>
  <c r="K40" i="25" s="1"/>
  <c r="BG44" i="26" a="1"/>
  <c r="BG44" i="26" s="1"/>
  <c r="K41" i="25" s="1" a="1"/>
  <c r="K41" i="25" s="1"/>
  <c r="BG45" i="26" a="1"/>
  <c r="BG45" i="26" s="1"/>
  <c r="K42" i="25" s="1" a="1"/>
  <c r="K42" i="25" s="1"/>
  <c r="BG46" i="26" a="1"/>
  <c r="BG46" i="26" s="1"/>
  <c r="K43" i="25" s="1" a="1"/>
  <c r="K43" i="25" s="1"/>
  <c r="BG47" i="26" a="1"/>
  <c r="BG47" i="26" s="1"/>
  <c r="K44" i="25" s="1" a="1"/>
  <c r="K44" i="25" s="1"/>
  <c r="BG48" i="26" a="1"/>
  <c r="BG48" i="26" s="1"/>
  <c r="K45" i="25" s="1" a="1"/>
  <c r="K45" i="25" s="1"/>
  <c r="BG49" i="26" a="1"/>
  <c r="BG49" i="26" s="1"/>
  <c r="K46" i="25" s="1" a="1"/>
  <c r="K46" i="25" s="1"/>
  <c r="BG50" i="26" a="1"/>
  <c r="BG50" i="26" s="1"/>
  <c r="K47" i="25" s="1" a="1"/>
  <c r="K47" i="25" s="1"/>
  <c r="BG51" i="26" a="1"/>
  <c r="BG51" i="26" s="1"/>
  <c r="K48" i="25" s="1" a="1"/>
  <c r="K48" i="25" s="1"/>
  <c r="BG52" i="26" a="1"/>
  <c r="BG52" i="26" s="1"/>
  <c r="K49" i="25" s="1" a="1"/>
  <c r="K49" i="25" s="1"/>
  <c r="BG53" i="26" a="1"/>
  <c r="BG53" i="26" s="1"/>
  <c r="K50" i="25" s="1" a="1"/>
  <c r="K50" i="25" s="1"/>
  <c r="BG54" i="26" a="1"/>
  <c r="BG54" i="26" s="1"/>
  <c r="K51" i="25" s="1" a="1"/>
  <c r="K51" i="25" s="1"/>
  <c r="BG55" i="26" a="1"/>
  <c r="BG55" i="26" s="1"/>
  <c r="K52" i="25" s="1" a="1"/>
  <c r="K52" i="25" s="1"/>
  <c r="BG56" i="26" a="1"/>
  <c r="BG56" i="26" s="1"/>
  <c r="K53" i="25" s="1" a="1"/>
  <c r="K53" i="25" s="1"/>
  <c r="BG57" i="26" a="1"/>
  <c r="BG57" i="26" s="1"/>
  <c r="K54" i="25" s="1" a="1"/>
  <c r="K54" i="25" s="1"/>
  <c r="BG58" i="26" a="1"/>
  <c r="BG58" i="26" s="1"/>
  <c r="K55" i="25" s="1" a="1"/>
  <c r="K55" i="25" s="1"/>
  <c r="BG59" i="26" a="1"/>
  <c r="BG59" i="26" s="1"/>
  <c r="K56" i="25" s="1" a="1"/>
  <c r="K56" i="25" s="1"/>
  <c r="AY10" i="26" a="1"/>
  <c r="AY10" i="26" s="1"/>
  <c r="J7" i="24" s="1" a="1"/>
  <c r="J7" i="24" s="1"/>
  <c r="AY11" i="26" a="1"/>
  <c r="AY11" i="26" s="1"/>
  <c r="AY12" i="26" a="1"/>
  <c r="AY12" i="26" s="1"/>
  <c r="AY13" i="26" a="1"/>
  <c r="AY13" i="26" s="1"/>
  <c r="AY14" i="26" a="1"/>
  <c r="AY14" i="26" s="1"/>
  <c r="J11" i="24" s="1" a="1"/>
  <c r="J11" i="24" s="1"/>
  <c r="AY15" i="26" a="1"/>
  <c r="AY15" i="26" s="1"/>
  <c r="J12" i="24" s="1" a="1"/>
  <c r="J12" i="24" s="1"/>
  <c r="AY16" i="26" a="1"/>
  <c r="AY16" i="26" s="1"/>
  <c r="J13" i="24" s="1" a="1"/>
  <c r="J13" i="24" s="1"/>
  <c r="AY17" i="26" a="1"/>
  <c r="AY17" i="26" s="1"/>
  <c r="J14" i="24" s="1" a="1"/>
  <c r="J14" i="24" s="1"/>
  <c r="AY18" i="26" a="1"/>
  <c r="AY18" i="26" s="1"/>
  <c r="J15" i="24" s="1" a="1"/>
  <c r="J15" i="24" s="1"/>
  <c r="AY19" i="26" a="1"/>
  <c r="AY19" i="26" s="1"/>
  <c r="J16" i="24" s="1" a="1"/>
  <c r="J16" i="24" s="1"/>
  <c r="AY20" i="26" a="1"/>
  <c r="AY20" i="26" s="1"/>
  <c r="J17" i="24" s="1" a="1"/>
  <c r="J17" i="24" s="1"/>
  <c r="AY21" i="26" a="1"/>
  <c r="AY21" i="26" s="1"/>
  <c r="J18" i="24" s="1" a="1"/>
  <c r="J18" i="24" s="1"/>
  <c r="AY22" i="26" a="1"/>
  <c r="AY22" i="26" s="1"/>
  <c r="J19" i="24" s="1" a="1"/>
  <c r="J19" i="24" s="1"/>
  <c r="AY23" i="26" a="1"/>
  <c r="AY23" i="26" s="1"/>
  <c r="J20" i="24" s="1" a="1"/>
  <c r="J20" i="24" s="1"/>
  <c r="AY24" i="26" a="1"/>
  <c r="AY24" i="26" s="1"/>
  <c r="J21" i="24" s="1" a="1"/>
  <c r="J21" i="24" s="1"/>
  <c r="AY25" i="26" a="1"/>
  <c r="AY25" i="26" s="1"/>
  <c r="J22" i="24" s="1" a="1"/>
  <c r="J22" i="24" s="1"/>
  <c r="AY26" i="26" a="1"/>
  <c r="AY26" i="26" s="1"/>
  <c r="AY27" i="26" a="1"/>
  <c r="AY27" i="26" s="1"/>
  <c r="J24" i="24" s="1" a="1"/>
  <c r="J24" i="24" s="1"/>
  <c r="AY28" i="26" a="1"/>
  <c r="AY28" i="26" s="1"/>
  <c r="J25" i="24" s="1" a="1"/>
  <c r="J25" i="24" s="1"/>
  <c r="AY29" i="26" a="1"/>
  <c r="AY29" i="26" s="1"/>
  <c r="J26" i="24" s="1" a="1"/>
  <c r="J26" i="24" s="1"/>
  <c r="AY30" i="26" a="1"/>
  <c r="AY30" i="26" s="1"/>
  <c r="J27" i="24" s="1" a="1"/>
  <c r="J27" i="24" s="1"/>
  <c r="AY31" i="26" a="1"/>
  <c r="AY31" i="26" s="1"/>
  <c r="J28" i="24" s="1" a="1"/>
  <c r="J28" i="24" s="1"/>
  <c r="AY32" i="26" a="1"/>
  <c r="AY32" i="26" s="1"/>
  <c r="J29" i="24" s="1" a="1"/>
  <c r="J29" i="24" s="1"/>
  <c r="AY33" i="26" a="1"/>
  <c r="AY33" i="26" s="1"/>
  <c r="J30" i="24" s="1" a="1"/>
  <c r="J30" i="24" s="1"/>
  <c r="AY34" i="26" a="1"/>
  <c r="AY34" i="26" s="1"/>
  <c r="J31" i="24" s="1" a="1"/>
  <c r="J31" i="24" s="1"/>
  <c r="AY35" i="26" a="1"/>
  <c r="AY35" i="26" s="1"/>
  <c r="J32" i="24" s="1" a="1"/>
  <c r="J32" i="24" s="1"/>
  <c r="AY36" i="26" a="1"/>
  <c r="AY36" i="26" s="1"/>
  <c r="J33" i="24" s="1" a="1"/>
  <c r="J33" i="24" s="1"/>
  <c r="AY37" i="26" a="1"/>
  <c r="AY37" i="26" s="1"/>
  <c r="J34" i="24" s="1" a="1"/>
  <c r="J34" i="24" s="1"/>
  <c r="AY38" i="26" a="1"/>
  <c r="AY38" i="26" s="1"/>
  <c r="J35" i="24" s="1" a="1"/>
  <c r="J35" i="24" s="1"/>
  <c r="AY39" i="26" a="1"/>
  <c r="AY39" i="26" s="1"/>
  <c r="J36" i="24" s="1" a="1"/>
  <c r="J36" i="24" s="1"/>
  <c r="AY40" i="26" a="1"/>
  <c r="AY40" i="26" s="1"/>
  <c r="J37" i="24" s="1" a="1"/>
  <c r="J37" i="24" s="1"/>
  <c r="AY41" i="26" a="1"/>
  <c r="AY41" i="26" s="1"/>
  <c r="J38" i="24" s="1" a="1"/>
  <c r="J38" i="24" s="1"/>
  <c r="AY42" i="26" a="1"/>
  <c r="AY42" i="26" s="1"/>
  <c r="J39" i="24" s="1" a="1"/>
  <c r="J39" i="24" s="1"/>
  <c r="AY43" i="26" a="1"/>
  <c r="AY43" i="26" s="1"/>
  <c r="J40" i="24" s="1" a="1"/>
  <c r="J40" i="24" s="1"/>
  <c r="AY44" i="26" a="1"/>
  <c r="AY44" i="26" s="1"/>
  <c r="J41" i="24" s="1" a="1"/>
  <c r="J41" i="24" s="1"/>
  <c r="AY45" i="26" a="1"/>
  <c r="AY45" i="26" s="1"/>
  <c r="J42" i="24" s="1" a="1"/>
  <c r="J42" i="24" s="1"/>
  <c r="AY46" i="26" a="1"/>
  <c r="AY46" i="26" s="1"/>
  <c r="J43" i="24" s="1" a="1"/>
  <c r="J43" i="24" s="1"/>
  <c r="AY47" i="26" a="1"/>
  <c r="AY47" i="26" s="1"/>
  <c r="J44" i="24" s="1" a="1"/>
  <c r="J44" i="24" s="1"/>
  <c r="AY48" i="26" a="1"/>
  <c r="AY48" i="26" s="1"/>
  <c r="J45" i="24" s="1" a="1"/>
  <c r="J45" i="24" s="1"/>
  <c r="AY49" i="26" a="1"/>
  <c r="AY49" i="26" s="1"/>
  <c r="J46" i="24" s="1" a="1"/>
  <c r="J46" i="24" s="1"/>
  <c r="AY50" i="26" a="1"/>
  <c r="AY50" i="26" s="1"/>
  <c r="J47" i="24" s="1" a="1"/>
  <c r="J47" i="24" s="1"/>
  <c r="AY51" i="26" a="1"/>
  <c r="AY51" i="26" s="1"/>
  <c r="J48" i="24" s="1" a="1"/>
  <c r="J48" i="24" s="1"/>
  <c r="AY52" i="26" a="1"/>
  <c r="AY52" i="26" s="1"/>
  <c r="J49" i="24" s="1" a="1"/>
  <c r="J49" i="24" s="1"/>
  <c r="AY53" i="26" a="1"/>
  <c r="AY53" i="26" s="1"/>
  <c r="J50" i="24" s="1" a="1"/>
  <c r="J50" i="24" s="1"/>
  <c r="AY54" i="26" a="1"/>
  <c r="AY54" i="26" s="1"/>
  <c r="J51" i="24" s="1" a="1"/>
  <c r="J51" i="24" s="1"/>
  <c r="AY55" i="26" a="1"/>
  <c r="AY55" i="26" s="1"/>
  <c r="J52" i="24" s="1" a="1"/>
  <c r="J52" i="24" s="1"/>
  <c r="AY56" i="26" a="1"/>
  <c r="AY56" i="26" s="1"/>
  <c r="J53" i="24" s="1" a="1"/>
  <c r="J53" i="24" s="1"/>
  <c r="AY57" i="26" a="1"/>
  <c r="AY57" i="26" s="1"/>
  <c r="J54" i="24" s="1" a="1"/>
  <c r="J54" i="24" s="1"/>
  <c r="AY58" i="26" a="1"/>
  <c r="AY58" i="26" s="1"/>
  <c r="J55" i="24" s="1" a="1"/>
  <c r="J55" i="24" s="1"/>
  <c r="AY59" i="26" a="1"/>
  <c r="AY59" i="26" s="1"/>
  <c r="J56" i="24" s="1" a="1"/>
  <c r="J56" i="24" s="1"/>
  <c r="AK10" i="26" a="1"/>
  <c r="AK10" i="26" s="1"/>
  <c r="I7" i="22" s="1" a="1"/>
  <c r="I7" i="22" s="1"/>
  <c r="AK11" i="26" a="1"/>
  <c r="AK11" i="26" s="1"/>
  <c r="I8" i="22" s="1" a="1"/>
  <c r="I8" i="22" s="1"/>
  <c r="AK12" i="26" a="1"/>
  <c r="AK12" i="26" s="1"/>
  <c r="I9" i="22" s="1" a="1"/>
  <c r="I9" i="22" s="1"/>
  <c r="AK13" i="26" a="1"/>
  <c r="AK13" i="26" s="1"/>
  <c r="I10" i="22" s="1" a="1"/>
  <c r="I10" i="22" s="1"/>
  <c r="AK14" i="26" a="1"/>
  <c r="AK14" i="26" s="1"/>
  <c r="I11" i="22" s="1" a="1"/>
  <c r="I11" i="22" s="1"/>
  <c r="AK15" i="26" a="1"/>
  <c r="AK15" i="26" s="1"/>
  <c r="I12" i="22" s="1" a="1"/>
  <c r="I12" i="22" s="1"/>
  <c r="AK16" i="26" a="1"/>
  <c r="AK16" i="26" s="1"/>
  <c r="I13" i="22" s="1" a="1"/>
  <c r="I13" i="22" s="1"/>
  <c r="AK17" i="26" a="1"/>
  <c r="AK17" i="26" s="1"/>
  <c r="I14" i="22" s="1" a="1"/>
  <c r="I14" i="22" s="1"/>
  <c r="AK18" i="26" a="1"/>
  <c r="AK18" i="26" s="1"/>
  <c r="I15" i="22" s="1" a="1"/>
  <c r="I15" i="22" s="1"/>
  <c r="AK19" i="26" a="1"/>
  <c r="AK19" i="26" s="1"/>
  <c r="I16" i="22" s="1" a="1"/>
  <c r="I16" i="22" s="1"/>
  <c r="AK20" i="26" a="1"/>
  <c r="AK20" i="26" s="1"/>
  <c r="I17" i="22" s="1" a="1"/>
  <c r="I17" i="22" s="1"/>
  <c r="AK21" i="26" a="1"/>
  <c r="AK21" i="26" s="1"/>
  <c r="I18" i="22" s="1" a="1"/>
  <c r="I18" i="22" s="1"/>
  <c r="AK22" i="26" a="1"/>
  <c r="AK22" i="26" s="1"/>
  <c r="I19" i="22" s="1" a="1"/>
  <c r="I19" i="22" s="1"/>
  <c r="AK23" i="26" a="1"/>
  <c r="AK23" i="26" s="1"/>
  <c r="I20" i="22" s="1" a="1"/>
  <c r="I20" i="22" s="1"/>
  <c r="AK24" i="26" a="1"/>
  <c r="AK24" i="26" s="1"/>
  <c r="I21" i="22" s="1" a="1"/>
  <c r="I21" i="22" s="1"/>
  <c r="AK25" i="26" a="1"/>
  <c r="AK25" i="26" s="1"/>
  <c r="I22" i="22" s="1" a="1"/>
  <c r="I22" i="22" s="1"/>
  <c r="AK26" i="26" a="1"/>
  <c r="AK26" i="26" s="1"/>
  <c r="I23" i="22" s="1" a="1"/>
  <c r="I23" i="22" s="1"/>
  <c r="AK27" i="26" a="1"/>
  <c r="AK27" i="26" s="1"/>
  <c r="I24" i="22" s="1" a="1"/>
  <c r="I24" i="22" s="1"/>
  <c r="AK28" i="26" a="1"/>
  <c r="AK28" i="26" s="1"/>
  <c r="I25" i="22" s="1" a="1"/>
  <c r="I25" i="22" s="1"/>
  <c r="AK29" i="26" a="1"/>
  <c r="AK29" i="26" s="1"/>
  <c r="I26" i="22" s="1" a="1"/>
  <c r="I26" i="22" s="1"/>
  <c r="AK30" i="26" a="1"/>
  <c r="AK30" i="26" s="1"/>
  <c r="I27" i="22" s="1" a="1"/>
  <c r="I27" i="22" s="1"/>
  <c r="AK31" i="26" a="1"/>
  <c r="AK31" i="26" s="1"/>
  <c r="I28" i="22" s="1" a="1"/>
  <c r="I28" i="22" s="1"/>
  <c r="AK32" i="26" a="1"/>
  <c r="AK32" i="26" s="1"/>
  <c r="I29" i="22" s="1" a="1"/>
  <c r="I29" i="22" s="1"/>
  <c r="AK33" i="26" a="1"/>
  <c r="AK33" i="26" s="1"/>
  <c r="I30" i="22" s="1" a="1"/>
  <c r="I30" i="22" s="1"/>
  <c r="AK34" i="26" a="1"/>
  <c r="AK34" i="26" s="1"/>
  <c r="I31" i="22" s="1" a="1"/>
  <c r="I31" i="22" s="1"/>
  <c r="AK35" i="26" a="1"/>
  <c r="AK35" i="26" s="1"/>
  <c r="I32" i="22" s="1" a="1"/>
  <c r="I32" i="22" s="1"/>
  <c r="AK36" i="26" a="1"/>
  <c r="AK36" i="26" s="1"/>
  <c r="I33" i="22" s="1" a="1"/>
  <c r="I33" i="22" s="1"/>
  <c r="AK37" i="26" a="1"/>
  <c r="AK37" i="26" s="1"/>
  <c r="I34" i="22" s="1" a="1"/>
  <c r="I34" i="22" s="1"/>
  <c r="AK38" i="26" a="1"/>
  <c r="AK38" i="26" s="1"/>
  <c r="I35" i="22" s="1" a="1"/>
  <c r="I35" i="22" s="1"/>
  <c r="AK39" i="26" a="1"/>
  <c r="AK39" i="26" s="1"/>
  <c r="I36" i="22" s="1" a="1"/>
  <c r="I36" i="22" s="1"/>
  <c r="AK40" i="26" a="1"/>
  <c r="AK40" i="26" s="1"/>
  <c r="I37" i="22" s="1" a="1"/>
  <c r="I37" i="22" s="1"/>
  <c r="AK41" i="26" a="1"/>
  <c r="AK41" i="26" s="1"/>
  <c r="I38" i="22" s="1" a="1"/>
  <c r="I38" i="22" s="1"/>
  <c r="AK42" i="26" a="1"/>
  <c r="AK42" i="26" s="1"/>
  <c r="I39" i="22" s="1" a="1"/>
  <c r="I39" i="22" s="1"/>
  <c r="AK43" i="26" a="1"/>
  <c r="AK43" i="26" s="1"/>
  <c r="I40" i="22" s="1" a="1"/>
  <c r="I40" i="22" s="1"/>
  <c r="AK44" i="26" a="1"/>
  <c r="AK44" i="26" s="1"/>
  <c r="I41" i="22" s="1" a="1"/>
  <c r="I41" i="22" s="1"/>
  <c r="AK45" i="26" a="1"/>
  <c r="AK45" i="26" s="1"/>
  <c r="I42" i="22" s="1" a="1"/>
  <c r="I42" i="22" s="1"/>
  <c r="AK46" i="26" a="1"/>
  <c r="AK46" i="26" s="1"/>
  <c r="I43" i="22" s="1" a="1"/>
  <c r="I43" i="22" s="1"/>
  <c r="AK47" i="26" a="1"/>
  <c r="AK47" i="26" s="1"/>
  <c r="I44" i="22" s="1" a="1"/>
  <c r="I44" i="22" s="1"/>
  <c r="AK48" i="26" a="1"/>
  <c r="AK48" i="26" s="1"/>
  <c r="I45" i="22" s="1" a="1"/>
  <c r="I45" i="22" s="1"/>
  <c r="AK49" i="26" a="1"/>
  <c r="AK49" i="26" s="1"/>
  <c r="I46" i="22" s="1" a="1"/>
  <c r="I46" i="22" s="1"/>
  <c r="AK50" i="26" a="1"/>
  <c r="AK50" i="26" s="1"/>
  <c r="I47" i="22" s="1" a="1"/>
  <c r="I47" i="22" s="1"/>
  <c r="AK51" i="26" a="1"/>
  <c r="AK51" i="26" s="1"/>
  <c r="I48" i="22" s="1" a="1"/>
  <c r="I48" i="22" s="1"/>
  <c r="AK52" i="26" a="1"/>
  <c r="AK52" i="26" s="1"/>
  <c r="I49" i="22" s="1" a="1"/>
  <c r="I49" i="22" s="1"/>
  <c r="AK53" i="26" a="1"/>
  <c r="AK53" i="26" s="1"/>
  <c r="I50" i="22" s="1" a="1"/>
  <c r="I50" i="22" s="1"/>
  <c r="AK54" i="26" a="1"/>
  <c r="AK54" i="26" s="1"/>
  <c r="I51" i="22" s="1" a="1"/>
  <c r="I51" i="22" s="1"/>
  <c r="AK55" i="26" a="1"/>
  <c r="AK55" i="26" s="1"/>
  <c r="I52" i="22" s="1" a="1"/>
  <c r="I52" i="22" s="1"/>
  <c r="AK56" i="26" a="1"/>
  <c r="AK56" i="26" s="1"/>
  <c r="I53" i="22" s="1" a="1"/>
  <c r="I53" i="22" s="1"/>
  <c r="AK57" i="26" a="1"/>
  <c r="AK57" i="26" s="1"/>
  <c r="I54" i="22" s="1" a="1"/>
  <c r="I54" i="22" s="1"/>
  <c r="AK58" i="26" a="1"/>
  <c r="AK58" i="26" s="1"/>
  <c r="I55" i="22" s="1" a="1"/>
  <c r="I55" i="22" s="1"/>
  <c r="AK59" i="26" a="1"/>
  <c r="AK59" i="26" s="1"/>
  <c r="I56" i="22" s="1" a="1"/>
  <c r="I56" i="22" s="1"/>
  <c r="AE10" i="26" a="1"/>
  <c r="AE10" i="26" s="1"/>
  <c r="K7" i="17" s="1" a="1"/>
  <c r="K7" i="17" s="1"/>
  <c r="AE11" i="26" a="1"/>
  <c r="AE11" i="26" s="1"/>
  <c r="AE12" i="26" a="1"/>
  <c r="AE12" i="26" s="1"/>
  <c r="AE13" i="26" a="1"/>
  <c r="AE13" i="26" s="1"/>
  <c r="K10" i="17" s="1" a="1"/>
  <c r="K10" i="17" s="1"/>
  <c r="AE14" i="26" a="1"/>
  <c r="AE14" i="26" s="1"/>
  <c r="K11" i="17" s="1" a="1"/>
  <c r="K11" i="17" s="1"/>
  <c r="AE15" i="26" a="1"/>
  <c r="AE15" i="26" s="1"/>
  <c r="K12" i="17" s="1" a="1"/>
  <c r="K12" i="17" s="1"/>
  <c r="AE16" i="26" a="1"/>
  <c r="AE16" i="26" s="1"/>
  <c r="K13" i="17" s="1" a="1"/>
  <c r="K13" i="17" s="1"/>
  <c r="AE17" i="26" a="1"/>
  <c r="AE17" i="26" s="1"/>
  <c r="K14" i="17" s="1" a="1"/>
  <c r="K14" i="17" s="1"/>
  <c r="AE18" i="26" a="1"/>
  <c r="AE18" i="26" s="1"/>
  <c r="K15" i="17" s="1" a="1"/>
  <c r="K15" i="17" s="1"/>
  <c r="AE19" i="26" a="1"/>
  <c r="AE19" i="26" s="1"/>
  <c r="K16" i="17" s="1" a="1"/>
  <c r="K16" i="17" s="1"/>
  <c r="AE20" i="26" a="1"/>
  <c r="AE20" i="26" s="1"/>
  <c r="K17" i="17" s="1" a="1"/>
  <c r="K17" i="17" s="1"/>
  <c r="AE21" i="26" a="1"/>
  <c r="AE21" i="26" s="1"/>
  <c r="K18" i="17" s="1" a="1"/>
  <c r="K18" i="17" s="1"/>
  <c r="AE22" i="26" a="1"/>
  <c r="AE22" i="26" s="1"/>
  <c r="K19" i="17" s="1" a="1"/>
  <c r="K19" i="17" s="1"/>
  <c r="AE23" i="26" a="1"/>
  <c r="AE23" i="26" s="1"/>
  <c r="K20" i="17" s="1" a="1"/>
  <c r="K20" i="17" s="1"/>
  <c r="AE24" i="26" a="1"/>
  <c r="AE24" i="26" s="1"/>
  <c r="AE25" i="26" a="1"/>
  <c r="AE25" i="26" s="1"/>
  <c r="K22" i="17" s="1" a="1"/>
  <c r="K22" i="17" s="1"/>
  <c r="AE26" i="26" a="1"/>
  <c r="AE26" i="26" s="1"/>
  <c r="K23" i="17" s="1" a="1"/>
  <c r="K23" i="17" s="1"/>
  <c r="AE27" i="26" a="1"/>
  <c r="AE27" i="26" s="1"/>
  <c r="K24" i="17" s="1" a="1"/>
  <c r="K24" i="17" s="1"/>
  <c r="AE28" i="26" a="1"/>
  <c r="AE28" i="26" s="1"/>
  <c r="K25" i="17" s="1" a="1"/>
  <c r="K25" i="17" s="1"/>
  <c r="AE29" i="26" a="1"/>
  <c r="AE29" i="26" s="1"/>
  <c r="K26" i="17" s="1" a="1"/>
  <c r="K26" i="17" s="1"/>
  <c r="AE30" i="26" a="1"/>
  <c r="AE30" i="26" s="1"/>
  <c r="K27" i="17" s="1" a="1"/>
  <c r="K27" i="17" s="1"/>
  <c r="AE31" i="26" a="1"/>
  <c r="AE31" i="26" s="1"/>
  <c r="K28" i="17" s="1" a="1"/>
  <c r="K28" i="17" s="1"/>
  <c r="AE32" i="26" a="1"/>
  <c r="AE32" i="26" s="1"/>
  <c r="K29" i="17" s="1" a="1"/>
  <c r="K29" i="17" s="1"/>
  <c r="AE33" i="26" a="1"/>
  <c r="AE33" i="26" s="1"/>
  <c r="K30" i="17" s="1" a="1"/>
  <c r="K30" i="17" s="1"/>
  <c r="AE34" i="26" a="1"/>
  <c r="AE34" i="26" s="1"/>
  <c r="K31" i="17" s="1" a="1"/>
  <c r="K31" i="17" s="1"/>
  <c r="AE35" i="26" a="1"/>
  <c r="AE35" i="26" s="1"/>
  <c r="K32" i="17" s="1" a="1"/>
  <c r="K32" i="17" s="1"/>
  <c r="AE36" i="26" a="1"/>
  <c r="AE36" i="26" s="1"/>
  <c r="K33" i="17" s="1" a="1"/>
  <c r="K33" i="17" s="1"/>
  <c r="AE37" i="26" a="1"/>
  <c r="AE37" i="26" s="1"/>
  <c r="K34" i="17" s="1" a="1"/>
  <c r="K34" i="17" s="1"/>
  <c r="AE38" i="26" a="1"/>
  <c r="AE38" i="26" s="1"/>
  <c r="K35" i="17" s="1" a="1"/>
  <c r="K35" i="17" s="1"/>
  <c r="AE39" i="26" a="1"/>
  <c r="AE39" i="26" s="1"/>
  <c r="K36" i="17" s="1" a="1"/>
  <c r="K36" i="17" s="1"/>
  <c r="AE40" i="26" a="1"/>
  <c r="AE40" i="26" s="1"/>
  <c r="K37" i="17" s="1" a="1"/>
  <c r="K37" i="17" s="1"/>
  <c r="AE41" i="26" a="1"/>
  <c r="AE41" i="26" s="1"/>
  <c r="K38" i="17" s="1" a="1"/>
  <c r="K38" i="17" s="1"/>
  <c r="AE42" i="26" a="1"/>
  <c r="AE42" i="26" s="1"/>
  <c r="K39" i="17" s="1" a="1"/>
  <c r="K39" i="17" s="1"/>
  <c r="AE43" i="26" a="1"/>
  <c r="AE43" i="26" s="1"/>
  <c r="K40" i="17" s="1" a="1"/>
  <c r="K40" i="17" s="1"/>
  <c r="AE44" i="26" a="1"/>
  <c r="AE44" i="26" s="1"/>
  <c r="K41" i="17" s="1" a="1"/>
  <c r="K41" i="17" s="1"/>
  <c r="AE45" i="26" a="1"/>
  <c r="AE45" i="26" s="1"/>
  <c r="K42" i="17" s="1" a="1"/>
  <c r="K42" i="17" s="1"/>
  <c r="AE46" i="26" a="1"/>
  <c r="AE46" i="26" s="1"/>
  <c r="K43" i="17" s="1" a="1"/>
  <c r="K43" i="17" s="1"/>
  <c r="AE47" i="26" a="1"/>
  <c r="AE47" i="26" s="1"/>
  <c r="K44" i="17" s="1" a="1"/>
  <c r="K44" i="17" s="1"/>
  <c r="AE48" i="26" a="1"/>
  <c r="AE48" i="26" s="1"/>
  <c r="K45" i="17" s="1" a="1"/>
  <c r="K45" i="17" s="1"/>
  <c r="AE49" i="26" a="1"/>
  <c r="AE49" i="26" s="1"/>
  <c r="K46" i="17" s="1" a="1"/>
  <c r="K46" i="17" s="1"/>
  <c r="AE50" i="26" a="1"/>
  <c r="AE50" i="26" s="1"/>
  <c r="K47" i="17" s="1" a="1"/>
  <c r="K47" i="17" s="1"/>
  <c r="AE51" i="26" a="1"/>
  <c r="AE51" i="26" s="1"/>
  <c r="K48" i="17" s="1" a="1"/>
  <c r="K48" i="17" s="1"/>
  <c r="AE52" i="26" a="1"/>
  <c r="AE52" i="26" s="1"/>
  <c r="K49" i="17" s="1" a="1"/>
  <c r="K49" i="17" s="1"/>
  <c r="AE53" i="26" a="1"/>
  <c r="AE53" i="26" s="1"/>
  <c r="K50" i="17" s="1" a="1"/>
  <c r="K50" i="17" s="1"/>
  <c r="AE54" i="26" a="1"/>
  <c r="AE54" i="26" s="1"/>
  <c r="K51" i="17" s="1" a="1"/>
  <c r="K51" i="17" s="1"/>
  <c r="AE55" i="26" a="1"/>
  <c r="AE55" i="26" s="1"/>
  <c r="K52" i="17" s="1" a="1"/>
  <c r="K52" i="17" s="1"/>
  <c r="AE56" i="26" a="1"/>
  <c r="AE56" i="26" s="1"/>
  <c r="K53" i="17" s="1" a="1"/>
  <c r="K53" i="17" s="1"/>
  <c r="AE57" i="26" a="1"/>
  <c r="AE57" i="26" s="1"/>
  <c r="K54" i="17" s="1" a="1"/>
  <c r="K54" i="17" s="1"/>
  <c r="AE58" i="26" a="1"/>
  <c r="AE58" i="26" s="1"/>
  <c r="K55" i="17" s="1" a="1"/>
  <c r="K55" i="17" s="1"/>
  <c r="AE59" i="26" a="1"/>
  <c r="AE59" i="26" s="1"/>
  <c r="K56" i="17" s="1" a="1"/>
  <c r="K56" i="17" s="1"/>
  <c r="W10" i="26" a="1"/>
  <c r="W10" i="26" s="1"/>
  <c r="J7" i="21" s="1" a="1"/>
  <c r="J7" i="21" s="1"/>
  <c r="W11" i="26" a="1"/>
  <c r="W11" i="26" s="1"/>
  <c r="J8" i="21" s="1" a="1"/>
  <c r="J8" i="21" s="1"/>
  <c r="W12" i="26" a="1"/>
  <c r="W12" i="26" s="1"/>
  <c r="J9" i="21" s="1" a="1"/>
  <c r="J9" i="21" s="1"/>
  <c r="W13" i="26" a="1"/>
  <c r="W13" i="26" s="1"/>
  <c r="J10" i="21" s="1" a="1"/>
  <c r="J10" i="21" s="1"/>
  <c r="W14" i="26" a="1"/>
  <c r="W14" i="26" s="1"/>
  <c r="J11" i="21" s="1" a="1"/>
  <c r="J11" i="21" s="1"/>
  <c r="W15" i="26" a="1"/>
  <c r="W15" i="26" s="1"/>
  <c r="J12" i="21" s="1" a="1"/>
  <c r="J12" i="21" s="1"/>
  <c r="W16" i="26" a="1"/>
  <c r="W16" i="26" s="1"/>
  <c r="J13" i="21" s="1" a="1"/>
  <c r="J13" i="21" s="1"/>
  <c r="W17" i="26" a="1"/>
  <c r="W17" i="26" s="1"/>
  <c r="J14" i="21" s="1" a="1"/>
  <c r="J14" i="21" s="1"/>
  <c r="W18" i="26" a="1"/>
  <c r="W18" i="26" s="1"/>
  <c r="J15" i="21" s="1" a="1"/>
  <c r="J15" i="21" s="1"/>
  <c r="W19" i="26" a="1"/>
  <c r="W19" i="26" s="1"/>
  <c r="J16" i="21" s="1" a="1"/>
  <c r="J16" i="21" s="1"/>
  <c r="W20" i="26" a="1"/>
  <c r="W20" i="26" s="1"/>
  <c r="J17" i="21" s="1" a="1"/>
  <c r="J17" i="21" s="1"/>
  <c r="W21" i="26" a="1"/>
  <c r="W21" i="26" s="1"/>
  <c r="J18" i="21" s="1" a="1"/>
  <c r="J18" i="21" s="1"/>
  <c r="W22" i="26" a="1"/>
  <c r="W22" i="26" s="1"/>
  <c r="J19" i="21" s="1" a="1"/>
  <c r="J19" i="21" s="1"/>
  <c r="W23" i="26" a="1"/>
  <c r="W23" i="26" s="1"/>
  <c r="J20" i="21" s="1" a="1"/>
  <c r="J20" i="21" s="1"/>
  <c r="W24" i="26" a="1"/>
  <c r="W24" i="26" s="1"/>
  <c r="J21" i="21" s="1" a="1"/>
  <c r="J21" i="21" s="1"/>
  <c r="W25" i="26" a="1"/>
  <c r="W25" i="26" s="1"/>
  <c r="J22" i="21" s="1" a="1"/>
  <c r="J22" i="21" s="1"/>
  <c r="W26" i="26" a="1"/>
  <c r="W26" i="26" s="1"/>
  <c r="J23" i="21" s="1" a="1"/>
  <c r="J23" i="21" s="1"/>
  <c r="W27" i="26" a="1"/>
  <c r="W27" i="26" s="1"/>
  <c r="J24" i="21" s="1" a="1"/>
  <c r="J24" i="21" s="1"/>
  <c r="W28" i="26" a="1"/>
  <c r="W28" i="26" s="1"/>
  <c r="J25" i="21" s="1" a="1"/>
  <c r="J25" i="21" s="1"/>
  <c r="W29" i="26" a="1"/>
  <c r="W29" i="26" s="1"/>
  <c r="J26" i="21" s="1" a="1"/>
  <c r="J26" i="21" s="1"/>
  <c r="W30" i="26" a="1"/>
  <c r="W30" i="26" s="1"/>
  <c r="J27" i="21" s="1" a="1"/>
  <c r="J27" i="21" s="1"/>
  <c r="W31" i="26" a="1"/>
  <c r="W31" i="26" s="1"/>
  <c r="J28" i="21" s="1" a="1"/>
  <c r="J28" i="21" s="1"/>
  <c r="W32" i="26" a="1"/>
  <c r="W32" i="26" s="1"/>
  <c r="J29" i="21" s="1" a="1"/>
  <c r="J29" i="21" s="1"/>
  <c r="W33" i="26" a="1"/>
  <c r="W33" i="26" s="1"/>
  <c r="J30" i="21" s="1" a="1"/>
  <c r="J30" i="21" s="1"/>
  <c r="W34" i="26" a="1"/>
  <c r="W34" i="26" s="1"/>
  <c r="J31" i="21" s="1" a="1"/>
  <c r="J31" i="21" s="1"/>
  <c r="W35" i="26" a="1"/>
  <c r="W35" i="26" s="1"/>
  <c r="J32" i="21" s="1" a="1"/>
  <c r="J32" i="21" s="1"/>
  <c r="W36" i="26" a="1"/>
  <c r="W36" i="26" s="1"/>
  <c r="J33" i="21" s="1" a="1"/>
  <c r="J33" i="21" s="1"/>
  <c r="W37" i="26" a="1"/>
  <c r="W37" i="26" s="1"/>
  <c r="J34" i="21" s="1" a="1"/>
  <c r="J34" i="21" s="1"/>
  <c r="W38" i="26" a="1"/>
  <c r="W38" i="26" s="1"/>
  <c r="J35" i="21" s="1" a="1"/>
  <c r="J35" i="21" s="1"/>
  <c r="W39" i="26" a="1"/>
  <c r="W39" i="26" s="1"/>
  <c r="J36" i="21" s="1" a="1"/>
  <c r="J36" i="21" s="1"/>
  <c r="W40" i="26" a="1"/>
  <c r="W40" i="26" s="1"/>
  <c r="J37" i="21" s="1" a="1"/>
  <c r="J37" i="21" s="1"/>
  <c r="W41" i="26" a="1"/>
  <c r="W41" i="26" s="1"/>
  <c r="J38" i="21" s="1" a="1"/>
  <c r="J38" i="21" s="1"/>
  <c r="W42" i="26" a="1"/>
  <c r="W42" i="26" s="1"/>
  <c r="J39" i="21" s="1" a="1"/>
  <c r="J39" i="21" s="1"/>
  <c r="W43" i="26" a="1"/>
  <c r="W43" i="26" s="1"/>
  <c r="J40" i="21" s="1" a="1"/>
  <c r="J40" i="21" s="1"/>
  <c r="W44" i="26" a="1"/>
  <c r="W44" i="26" s="1"/>
  <c r="J41" i="21" s="1" a="1"/>
  <c r="J41" i="21" s="1"/>
  <c r="W45" i="26" a="1"/>
  <c r="W45" i="26" s="1"/>
  <c r="J42" i="21" s="1" a="1"/>
  <c r="J42" i="21" s="1"/>
  <c r="W46" i="26" a="1"/>
  <c r="W46" i="26" s="1"/>
  <c r="J43" i="21" s="1" a="1"/>
  <c r="J43" i="21" s="1"/>
  <c r="W47" i="26" a="1"/>
  <c r="W47" i="26" s="1"/>
  <c r="J44" i="21" s="1" a="1"/>
  <c r="J44" i="21" s="1"/>
  <c r="W48" i="26" a="1"/>
  <c r="W48" i="26" s="1"/>
  <c r="J45" i="21" s="1" a="1"/>
  <c r="J45" i="21" s="1"/>
  <c r="W49" i="26" a="1"/>
  <c r="W49" i="26" s="1"/>
  <c r="J46" i="21" s="1" a="1"/>
  <c r="J46" i="21" s="1"/>
  <c r="W50" i="26" a="1"/>
  <c r="W50" i="26" s="1"/>
  <c r="J47" i="21" s="1" a="1"/>
  <c r="J47" i="21" s="1"/>
  <c r="W51" i="26" a="1"/>
  <c r="W51" i="26" s="1"/>
  <c r="J48" i="21" s="1" a="1"/>
  <c r="J48" i="21" s="1"/>
  <c r="W52" i="26" a="1"/>
  <c r="W52" i="26" s="1"/>
  <c r="J49" i="21" s="1" a="1"/>
  <c r="J49" i="21" s="1"/>
  <c r="W53" i="26" a="1"/>
  <c r="W53" i="26" s="1"/>
  <c r="J50" i="21" s="1" a="1"/>
  <c r="J50" i="21" s="1"/>
  <c r="W54" i="26" a="1"/>
  <c r="W54" i="26" s="1"/>
  <c r="J51" i="21" s="1" a="1"/>
  <c r="J51" i="21" s="1"/>
  <c r="W55" i="26" a="1"/>
  <c r="W55" i="26" s="1"/>
  <c r="J52" i="21" s="1" a="1"/>
  <c r="J52" i="21" s="1"/>
  <c r="W56" i="26" a="1"/>
  <c r="W56" i="26" s="1"/>
  <c r="J53" i="21" s="1" a="1"/>
  <c r="J53" i="21" s="1"/>
  <c r="W57" i="26" a="1"/>
  <c r="W57" i="26" s="1"/>
  <c r="J54" i="21" s="1" a="1"/>
  <c r="J54" i="21" s="1"/>
  <c r="W58" i="26" a="1"/>
  <c r="W58" i="26" s="1"/>
  <c r="J55" i="21" s="1" a="1"/>
  <c r="J55" i="21" s="1"/>
  <c r="W59" i="26" a="1"/>
  <c r="W59" i="26" s="1"/>
  <c r="J56" i="21" s="1" a="1"/>
  <c r="J56" i="21" s="1"/>
  <c r="Q10" i="26" a="1"/>
  <c r="Q10" i="26" s="1"/>
  <c r="L7" i="20" s="1" a="1"/>
  <c r="L7" i="20" s="1"/>
  <c r="Q11" i="26" a="1"/>
  <c r="Q11" i="26" s="1"/>
  <c r="L8" i="20" s="1" a="1"/>
  <c r="L8" i="20" s="1"/>
  <c r="Q12" i="26" a="1"/>
  <c r="Q12" i="26" s="1"/>
  <c r="L9" i="20" s="1" a="1"/>
  <c r="L9" i="20" s="1"/>
  <c r="Q13" i="26" a="1"/>
  <c r="Q13" i="26" s="1"/>
  <c r="L10" i="20" s="1" a="1"/>
  <c r="L10" i="20" s="1"/>
  <c r="Q14" i="26" a="1"/>
  <c r="Q14" i="26" s="1"/>
  <c r="L11" i="20" s="1" a="1"/>
  <c r="L11" i="20" s="1"/>
  <c r="Q15" i="26" a="1"/>
  <c r="Q15" i="26" s="1"/>
  <c r="L12" i="20" s="1" a="1"/>
  <c r="L12" i="20" s="1"/>
  <c r="Q16" i="26" a="1"/>
  <c r="Q16" i="26" s="1"/>
  <c r="L13" i="20" s="1" a="1"/>
  <c r="L13" i="20" s="1"/>
  <c r="Q17" i="26" a="1"/>
  <c r="Q17" i="26" s="1"/>
  <c r="L14" i="20" s="1" a="1"/>
  <c r="L14" i="20" s="1"/>
  <c r="Q18" i="26" a="1"/>
  <c r="Q18" i="26" s="1"/>
  <c r="L15" i="20" s="1" a="1"/>
  <c r="L15" i="20" s="1"/>
  <c r="Q19" i="26" a="1"/>
  <c r="Q19" i="26" s="1"/>
  <c r="L16" i="20" s="1" a="1"/>
  <c r="L16" i="20" s="1"/>
  <c r="Q20" i="26" a="1"/>
  <c r="Q20" i="26" s="1"/>
  <c r="L17" i="20" s="1" a="1"/>
  <c r="L17" i="20" s="1"/>
  <c r="Q21" i="26" a="1"/>
  <c r="Q21" i="26" s="1"/>
  <c r="L18" i="20" s="1" a="1"/>
  <c r="L18" i="20" s="1"/>
  <c r="Q22" i="26" a="1"/>
  <c r="Q22" i="26" s="1"/>
  <c r="L19" i="20" s="1" a="1"/>
  <c r="L19" i="20" s="1"/>
  <c r="Q23" i="26" a="1"/>
  <c r="Q23" i="26" s="1"/>
  <c r="L20" i="20" s="1" a="1"/>
  <c r="L20" i="20" s="1"/>
  <c r="Q24" i="26" a="1"/>
  <c r="Q24" i="26" s="1"/>
  <c r="L21" i="20" s="1" a="1"/>
  <c r="L21" i="20" s="1"/>
  <c r="Q25" i="26" a="1"/>
  <c r="Q25" i="26" s="1"/>
  <c r="L22" i="20" s="1" a="1"/>
  <c r="L22" i="20" s="1"/>
  <c r="Q26" i="26" a="1"/>
  <c r="Q26" i="26" s="1"/>
  <c r="L23" i="20" s="1" a="1"/>
  <c r="L23" i="20" s="1"/>
  <c r="Q27" i="26" a="1"/>
  <c r="Q27" i="26" s="1"/>
  <c r="L24" i="20" s="1" a="1"/>
  <c r="L24" i="20" s="1"/>
  <c r="Q28" i="26" a="1"/>
  <c r="Q28" i="26" s="1"/>
  <c r="L25" i="20" s="1" a="1"/>
  <c r="L25" i="20" s="1"/>
  <c r="Q29" i="26" a="1"/>
  <c r="Q29" i="26" s="1"/>
  <c r="L26" i="20" s="1" a="1"/>
  <c r="L26" i="20" s="1"/>
  <c r="Q30" i="26" a="1"/>
  <c r="Q30" i="26" s="1"/>
  <c r="L27" i="20" s="1" a="1"/>
  <c r="L27" i="20" s="1"/>
  <c r="Q31" i="26" a="1"/>
  <c r="Q31" i="26" s="1"/>
  <c r="L28" i="20" s="1" a="1"/>
  <c r="L28" i="20" s="1"/>
  <c r="Q32" i="26" a="1"/>
  <c r="Q32" i="26" s="1"/>
  <c r="L29" i="20" s="1" a="1"/>
  <c r="L29" i="20" s="1"/>
  <c r="Q33" i="26" a="1"/>
  <c r="Q33" i="26" s="1"/>
  <c r="L30" i="20" s="1" a="1"/>
  <c r="L30" i="20" s="1"/>
  <c r="Q34" i="26" a="1"/>
  <c r="Q34" i="26" s="1"/>
  <c r="L31" i="20" s="1" a="1"/>
  <c r="L31" i="20" s="1"/>
  <c r="Q35" i="26" a="1"/>
  <c r="Q35" i="26" s="1"/>
  <c r="L32" i="20" s="1" a="1"/>
  <c r="L32" i="20" s="1"/>
  <c r="Q36" i="26" a="1"/>
  <c r="Q36" i="26" s="1"/>
  <c r="L33" i="20" s="1" a="1"/>
  <c r="L33" i="20" s="1"/>
  <c r="Q37" i="26" a="1"/>
  <c r="Q37" i="26" s="1"/>
  <c r="L34" i="20" s="1" a="1"/>
  <c r="L34" i="20" s="1"/>
  <c r="Q38" i="26" a="1"/>
  <c r="Q38" i="26" s="1"/>
  <c r="L35" i="20" s="1" a="1"/>
  <c r="L35" i="20" s="1"/>
  <c r="Q39" i="26" a="1"/>
  <c r="Q39" i="26" s="1"/>
  <c r="L36" i="20" s="1" a="1"/>
  <c r="L36" i="20" s="1"/>
  <c r="Q40" i="26" a="1"/>
  <c r="Q40" i="26" s="1"/>
  <c r="L37" i="20" s="1" a="1"/>
  <c r="L37" i="20" s="1"/>
  <c r="Q41" i="26" a="1"/>
  <c r="Q41" i="26" s="1"/>
  <c r="L38" i="20" s="1" a="1"/>
  <c r="L38" i="20" s="1"/>
  <c r="Q42" i="26" a="1"/>
  <c r="Q42" i="26" s="1"/>
  <c r="L39" i="20" s="1" a="1"/>
  <c r="L39" i="20" s="1"/>
  <c r="Q43" i="26" a="1"/>
  <c r="Q43" i="26" s="1"/>
  <c r="L40" i="20" s="1" a="1"/>
  <c r="L40" i="20" s="1"/>
  <c r="Q44" i="26" a="1"/>
  <c r="Q44" i="26" s="1"/>
  <c r="L41" i="20" s="1" a="1"/>
  <c r="L41" i="20" s="1"/>
  <c r="Q45" i="26" a="1"/>
  <c r="Q45" i="26" s="1"/>
  <c r="L42" i="20" s="1" a="1"/>
  <c r="L42" i="20" s="1"/>
  <c r="Q46" i="26" a="1"/>
  <c r="Q46" i="26" s="1"/>
  <c r="L43" i="20" s="1" a="1"/>
  <c r="L43" i="20" s="1"/>
  <c r="Q47" i="26" a="1"/>
  <c r="Q47" i="26" s="1"/>
  <c r="L44" i="20" s="1" a="1"/>
  <c r="L44" i="20" s="1"/>
  <c r="Q48" i="26" a="1"/>
  <c r="Q48" i="26" s="1"/>
  <c r="L45" i="20" s="1" a="1"/>
  <c r="L45" i="20" s="1"/>
  <c r="Q49" i="26" a="1"/>
  <c r="Q49" i="26" s="1"/>
  <c r="L46" i="20" s="1" a="1"/>
  <c r="L46" i="20" s="1"/>
  <c r="Q50" i="26" a="1"/>
  <c r="Q50" i="26" s="1"/>
  <c r="L47" i="20" s="1" a="1"/>
  <c r="L47" i="20" s="1"/>
  <c r="Q51" i="26" a="1"/>
  <c r="Q51" i="26" s="1"/>
  <c r="L48" i="20" s="1" a="1"/>
  <c r="L48" i="20" s="1"/>
  <c r="Q52" i="26" a="1"/>
  <c r="Q52" i="26" s="1"/>
  <c r="L49" i="20" s="1" a="1"/>
  <c r="L49" i="20" s="1"/>
  <c r="Q53" i="26" a="1"/>
  <c r="Q53" i="26" s="1"/>
  <c r="L50" i="20" s="1" a="1"/>
  <c r="L50" i="20" s="1"/>
  <c r="Q54" i="26" a="1"/>
  <c r="Q54" i="26" s="1"/>
  <c r="L51" i="20" s="1" a="1"/>
  <c r="L51" i="20" s="1"/>
  <c r="Q55" i="26" a="1"/>
  <c r="Q55" i="26" s="1"/>
  <c r="L52" i="20" s="1" a="1"/>
  <c r="L52" i="20" s="1"/>
  <c r="Q56" i="26" a="1"/>
  <c r="Q56" i="26" s="1"/>
  <c r="L53" i="20" s="1" a="1"/>
  <c r="L53" i="20" s="1"/>
  <c r="Q57" i="26" a="1"/>
  <c r="Q57" i="26" s="1"/>
  <c r="L54" i="20" s="1" a="1"/>
  <c r="L54" i="20" s="1"/>
  <c r="Q58" i="26" a="1"/>
  <c r="Q58" i="26" s="1"/>
  <c r="L55" i="20" s="1" a="1"/>
  <c r="L55" i="20" s="1"/>
  <c r="Q59" i="26" a="1"/>
  <c r="Q59" i="26" s="1"/>
  <c r="L56" i="20" s="1" a="1"/>
  <c r="L56" i="20" s="1"/>
  <c r="I11" i="26" a="1"/>
  <c r="I11" i="26" s="1"/>
  <c r="I12" i="26" a="1"/>
  <c r="I12" i="26" s="1"/>
  <c r="I13" i="26" a="1"/>
  <c r="I13" i="26" s="1"/>
  <c r="I14" i="26" a="1"/>
  <c r="I14" i="26" s="1"/>
  <c r="I15" i="26" a="1"/>
  <c r="I15" i="26" s="1"/>
  <c r="I16" i="26" a="1"/>
  <c r="I16" i="26" s="1"/>
  <c r="I17" i="26" a="1"/>
  <c r="I17" i="26" s="1"/>
  <c r="I18" i="26" a="1"/>
  <c r="I18" i="26" s="1"/>
  <c r="I19" i="26" a="1"/>
  <c r="I19" i="26" s="1"/>
  <c r="I20" i="26" a="1"/>
  <c r="I20" i="26" s="1"/>
  <c r="I21" i="26" a="1"/>
  <c r="I21" i="26" s="1"/>
  <c r="I22" i="26" a="1"/>
  <c r="I22" i="26" s="1"/>
  <c r="I23" i="26" a="1"/>
  <c r="I23" i="26" s="1"/>
  <c r="I24" i="26" a="1"/>
  <c r="I24" i="26" s="1"/>
  <c r="I25" i="26" a="1"/>
  <c r="I25" i="26" s="1"/>
  <c r="I26" i="26" a="1"/>
  <c r="I26" i="26" s="1"/>
  <c r="I27" i="26" a="1"/>
  <c r="I27" i="26" s="1"/>
  <c r="I28" i="26" a="1"/>
  <c r="I28" i="26" s="1"/>
  <c r="I29" i="26" a="1"/>
  <c r="I29" i="26" s="1"/>
  <c r="I30" i="26" a="1"/>
  <c r="I30" i="26" s="1"/>
  <c r="I31" i="26" a="1"/>
  <c r="I31" i="26" s="1"/>
  <c r="I32" i="26" a="1"/>
  <c r="I32" i="26" s="1"/>
  <c r="I33" i="26" a="1"/>
  <c r="I33" i="26" s="1"/>
  <c r="I34" i="26" a="1"/>
  <c r="I34" i="26" s="1"/>
  <c r="I35" i="26" a="1"/>
  <c r="I35" i="26" s="1"/>
  <c r="I36" i="26" a="1"/>
  <c r="I36" i="26" s="1"/>
  <c r="I37" i="26" a="1"/>
  <c r="I37" i="26" s="1"/>
  <c r="I38" i="26" a="1"/>
  <c r="I38" i="26" s="1"/>
  <c r="I39" i="26" a="1"/>
  <c r="I39" i="26" s="1"/>
  <c r="I40" i="26" a="1"/>
  <c r="I40" i="26" s="1"/>
  <c r="I41" i="26" a="1"/>
  <c r="I41" i="26" s="1"/>
  <c r="I42" i="26" a="1"/>
  <c r="I42" i="26" s="1"/>
  <c r="I43" i="26" a="1"/>
  <c r="I43" i="26" s="1"/>
  <c r="I44" i="26" a="1"/>
  <c r="I44" i="26" s="1"/>
  <c r="I45" i="26" a="1"/>
  <c r="I45" i="26" s="1"/>
  <c r="I46" i="26" a="1"/>
  <c r="I46" i="26" s="1"/>
  <c r="I47" i="26" a="1"/>
  <c r="I47" i="26" s="1"/>
  <c r="I48" i="26" a="1"/>
  <c r="I48" i="26" s="1"/>
  <c r="I49" i="26" a="1"/>
  <c r="I49" i="26" s="1"/>
  <c r="I50" i="26" a="1"/>
  <c r="I50" i="26" s="1"/>
  <c r="I51" i="26" a="1"/>
  <c r="I51" i="26" s="1"/>
  <c r="I52" i="26" a="1"/>
  <c r="I52" i="26" s="1"/>
  <c r="I53" i="26" a="1"/>
  <c r="I53" i="26" s="1"/>
  <c r="I54" i="26" a="1"/>
  <c r="I54" i="26" s="1"/>
  <c r="I55" i="26" a="1"/>
  <c r="I55" i="26" s="1"/>
  <c r="I56" i="26" a="1"/>
  <c r="I56" i="26" s="1"/>
  <c r="I57" i="26" a="1"/>
  <c r="I57" i="26" s="1"/>
  <c r="I58" i="26" a="1"/>
  <c r="I58" i="26" s="1"/>
  <c r="I59" i="26" a="1"/>
  <c r="I59" i="26" s="1"/>
  <c r="AO10" i="26" a="1"/>
  <c r="AO10" i="26" s="1"/>
  <c r="I7" i="23" s="1" a="1"/>
  <c r="I7" i="23" s="1"/>
  <c r="DP15" i="7" a="1"/>
  <c r="DP15" i="7" s="1"/>
  <c r="DP56" i="7" a="1"/>
  <c r="DP56" i="7" s="1"/>
  <c r="DP35" i="7" a="1"/>
  <c r="DP35" i="7" s="1"/>
  <c r="DP20" i="7" a="1"/>
  <c r="DP20" i="7" s="1"/>
  <c r="DP28" i="7" a="1"/>
  <c r="DP28" i="7" s="1"/>
  <c r="DP10" i="7" a="1"/>
  <c r="DP10" i="7" s="1"/>
  <c r="DP57" i="7" a="1"/>
  <c r="DP57" i="7" s="1"/>
  <c r="DP43" i="7" a="1"/>
  <c r="DP43" i="7" s="1"/>
  <c r="DP8" i="7" a="1"/>
  <c r="DP8" i="7" s="1"/>
  <c r="DP46" i="7" a="1"/>
  <c r="DP46" i="7" s="1"/>
  <c r="DP21" i="7" a="1"/>
  <c r="DP21" i="7" s="1"/>
  <c r="DP53" i="7" a="1"/>
  <c r="DP53" i="7" s="1"/>
  <c r="DP16" i="7" a="1"/>
  <c r="DP16" i="7" s="1"/>
  <c r="DP42" i="7" a="1"/>
  <c r="DP42" i="7" s="1"/>
  <c r="DP40" i="7" a="1"/>
  <c r="DP40" i="7" s="1"/>
  <c r="DP12" i="7" a="1"/>
  <c r="DP12" i="7" s="1"/>
  <c r="DP23" i="7" a="1"/>
  <c r="DP23" i="7" s="1"/>
  <c r="DP26" i="7" a="1"/>
  <c r="DP26" i="7" s="1"/>
  <c r="DP48" i="7" a="1"/>
  <c r="DP48" i="7" s="1"/>
  <c r="DP54" i="7" a="1"/>
  <c r="DP54" i="7" s="1"/>
  <c r="DP47" i="7" a="1"/>
  <c r="DP47" i="7" s="1"/>
  <c r="DP49" i="7" a="1"/>
  <c r="DP49" i="7" s="1"/>
  <c r="DP27" i="7" a="1"/>
  <c r="DP27" i="7" s="1"/>
  <c r="DP22" i="7" a="1"/>
  <c r="DP22" i="7" s="1"/>
  <c r="DP11" i="7" a="1"/>
  <c r="DP11" i="7" s="1"/>
  <c r="DP17" i="7" a="1"/>
  <c r="DP17" i="7" s="1"/>
  <c r="DP55" i="7" a="1"/>
  <c r="DP55" i="7" s="1"/>
  <c r="DP51" i="7" a="1"/>
  <c r="DP51" i="7" s="1"/>
  <c r="DP33" i="7" a="1"/>
  <c r="DP33" i="7" s="1"/>
  <c r="DP32" i="7" a="1"/>
  <c r="DP32" i="7" s="1"/>
  <c r="DP19" i="7" a="1"/>
  <c r="DP19" i="7" s="1"/>
  <c r="DP36" i="7" a="1"/>
  <c r="DP36" i="7" s="1"/>
  <c r="DP38" i="7" a="1"/>
  <c r="DP38" i="7" s="1"/>
  <c r="DP41" i="7" a="1"/>
  <c r="DP41" i="7" s="1"/>
  <c r="DP37" i="7" a="1"/>
  <c r="DP37" i="7" s="1"/>
  <c r="DP13" i="7" a="1"/>
  <c r="DP13" i="7" s="1"/>
  <c r="DP52" i="7" a="1"/>
  <c r="DP52" i="7" s="1"/>
  <c r="DP39" i="7" a="1"/>
  <c r="DP39" i="7" s="1"/>
  <c r="DP14" i="7" a="1"/>
  <c r="DP14" i="7" s="1"/>
  <c r="DR59" i="7"/>
  <c r="DP34" i="7" a="1"/>
  <c r="DP34" i="7" s="1"/>
  <c r="DP31" i="7" a="1"/>
  <c r="DP31" i="7" s="1"/>
  <c r="DP45" i="7" a="1"/>
  <c r="DP45" i="7" s="1"/>
  <c r="DP29" i="7" a="1"/>
  <c r="DP29" i="7" s="1"/>
  <c r="DP44" i="7" a="1"/>
  <c r="DP44" i="7" s="1"/>
  <c r="DP9" i="7" a="1"/>
  <c r="DP9" i="7" s="1"/>
  <c r="DR60" i="7"/>
  <c r="DP24" i="7" a="1"/>
  <c r="DP24" i="7" s="1"/>
  <c r="DP18" i="7" a="1"/>
  <c r="DP18" i="7" s="1"/>
  <c r="DP30" i="7" a="1"/>
  <c r="DP30" i="7" s="1"/>
  <c r="K15" i="25" a="1"/>
  <c r="K15" i="25" s="1"/>
  <c r="K8" i="17" a="1"/>
  <c r="K8" i="17" s="1"/>
  <c r="K24" i="25" a="1"/>
  <c r="K24" i="25" s="1"/>
  <c r="J23" i="24" a="1"/>
  <c r="J23" i="24" s="1"/>
  <c r="K21" i="17" a="1"/>
  <c r="K21" i="17" s="1"/>
  <c r="J9" i="24" a="1"/>
  <c r="J9" i="24" s="1"/>
  <c r="K10" i="25" a="1"/>
  <c r="K10" i="25" s="1"/>
  <c r="K18" i="25" a="1"/>
  <c r="K18" i="25" s="1"/>
  <c r="K11" i="25" a="1"/>
  <c r="K11" i="25" s="1"/>
  <c r="J10" i="24" a="1"/>
  <c r="J10" i="24" s="1"/>
  <c r="K9" i="17" a="1"/>
  <c r="K9" i="17" s="1"/>
  <c r="J8" i="24" a="1"/>
  <c r="J8" i="24" s="1"/>
  <c r="H24" i="17" a="1"/>
  <c r="H24" i="17" s="1"/>
  <c r="H24" i="22" a="1"/>
  <c r="H24" i="22" s="1"/>
  <c r="H24" i="21" a="1"/>
  <c r="H24" i="21" s="1"/>
  <c r="H50" i="17" a="1"/>
  <c r="H50" i="17" s="1"/>
  <c r="H50" i="21" a="1"/>
  <c r="H50" i="21" s="1"/>
  <c r="H50" i="22" a="1"/>
  <c r="H50" i="22" s="1"/>
  <c r="H19" i="17" a="1"/>
  <c r="H19" i="17" s="1"/>
  <c r="H19" i="21" a="1"/>
  <c r="H19" i="21" s="1"/>
  <c r="H19" i="22" a="1"/>
  <c r="H19" i="22" s="1"/>
  <c r="H20" i="22" a="1"/>
  <c r="H20" i="22" s="1"/>
  <c r="H20" i="17" a="1"/>
  <c r="H20" i="17" s="1"/>
  <c r="H20" i="21" a="1"/>
  <c r="H20" i="21" s="1"/>
  <c r="H23" i="17" a="1"/>
  <c r="H23" i="17" s="1"/>
  <c r="H23" i="22" a="1"/>
  <c r="H23" i="22" s="1"/>
  <c r="H23" i="21" a="1"/>
  <c r="H23" i="21" s="1"/>
  <c r="H48" i="21" a="1"/>
  <c r="H48" i="21" s="1"/>
  <c r="H48" i="22" a="1"/>
  <c r="H48" i="22" s="1"/>
  <c r="H48" i="17" a="1"/>
  <c r="H48" i="17" s="1"/>
  <c r="H25" i="21" a="1"/>
  <c r="H25" i="21" s="1"/>
  <c r="H25" i="17" a="1"/>
  <c r="H25" i="17" s="1"/>
  <c r="H25" i="22" a="1"/>
  <c r="H25" i="22" s="1"/>
  <c r="H39" i="17" a="1"/>
  <c r="H39" i="17" s="1"/>
  <c r="H39" i="22" a="1"/>
  <c r="H39" i="22" s="1"/>
  <c r="H39" i="21" a="1"/>
  <c r="H39" i="21" s="1"/>
  <c r="H29" i="22" a="1"/>
  <c r="H29" i="22" s="1"/>
  <c r="H29" i="21" a="1"/>
  <c r="H29" i="21" s="1"/>
  <c r="H29" i="17" a="1"/>
  <c r="H29" i="17" s="1"/>
  <c r="H35" i="17" a="1"/>
  <c r="H35" i="17" s="1"/>
  <c r="H35" i="22" a="1"/>
  <c r="H35" i="22" s="1"/>
  <c r="H35" i="21" a="1"/>
  <c r="H35" i="21" s="1"/>
  <c r="H9" i="22" a="1"/>
  <c r="H9" i="22" s="1"/>
  <c r="H9" i="17" a="1"/>
  <c r="H9" i="17" s="1"/>
  <c r="H9" i="21" a="1"/>
  <c r="H9" i="21" s="1"/>
  <c r="H7" i="21" a="1"/>
  <c r="H7" i="21" s="1"/>
  <c r="H7" i="22" a="1"/>
  <c r="H7" i="22" s="1"/>
  <c r="H32" i="17" a="1"/>
  <c r="H32" i="17" s="1"/>
  <c r="H32" i="22" a="1"/>
  <c r="H32" i="22" s="1"/>
  <c r="H32" i="21" a="1"/>
  <c r="H32" i="21" s="1"/>
  <c r="H46" i="21" a="1"/>
  <c r="H46" i="21" s="1"/>
  <c r="H46" i="22" a="1"/>
  <c r="H46" i="22" s="1"/>
  <c r="H46" i="17" a="1"/>
  <c r="H46" i="17" s="1"/>
  <c r="H21" i="22" a="1"/>
  <c r="H21" i="22" s="1"/>
  <c r="H21" i="17" a="1"/>
  <c r="H21" i="17" s="1"/>
  <c r="H21" i="21" a="1"/>
  <c r="H21" i="21" s="1"/>
  <c r="H28" i="22" a="1"/>
  <c r="H28" i="22" s="1"/>
  <c r="H28" i="21" a="1"/>
  <c r="H28" i="21" s="1"/>
  <c r="H28" i="17" a="1"/>
  <c r="H28" i="17" s="1"/>
  <c r="H8" i="22" a="1"/>
  <c r="H8" i="22" s="1"/>
  <c r="H8" i="17" a="1"/>
  <c r="H8" i="17" s="1"/>
  <c r="H8" i="21" a="1"/>
  <c r="H8" i="21" s="1"/>
  <c r="H42" i="17" a="1"/>
  <c r="H42" i="17" s="1"/>
  <c r="H42" i="22" a="1"/>
  <c r="H42" i="22" s="1"/>
  <c r="H42" i="21" a="1"/>
  <c r="H42" i="21" s="1"/>
  <c r="H51" i="22" a="1"/>
  <c r="H51" i="22" s="1"/>
  <c r="H51" i="17" a="1"/>
  <c r="H51" i="17" s="1"/>
  <c r="H51" i="21" a="1"/>
  <c r="H51" i="21" s="1"/>
  <c r="H41" i="22" a="1"/>
  <c r="H41" i="22" s="1"/>
  <c r="H41" i="21" a="1"/>
  <c r="H41" i="21" s="1"/>
  <c r="H41" i="17" a="1"/>
  <c r="H41" i="17" s="1"/>
  <c r="H17" i="21" a="1"/>
  <c r="H17" i="21" s="1"/>
  <c r="H17" i="22" a="1"/>
  <c r="H17" i="22" s="1"/>
  <c r="H17" i="17" a="1"/>
  <c r="H17" i="17" s="1"/>
  <c r="H13" i="17" a="1"/>
  <c r="H13" i="17" s="1"/>
  <c r="H13" i="21" a="1"/>
  <c r="H13" i="21" s="1"/>
  <c r="H13" i="22" a="1"/>
  <c r="H13" i="22" s="1"/>
  <c r="H11" i="21" a="1"/>
  <c r="H11" i="21" s="1"/>
  <c r="H11" i="22" a="1"/>
  <c r="H11" i="22" s="1"/>
  <c r="H11" i="17" a="1"/>
  <c r="H11" i="17" s="1"/>
  <c r="H30" i="17" a="1"/>
  <c r="H30" i="17" s="1"/>
  <c r="H30" i="22" a="1"/>
  <c r="H30" i="22" s="1"/>
  <c r="H30" i="21" a="1"/>
  <c r="H30" i="21" s="1"/>
  <c r="H40" i="17" a="1"/>
  <c r="H40" i="17" s="1"/>
  <c r="H40" i="22" a="1"/>
  <c r="H40" i="22" s="1"/>
  <c r="H40" i="21" a="1"/>
  <c r="H40" i="21" s="1"/>
  <c r="H26" i="21" a="1"/>
  <c r="H26" i="21" s="1"/>
  <c r="H26" i="17" a="1"/>
  <c r="H26" i="17" s="1"/>
  <c r="H26" i="22" a="1"/>
  <c r="H26" i="22" s="1"/>
  <c r="H54" i="21" a="1"/>
  <c r="H54" i="21" s="1"/>
  <c r="H54" i="22" a="1"/>
  <c r="H54" i="22" s="1"/>
  <c r="H54" i="17" a="1"/>
  <c r="H54" i="17" s="1"/>
  <c r="H55" i="21" a="1"/>
  <c r="H55" i="21" s="1"/>
  <c r="H55" i="22" a="1"/>
  <c r="H55" i="22" s="1"/>
  <c r="H55" i="17" a="1"/>
  <c r="H55" i="17" s="1"/>
  <c r="H15" i="22" a="1"/>
  <c r="H15" i="22" s="1"/>
  <c r="H15" i="17" a="1"/>
  <c r="H15" i="17" s="1"/>
  <c r="H15" i="21" a="1"/>
  <c r="H15" i="21" s="1"/>
  <c r="H33" i="17" a="1"/>
  <c r="H33" i="17" s="1"/>
  <c r="H33" i="22" a="1"/>
  <c r="H33" i="22" s="1"/>
  <c r="H33" i="21" a="1"/>
  <c r="H33" i="21" s="1"/>
  <c r="H18" i="21" a="1"/>
  <c r="H18" i="21" s="1"/>
  <c r="H18" i="22" a="1"/>
  <c r="H18" i="22" s="1"/>
  <c r="H18" i="17" a="1"/>
  <c r="H18" i="17" s="1"/>
  <c r="H37" i="17" a="1"/>
  <c r="H37" i="17" s="1"/>
  <c r="H37" i="22" a="1"/>
  <c r="H37" i="22" s="1"/>
  <c r="H37" i="21" a="1"/>
  <c r="H37" i="21" s="1"/>
  <c r="H14" i="22" a="1"/>
  <c r="H14" i="22" s="1"/>
  <c r="H14" i="17" a="1"/>
  <c r="H14" i="17" s="1"/>
  <c r="H14" i="21" a="1"/>
  <c r="H14" i="21" s="1"/>
  <c r="H31" i="17" a="1"/>
  <c r="H31" i="17" s="1"/>
  <c r="H31" i="22" a="1"/>
  <c r="H31" i="22" s="1"/>
  <c r="H31" i="21" a="1"/>
  <c r="H31" i="21" s="1"/>
  <c r="H44" i="21" a="1"/>
  <c r="H44" i="21" s="1"/>
  <c r="H44" i="22" a="1"/>
  <c r="H44" i="22" s="1"/>
  <c r="H44" i="17" a="1"/>
  <c r="H44" i="17" s="1"/>
  <c r="H36" i="22" a="1"/>
  <c r="H36" i="22" s="1"/>
  <c r="H36" i="21" a="1"/>
  <c r="H36" i="21" s="1"/>
  <c r="H36" i="17" a="1"/>
  <c r="H36" i="17" s="1"/>
  <c r="H56" i="21" a="1"/>
  <c r="H56" i="21" s="1"/>
  <c r="H56" i="22" a="1"/>
  <c r="H56" i="22" s="1"/>
  <c r="H56" i="17" a="1"/>
  <c r="H56" i="17" s="1"/>
  <c r="H45" i="21" a="1"/>
  <c r="H45" i="21" s="1"/>
  <c r="H45" i="22" a="1"/>
  <c r="H45" i="22" s="1"/>
  <c r="H45" i="17" a="1"/>
  <c r="H45" i="17" s="1"/>
  <c r="H34" i="17" a="1"/>
  <c r="H34" i="17" s="1"/>
  <c r="H34" i="22" a="1"/>
  <c r="H34" i="22" s="1"/>
  <c r="H34" i="21" a="1"/>
  <c r="H34" i="21" s="1"/>
  <c r="H47" i="21" a="1"/>
  <c r="H47" i="21" s="1"/>
  <c r="H47" i="22" a="1"/>
  <c r="H47" i="22" s="1"/>
  <c r="H47" i="17" a="1"/>
  <c r="H47" i="17" s="1"/>
  <c r="H22" i="22" a="1"/>
  <c r="H22" i="22" s="1"/>
  <c r="H22" i="17" a="1"/>
  <c r="H22" i="17" s="1"/>
  <c r="H22" i="21" a="1"/>
  <c r="H22" i="21" s="1"/>
  <c r="H52" i="21" a="1"/>
  <c r="H52" i="21" s="1"/>
  <c r="H52" i="22" a="1"/>
  <c r="H52" i="22" s="1"/>
  <c r="H52" i="17" a="1"/>
  <c r="H52" i="17" s="1"/>
  <c r="H38" i="17" a="1"/>
  <c r="H38" i="17" s="1"/>
  <c r="H38" i="22" a="1"/>
  <c r="H38" i="22" s="1"/>
  <c r="H38" i="21" a="1"/>
  <c r="H38" i="21" s="1"/>
  <c r="H49" i="17" a="1"/>
  <c r="H49" i="17" s="1"/>
  <c r="H49" i="21" a="1"/>
  <c r="H49" i="21" s="1"/>
  <c r="H49" i="22" a="1"/>
  <c r="H49" i="22" s="1"/>
  <c r="H10" i="21" a="1"/>
  <c r="H10" i="21" s="1"/>
  <c r="H10" i="22" a="1"/>
  <c r="H10" i="22" s="1"/>
  <c r="H10" i="17" a="1"/>
  <c r="H10" i="17" s="1"/>
  <c r="H53" i="21" a="1"/>
  <c r="H53" i="21" s="1"/>
  <c r="H53" i="22" a="1"/>
  <c r="H53" i="22" s="1"/>
  <c r="H53" i="17" a="1"/>
  <c r="H53" i="17" s="1"/>
  <c r="H16" i="22" a="1"/>
  <c r="H16" i="22" s="1"/>
  <c r="H16" i="17" a="1"/>
  <c r="H16" i="17" s="1"/>
  <c r="H16" i="21" a="1"/>
  <c r="H16" i="21" s="1"/>
  <c r="H27" i="21" a="1"/>
  <c r="H27" i="21" s="1"/>
  <c r="H27" i="17" a="1"/>
  <c r="H27" i="17" s="1"/>
  <c r="H27" i="22" a="1"/>
  <c r="H27" i="22" s="1"/>
  <c r="H43" i="22" a="1"/>
  <c r="H43" i="22" s="1"/>
  <c r="H43" i="17" a="1"/>
  <c r="H43" i="17" s="1"/>
  <c r="H43" i="21" a="1"/>
  <c r="H43" i="21" s="1"/>
  <c r="H12" i="17" a="1"/>
  <c r="H12" i="17" s="1"/>
  <c r="H12" i="21" a="1"/>
  <c r="H12" i="21" s="1"/>
  <c r="H12" i="22" a="1"/>
  <c r="H12" i="22" s="1"/>
  <c r="G24" i="22" a="1"/>
  <c r="G24" i="22" s="1"/>
  <c r="G9" i="22" a="1"/>
  <c r="G9" i="22" s="1"/>
  <c r="G39" i="22" a="1"/>
  <c r="G39" i="22" s="1"/>
  <c r="G16" i="22" a="1"/>
  <c r="G16" i="22" s="1"/>
  <c r="G50" i="22" a="1"/>
  <c r="G50" i="22" s="1"/>
  <c r="G19" i="22" a="1"/>
  <c r="G19" i="22" s="1"/>
  <c r="G48" i="22" a="1"/>
  <c r="G48" i="22" s="1"/>
  <c r="G54" i="22" a="1"/>
  <c r="G54" i="22" s="1"/>
  <c r="G30" i="22" a="1"/>
  <c r="G30" i="22" s="1"/>
  <c r="G12" i="22" a="1"/>
  <c r="G12" i="22" s="1"/>
  <c r="G41" i="22" a="1"/>
  <c r="G41" i="22" s="1"/>
  <c r="G21" i="22" a="1"/>
  <c r="G21" i="22" s="1"/>
  <c r="G52" i="22" a="1"/>
  <c r="G52" i="22" s="1"/>
  <c r="G45" i="22" a="1"/>
  <c r="G45" i="22" s="1"/>
  <c r="G55" i="22" a="1"/>
  <c r="G55" i="22" s="1"/>
  <c r="G13" i="22" a="1"/>
  <c r="G13" i="22" s="1"/>
  <c r="G38" i="22" a="1"/>
  <c r="G38" i="22" s="1"/>
  <c r="G27" i="22" a="1"/>
  <c r="G27" i="22" s="1"/>
  <c r="G36" i="22" a="1"/>
  <c r="G36" i="22" s="1"/>
  <c r="G31" i="22" a="1"/>
  <c r="G31" i="22" s="1"/>
  <c r="G40" i="22" a="1"/>
  <c r="G40" i="22" s="1"/>
  <c r="G46" i="22" a="1"/>
  <c r="G46" i="22" s="1"/>
  <c r="G22" i="22" a="1"/>
  <c r="G22" i="22" s="1"/>
  <c r="G8" i="22" a="1"/>
  <c r="G8" i="22" s="1"/>
  <c r="G29" i="22" a="1"/>
  <c r="G29" i="22" s="1"/>
  <c r="G18" i="22" a="1"/>
  <c r="G18" i="22" s="1"/>
  <c r="G51" i="22" a="1"/>
  <c r="G51" i="22" s="1"/>
  <c r="G35" i="22" a="1"/>
  <c r="G35" i="22" s="1"/>
  <c r="G37" i="22" a="1"/>
  <c r="G37" i="22" s="1"/>
  <c r="G14" i="22" a="1"/>
  <c r="G14" i="22" s="1"/>
  <c r="G43" i="22" a="1"/>
  <c r="G43" i="22" s="1"/>
  <c r="G20" i="22" a="1"/>
  <c r="G20" i="22" s="1"/>
  <c r="G10" i="22" a="1"/>
  <c r="G10" i="22" s="1"/>
  <c r="G42" i="22" a="1"/>
  <c r="G42" i="22" s="1"/>
  <c r="G26" i="22" a="1"/>
  <c r="G26" i="22" s="1"/>
  <c r="G28" i="22" a="1"/>
  <c r="G28" i="22" s="1"/>
  <c r="G53" i="22" a="1"/>
  <c r="G53" i="22" s="1"/>
  <c r="G34" i="22" a="1"/>
  <c r="G34" i="22" s="1"/>
  <c r="G15" i="22" a="1"/>
  <c r="G15" i="22" s="1"/>
  <c r="G49" i="22" a="1"/>
  <c r="G49" i="22" s="1"/>
  <c r="G47" i="22" a="1"/>
  <c r="G47" i="22" s="1"/>
  <c r="G11" i="22" a="1"/>
  <c r="G11" i="22" s="1"/>
  <c r="G32" i="22" a="1"/>
  <c r="G32" i="22" s="1"/>
  <c r="G33" i="22" a="1"/>
  <c r="G33" i="22" s="1"/>
  <c r="G17" i="22" a="1"/>
  <c r="G17" i="22" s="1"/>
  <c r="G23" i="22" a="1"/>
  <c r="G23" i="22" s="1"/>
  <c r="G44" i="22" a="1"/>
  <c r="G44" i="22" s="1"/>
  <c r="G25" i="22" a="1"/>
  <c r="G25" i="22" s="1"/>
  <c r="G7" i="22" a="1"/>
  <c r="G7" i="22" s="1"/>
  <c r="G56" i="22" a="1"/>
  <c r="G56" i="22" s="1"/>
  <c r="E30" i="25" a="1"/>
  <c r="E30" i="25" s="1"/>
  <c r="E55" i="25" a="1"/>
  <c r="E55" i="25" s="1"/>
  <c r="E47" i="25" a="1"/>
  <c r="E47" i="25" s="1"/>
  <c r="E22" i="25" a="1"/>
  <c r="E22" i="25" s="1"/>
  <c r="E28" i="25" a="1"/>
  <c r="E28" i="25" s="1"/>
  <c r="E15" i="25" a="1"/>
  <c r="E15" i="25" s="1"/>
  <c r="E54" i="25" a="1"/>
  <c r="E54" i="25" s="1"/>
  <c r="E52" i="25" a="1"/>
  <c r="E52" i="25" s="1"/>
  <c r="E50" i="25" a="1"/>
  <c r="E50" i="25" s="1"/>
  <c r="E25" i="25" a="1"/>
  <c r="E25" i="25" s="1"/>
  <c r="E19" i="25" a="1"/>
  <c r="E19" i="25" s="1"/>
  <c r="E18" i="25" a="1"/>
  <c r="E18" i="25" s="1"/>
  <c r="E33" i="25" a="1"/>
  <c r="E33" i="25" s="1"/>
  <c r="E20" i="25" a="1"/>
  <c r="E20" i="25" s="1"/>
  <c r="E41" i="25" a="1"/>
  <c r="E41" i="25" s="1"/>
  <c r="E26" i="25" a="1"/>
  <c r="E26" i="25" s="1"/>
  <c r="E7" i="25" a="1"/>
  <c r="E7" i="25" s="1"/>
  <c r="E48" i="25" a="1"/>
  <c r="E48" i="25" s="1"/>
  <c r="E14" i="25" a="1"/>
  <c r="E14" i="25" s="1"/>
  <c r="E11" i="25" a="1"/>
  <c r="E11" i="25" s="1"/>
  <c r="E16" i="25" a="1"/>
  <c r="E16" i="25" s="1"/>
  <c r="E12" i="25" a="1"/>
  <c r="E12" i="25" s="1"/>
  <c r="DA14" i="7" l="1"/>
  <c r="H13" i="20" s="1" a="1"/>
  <c r="H13" i="20" s="1"/>
  <c r="F13" i="20" s="1"/>
  <c r="DA10" i="7"/>
  <c r="H9" i="20" s="1" a="1"/>
  <c r="H9" i="20" s="1"/>
  <c r="E17" i="25" a="1"/>
  <c r="E17" i="25" s="1"/>
  <c r="F17" i="25" s="1"/>
  <c r="DA9" i="7"/>
  <c r="H8" i="20" s="1" a="1"/>
  <c r="H8" i="20" s="1"/>
  <c r="F8" i="20" s="1"/>
  <c r="DA45" i="7"/>
  <c r="G44" i="21" s="1" a="1"/>
  <c r="G44" i="21" s="1"/>
  <c r="E44" i="21" s="1"/>
  <c r="DA47" i="7"/>
  <c r="G46" i="21" s="1" a="1"/>
  <c r="G46" i="21" s="1"/>
  <c r="E56" i="25" a="1"/>
  <c r="E56" i="25" s="1"/>
  <c r="F56" i="25" s="1"/>
  <c r="DA55" i="7"/>
  <c r="H54" i="20" s="1" a="1"/>
  <c r="H54" i="20" s="1"/>
  <c r="DA35" i="7"/>
  <c r="H34" i="20" s="1" a="1"/>
  <c r="H34" i="20" s="1"/>
  <c r="E8" i="25" a="1"/>
  <c r="E8" i="25" s="1"/>
  <c r="F8" i="25" s="1"/>
  <c r="DA17" i="7"/>
  <c r="P18" i="29" s="1" a="1"/>
  <c r="P18" i="29" s="1"/>
  <c r="DA21" i="7"/>
  <c r="G20" i="21" s="1" a="1"/>
  <c r="G20" i="21" s="1"/>
  <c r="E23" i="25" a="1"/>
  <c r="E23" i="25" s="1"/>
  <c r="F23" i="25" s="1"/>
  <c r="G16" i="17" a="1"/>
  <c r="G16" i="17" s="1"/>
  <c r="P24" i="29" a="1"/>
  <c r="P24" i="29" s="1"/>
  <c r="DA12" i="7"/>
  <c r="H11" i="20" s="1" a="1"/>
  <c r="H11" i="20" s="1"/>
  <c r="F11" i="20" s="1"/>
  <c r="DA31" i="7"/>
  <c r="H30" i="20" s="1" a="1"/>
  <c r="H30" i="20" s="1"/>
  <c r="F30" i="20" s="1"/>
  <c r="E45" i="25" a="1"/>
  <c r="E45" i="25" s="1"/>
  <c r="E31" i="25" a="1"/>
  <c r="E31" i="25" s="1"/>
  <c r="DA40" i="7"/>
  <c r="G39" i="21" s="1" a="1"/>
  <c r="G39" i="21" s="1"/>
  <c r="E21" i="25" a="1"/>
  <c r="E21" i="25" s="1"/>
  <c r="F21" i="25" s="1"/>
  <c r="DA46" i="7"/>
  <c r="G45" i="23" s="1" a="1"/>
  <c r="G45" i="23" s="1"/>
  <c r="E45" i="23" s="1"/>
  <c r="H43" i="20" a="1"/>
  <c r="H43" i="20" s="1"/>
  <c r="F43" i="20" s="1"/>
  <c r="DA44" i="7"/>
  <c r="DA8" i="7"/>
  <c r="H7" i="20" s="1" a="1"/>
  <c r="H7" i="20" s="1"/>
  <c r="F7" i="20" s="1"/>
  <c r="DA49" i="7"/>
  <c r="H48" i="20" s="1" a="1"/>
  <c r="H48" i="20" s="1"/>
  <c r="DA32" i="7"/>
  <c r="H31" i="20" s="1" a="1"/>
  <c r="H31" i="20" s="1"/>
  <c r="DA11" i="7"/>
  <c r="G10" i="23" s="1" a="1"/>
  <c r="G10" i="23" s="1"/>
  <c r="DA57" i="7"/>
  <c r="H56" i="20" s="1" a="1"/>
  <c r="H56" i="20" s="1"/>
  <c r="H42" i="20" a="1"/>
  <c r="H42" i="20" s="1"/>
  <c r="O42" i="20" s="1"/>
  <c r="P42" i="20" s="1" a="1"/>
  <c r="P42" i="20" s="1"/>
  <c r="D44" i="29" s="1"/>
  <c r="DA43" i="7"/>
  <c r="DA52" i="7"/>
  <c r="H51" i="20" s="1" a="1"/>
  <c r="H51" i="20" s="1"/>
  <c r="DA34" i="7"/>
  <c r="H33" i="20" s="1" a="1"/>
  <c r="H33" i="20" s="1"/>
  <c r="DA15" i="7"/>
  <c r="G14" i="23" s="1" a="1"/>
  <c r="G14" i="23" s="1"/>
  <c r="E14" i="23" s="1"/>
  <c r="E32" i="25" a="1"/>
  <c r="E32" i="25" s="1"/>
  <c r="E13" i="25" a="1"/>
  <c r="E13" i="25" s="1"/>
  <c r="F13" i="25" s="1"/>
  <c r="E53" i="25" a="1"/>
  <c r="E53" i="25" s="1"/>
  <c r="F53" i="25" s="1"/>
  <c r="DA42" i="7"/>
  <c r="H41" i="20" s="1" a="1"/>
  <c r="H41" i="20" s="1"/>
  <c r="E42" i="25" a="1"/>
  <c r="E42" i="25" s="1"/>
  <c r="E35" i="25" a="1"/>
  <c r="E35" i="25" s="1"/>
  <c r="E36" i="25" a="1"/>
  <c r="E36" i="25" s="1"/>
  <c r="E7" i="20" a="1"/>
  <c r="E7" i="20" s="1"/>
  <c r="E7" i="18" a="1"/>
  <c r="E7" i="18" s="1"/>
  <c r="F7" i="18" s="1"/>
  <c r="DA26" i="7"/>
  <c r="G25" i="23" s="1" a="1"/>
  <c r="G25" i="23" s="1"/>
  <c r="DA29" i="7"/>
  <c r="G28" i="21" s="1" a="1"/>
  <c r="G28" i="21" s="1"/>
  <c r="DA33" i="7"/>
  <c r="G32" i="21" s="1" a="1"/>
  <c r="G32" i="21" s="1"/>
  <c r="E51" i="25" a="1"/>
  <c r="E51" i="25" s="1"/>
  <c r="E40" i="25" a="1"/>
  <c r="E40" i="25" s="1"/>
  <c r="DA19" i="7"/>
  <c r="H18" i="20" s="1" a="1"/>
  <c r="H18" i="20" s="1"/>
  <c r="DA23" i="7"/>
  <c r="G22" i="23" s="1" a="1"/>
  <c r="G22" i="23" s="1"/>
  <c r="DA54" i="7"/>
  <c r="H53" i="20" s="1" a="1"/>
  <c r="H53" i="20" s="1"/>
  <c r="F53" i="20" s="1"/>
  <c r="DA28" i="7"/>
  <c r="G27" i="23" s="1" a="1"/>
  <c r="G27" i="23" s="1"/>
  <c r="E27" i="23" s="1"/>
  <c r="E9" i="25" a="1"/>
  <c r="E9" i="25" s="1"/>
  <c r="F9" i="25" s="1"/>
  <c r="E24" i="25" a="1"/>
  <c r="E24" i="25" s="1"/>
  <c r="F24" i="25" s="1"/>
  <c r="E27" i="25" a="1"/>
  <c r="E27" i="25" s="1"/>
  <c r="F27" i="25" s="1"/>
  <c r="E29" i="25" a="1"/>
  <c r="E29" i="25" s="1"/>
  <c r="DA51" i="7"/>
  <c r="H50" i="20" s="1" a="1"/>
  <c r="H50" i="20" s="1"/>
  <c r="DA13" i="7"/>
  <c r="H12" i="20" s="1" a="1"/>
  <c r="H12" i="20" s="1"/>
  <c r="DA18" i="7"/>
  <c r="G17" i="23" s="1" a="1"/>
  <c r="G17" i="23" s="1"/>
  <c r="E17" i="23" s="1"/>
  <c r="E14" i="22"/>
  <c r="E13" i="17"/>
  <c r="E49" i="25" a="1"/>
  <c r="E49" i="25" s="1"/>
  <c r="F49" i="25" s="1"/>
  <c r="L19" i="24"/>
  <c r="E10" i="25" a="1"/>
  <c r="E10" i="25" s="1"/>
  <c r="F10" i="25" s="1"/>
  <c r="E12" i="17"/>
  <c r="E35" i="22"/>
  <c r="E46" i="25" a="1"/>
  <c r="E46" i="25" s="1"/>
  <c r="F46" i="25" s="1"/>
  <c r="E38" i="25" a="1"/>
  <c r="E38" i="25" s="1"/>
  <c r="F38" i="25" s="1"/>
  <c r="F31" i="24"/>
  <c r="E37" i="25" a="1"/>
  <c r="E37" i="25" s="1"/>
  <c r="F37" i="25" s="1"/>
  <c r="E34" i="25" a="1"/>
  <c r="E34" i="25" s="1"/>
  <c r="F34" i="25" s="1"/>
  <c r="E43" i="25" a="1"/>
  <c r="E43" i="25" s="1"/>
  <c r="F43" i="25" s="1"/>
  <c r="E39" i="25" a="1"/>
  <c r="E39" i="25" s="1"/>
  <c r="F39" i="25" s="1"/>
  <c r="E44" i="25" a="1"/>
  <c r="E44" i="25" s="1"/>
  <c r="F44" i="25" s="1"/>
  <c r="F44" i="24"/>
  <c r="E28" i="22"/>
  <c r="F21" i="24"/>
  <c r="F43" i="24"/>
  <c r="H36" i="20" a="1"/>
  <c r="H36" i="20" s="1"/>
  <c r="F36" i="20" s="1"/>
  <c r="G36" i="21" a="1"/>
  <c r="G36" i="21" s="1"/>
  <c r="E36" i="21" s="1"/>
  <c r="H40" i="20" a="1"/>
  <c r="H40" i="20" s="1"/>
  <c r="F40" i="20" s="1"/>
  <c r="G40" i="23" a="1"/>
  <c r="G40" i="23" s="1"/>
  <c r="K40" i="23" s="1"/>
  <c r="H19" i="20" a="1"/>
  <c r="H19" i="20" s="1"/>
  <c r="F19" i="20" s="1"/>
  <c r="G19" i="23" a="1"/>
  <c r="G19" i="23" s="1"/>
  <c r="E19" i="23" s="1"/>
  <c r="E51" i="22"/>
  <c r="F51" i="24"/>
  <c r="F16" i="24"/>
  <c r="H47" i="20" a="1"/>
  <c r="H47" i="20" s="1"/>
  <c r="F47" i="20" s="1"/>
  <c r="G47" i="23" a="1"/>
  <c r="G47" i="23" s="1"/>
  <c r="K47" i="23" s="1"/>
  <c r="G47" i="21" a="1"/>
  <c r="G47" i="21" s="1"/>
  <c r="E47" i="21" s="1"/>
  <c r="K29" i="18" a="1"/>
  <c r="K29" i="18" s="1"/>
  <c r="BH32" i="26"/>
  <c r="K51" i="18" a="1"/>
  <c r="K51" i="18" s="1"/>
  <c r="BH54" i="26"/>
  <c r="K43" i="18" a="1"/>
  <c r="K43" i="18" s="1"/>
  <c r="BH46" i="26"/>
  <c r="K35" i="18" a="1"/>
  <c r="K35" i="18" s="1"/>
  <c r="BH38" i="26"/>
  <c r="K27" i="18" a="1"/>
  <c r="K27" i="18" s="1"/>
  <c r="BH30" i="26"/>
  <c r="K19" i="18" a="1"/>
  <c r="K19" i="18" s="1"/>
  <c r="BH22" i="26"/>
  <c r="K12" i="18" a="1"/>
  <c r="K12" i="18" s="1"/>
  <c r="BH15" i="26"/>
  <c r="K50" i="18" a="1"/>
  <c r="K50" i="18" s="1"/>
  <c r="BH53" i="26"/>
  <c r="K42" i="18" a="1"/>
  <c r="K42" i="18" s="1"/>
  <c r="BH45" i="26"/>
  <c r="K34" i="18" a="1"/>
  <c r="K34" i="18" s="1"/>
  <c r="BH37" i="26"/>
  <c r="K26" i="18" a="1"/>
  <c r="K26" i="18" s="1"/>
  <c r="BH29" i="26"/>
  <c r="K18" i="18" a="1"/>
  <c r="K18" i="18" s="1"/>
  <c r="BH21" i="26"/>
  <c r="K11" i="18" a="1"/>
  <c r="K11" i="18" s="1"/>
  <c r="BH14" i="26"/>
  <c r="K49" i="18" a="1"/>
  <c r="K49" i="18" s="1"/>
  <c r="BH52" i="26"/>
  <c r="K41" i="18" a="1"/>
  <c r="K41" i="18" s="1"/>
  <c r="BH44" i="26"/>
  <c r="K33" i="18" a="1"/>
  <c r="K33" i="18" s="1"/>
  <c r="BH36" i="26"/>
  <c r="K25" i="18" a="1"/>
  <c r="K25" i="18" s="1"/>
  <c r="BH28" i="26"/>
  <c r="K17" i="18" a="1"/>
  <c r="K17" i="18" s="1"/>
  <c r="BH20" i="26"/>
  <c r="K10" i="18" a="1"/>
  <c r="K10" i="18" s="1"/>
  <c r="BH13" i="26"/>
  <c r="K56" i="18" a="1"/>
  <c r="K56" i="18" s="1"/>
  <c r="BH59" i="26"/>
  <c r="K40" i="18" a="1"/>
  <c r="K40" i="18" s="1"/>
  <c r="BH43" i="26"/>
  <c r="K32" i="18" a="1"/>
  <c r="K32" i="18" s="1"/>
  <c r="BH35" i="26"/>
  <c r="K24" i="18" a="1"/>
  <c r="K24" i="18" s="1"/>
  <c r="BH27" i="26"/>
  <c r="K16" i="18" a="1"/>
  <c r="K16" i="18" s="1"/>
  <c r="BH19" i="26"/>
  <c r="K9" i="18" a="1"/>
  <c r="K9" i="18" s="1"/>
  <c r="BH12" i="26"/>
  <c r="K52" i="18" a="1"/>
  <c r="K52" i="18" s="1"/>
  <c r="BH55" i="26"/>
  <c r="K48" i="18" a="1"/>
  <c r="K48" i="18" s="1"/>
  <c r="BH51" i="26"/>
  <c r="K55" i="18" a="1"/>
  <c r="K55" i="18" s="1"/>
  <c r="BH58" i="26"/>
  <c r="K47" i="18" a="1"/>
  <c r="K47" i="18" s="1"/>
  <c r="BH50" i="26"/>
  <c r="K39" i="18" a="1"/>
  <c r="K39" i="18" s="1"/>
  <c r="BH42" i="26"/>
  <c r="K31" i="18" a="1"/>
  <c r="K31" i="18" s="1"/>
  <c r="BH34" i="26"/>
  <c r="K23" i="18" a="1"/>
  <c r="K23" i="18" s="1"/>
  <c r="BH26" i="26"/>
  <c r="K15" i="18" a="1"/>
  <c r="K15" i="18" s="1"/>
  <c r="BH18" i="26"/>
  <c r="K8" i="18" a="1"/>
  <c r="K8" i="18" s="1"/>
  <c r="BH11" i="26"/>
  <c r="K53" i="18" a="1"/>
  <c r="K53" i="18" s="1"/>
  <c r="BH56" i="26"/>
  <c r="K45" i="18" a="1"/>
  <c r="K45" i="18" s="1"/>
  <c r="BH48" i="26"/>
  <c r="K37" i="18" a="1"/>
  <c r="K37" i="18" s="1"/>
  <c r="BH40" i="26"/>
  <c r="K21" i="18" a="1"/>
  <c r="K21" i="18" s="1"/>
  <c r="BH24" i="26"/>
  <c r="K14" i="18" a="1"/>
  <c r="K14" i="18" s="1"/>
  <c r="BH17" i="26"/>
  <c r="K44" i="18" a="1"/>
  <c r="K44" i="18" s="1"/>
  <c r="BH47" i="26"/>
  <c r="K36" i="18" a="1"/>
  <c r="K36" i="18" s="1"/>
  <c r="BH39" i="26"/>
  <c r="K28" i="18" a="1"/>
  <c r="K28" i="18" s="1"/>
  <c r="BH31" i="26"/>
  <c r="K20" i="18" a="1"/>
  <c r="K20" i="18" s="1"/>
  <c r="BH23" i="26"/>
  <c r="K13" i="18" a="1"/>
  <c r="K13" i="18" s="1"/>
  <c r="BH16" i="26"/>
  <c r="K54" i="18" a="1"/>
  <c r="K54" i="18" s="1"/>
  <c r="BH57" i="26"/>
  <c r="K46" i="18" a="1"/>
  <c r="K46" i="18" s="1"/>
  <c r="BH49" i="26"/>
  <c r="K38" i="18" a="1"/>
  <c r="K38" i="18" s="1"/>
  <c r="BH41" i="26"/>
  <c r="K30" i="18" a="1"/>
  <c r="K30" i="18" s="1"/>
  <c r="BH33" i="26"/>
  <c r="K22" i="18" a="1"/>
  <c r="K22" i="18" s="1"/>
  <c r="BH25" i="26"/>
  <c r="K7" i="18" a="1"/>
  <c r="K7" i="18" s="1"/>
  <c r="BH10" i="26"/>
  <c r="E21" i="17"/>
  <c r="H21" i="20" a="1"/>
  <c r="H21" i="20" s="1"/>
  <c r="O21" i="20" s="1"/>
  <c r="P21" i="20" s="1" a="1"/>
  <c r="P21" i="20" s="1"/>
  <c r="D23" i="29" s="1"/>
  <c r="G21" i="21" a="1"/>
  <c r="G21" i="21" s="1"/>
  <c r="L21" i="21" s="1"/>
  <c r="H37" i="20" a="1"/>
  <c r="H37" i="20" s="1"/>
  <c r="F37" i="20" s="1"/>
  <c r="G37" i="21" a="1"/>
  <c r="G37" i="21" s="1"/>
  <c r="E37" i="21" s="1"/>
  <c r="G37" i="23" a="1"/>
  <c r="G37" i="23" s="1"/>
  <c r="E37" i="23" s="1"/>
  <c r="G42" i="21" a="1"/>
  <c r="G42" i="21" s="1"/>
  <c r="L42" i="21" s="1"/>
  <c r="F41" i="24"/>
  <c r="G29" i="21" a="1"/>
  <c r="G29" i="21" s="1"/>
  <c r="E29" i="21" s="1"/>
  <c r="H29" i="20" a="1"/>
  <c r="H29" i="20" s="1"/>
  <c r="G29" i="23" a="1"/>
  <c r="G29" i="23" s="1"/>
  <c r="E29" i="23" s="1"/>
  <c r="G52" i="23" a="1"/>
  <c r="G52" i="23" s="1"/>
  <c r="E52" i="23" s="1"/>
  <c r="H52" i="20" a="1"/>
  <c r="H52" i="20" s="1"/>
  <c r="H26" i="20" a="1"/>
  <c r="H26" i="20" s="1"/>
  <c r="G26" i="21" a="1"/>
  <c r="G26" i="21" s="1"/>
  <c r="E26" i="21" s="1"/>
  <c r="H23" i="20" a="1"/>
  <c r="H23" i="20" s="1"/>
  <c r="G23" i="21" a="1"/>
  <c r="G23" i="21" s="1"/>
  <c r="E23" i="21" s="1"/>
  <c r="G55" i="23" a="1"/>
  <c r="G55" i="23" s="1"/>
  <c r="E55" i="23" s="1"/>
  <c r="H55" i="20" a="1"/>
  <c r="H55" i="20" s="1"/>
  <c r="G55" i="21" a="1"/>
  <c r="G55" i="21" s="1"/>
  <c r="L55" i="21" s="1"/>
  <c r="H24" i="20" a="1"/>
  <c r="H24" i="20" s="1"/>
  <c r="G24" i="21" a="1"/>
  <c r="G24" i="21" s="1"/>
  <c r="E24" i="21" s="1"/>
  <c r="G24" i="23" a="1"/>
  <c r="G24" i="23" s="1"/>
  <c r="E24" i="23" s="1"/>
  <c r="I47" i="21" a="1"/>
  <c r="I47" i="21" s="1"/>
  <c r="M47" i="20" a="1"/>
  <c r="M47" i="20" s="1"/>
  <c r="I39" i="21" a="1"/>
  <c r="I39" i="21" s="1"/>
  <c r="M39" i="20" a="1"/>
  <c r="M39" i="20" s="1"/>
  <c r="I32" i="21" a="1"/>
  <c r="I32" i="21" s="1"/>
  <c r="M32" i="20" a="1"/>
  <c r="M32" i="20" s="1"/>
  <c r="M14" i="20" a="1"/>
  <c r="M14" i="20" s="1"/>
  <c r="I14" i="21" a="1"/>
  <c r="I14" i="21" s="1"/>
  <c r="I11" i="21" a="1"/>
  <c r="I11" i="21" s="1"/>
  <c r="M11" i="20" a="1"/>
  <c r="M11" i="20" s="1"/>
  <c r="I16" i="21" a="1"/>
  <c r="I16" i="21" s="1"/>
  <c r="M16" i="20" a="1"/>
  <c r="M16" i="20" s="1"/>
  <c r="G35" i="23" a="1"/>
  <c r="G35" i="23" s="1"/>
  <c r="K35" i="23" s="1"/>
  <c r="H35" i="20" a="1"/>
  <c r="H35" i="20" s="1"/>
  <c r="I35" i="21" a="1"/>
  <c r="I35" i="21" s="1"/>
  <c r="M35" i="20" a="1"/>
  <c r="M35" i="20" s="1"/>
  <c r="M18" i="20" a="1"/>
  <c r="M18" i="20" s="1"/>
  <c r="I18" i="21" a="1"/>
  <c r="I18" i="21" s="1"/>
  <c r="M23" i="20" a="1"/>
  <c r="M23" i="20" s="1"/>
  <c r="I23" i="21" a="1"/>
  <c r="I23" i="21" s="1"/>
  <c r="I22" i="21" a="1"/>
  <c r="I22" i="21" s="1"/>
  <c r="M22" i="20" a="1"/>
  <c r="M22" i="20" s="1"/>
  <c r="M19" i="20" a="1"/>
  <c r="M19" i="20" s="1"/>
  <c r="I19" i="21" a="1"/>
  <c r="I19" i="21" s="1"/>
  <c r="M8" i="20" a="1"/>
  <c r="M8" i="20" s="1"/>
  <c r="I8" i="21" a="1"/>
  <c r="I8" i="21" s="1"/>
  <c r="F15" i="20"/>
  <c r="M13" i="20" a="1"/>
  <c r="M13" i="20" s="1"/>
  <c r="I13" i="21" a="1"/>
  <c r="I13" i="21" s="1"/>
  <c r="M20" i="20" a="1"/>
  <c r="M20" i="20" s="1"/>
  <c r="I20" i="21" a="1"/>
  <c r="I20" i="21" s="1"/>
  <c r="M36" i="20" a="1"/>
  <c r="M36" i="20" s="1"/>
  <c r="I36" i="21" a="1"/>
  <c r="I36" i="21" s="1"/>
  <c r="I33" i="21" a="1"/>
  <c r="I33" i="21" s="1"/>
  <c r="M33" i="20" a="1"/>
  <c r="M33" i="20" s="1"/>
  <c r="I37" i="21" a="1"/>
  <c r="I37" i="21" s="1"/>
  <c r="M37" i="20" a="1"/>
  <c r="M37" i="20" s="1"/>
  <c r="G38" i="23" a="1"/>
  <c r="G38" i="23" s="1"/>
  <c r="E38" i="23" s="1"/>
  <c r="H38" i="20" a="1"/>
  <c r="H38" i="20" s="1"/>
  <c r="I46" i="21" a="1"/>
  <c r="I46" i="21" s="1"/>
  <c r="M46" i="20" a="1"/>
  <c r="M46" i="20" s="1"/>
  <c r="I40" i="21" a="1"/>
  <c r="I40" i="21" s="1"/>
  <c r="M40" i="20" a="1"/>
  <c r="M40" i="20" s="1"/>
  <c r="I29" i="21" a="1"/>
  <c r="I29" i="21" s="1"/>
  <c r="M29" i="20" a="1"/>
  <c r="M29" i="20" s="1"/>
  <c r="I45" i="21" a="1"/>
  <c r="I45" i="21" s="1"/>
  <c r="M45" i="20" a="1"/>
  <c r="M45" i="20" s="1"/>
  <c r="I42" i="21" a="1"/>
  <c r="I42" i="21" s="1"/>
  <c r="M42" i="20" a="1"/>
  <c r="M42" i="20" s="1"/>
  <c r="M25" i="20" a="1"/>
  <c r="M25" i="20" s="1"/>
  <c r="I25" i="21" a="1"/>
  <c r="I25" i="21" s="1"/>
  <c r="G16" i="21" a="1"/>
  <c r="G16" i="21" s="1"/>
  <c r="E16" i="21" s="1"/>
  <c r="H16" i="20" a="1"/>
  <c r="H16" i="20" s="1"/>
  <c r="I44" i="21" a="1"/>
  <c r="I44" i="21" s="1"/>
  <c r="M44" i="20" a="1"/>
  <c r="M44" i="20" s="1"/>
  <c r="I31" i="21" a="1"/>
  <c r="I31" i="21" s="1"/>
  <c r="M31" i="20" a="1"/>
  <c r="M31" i="20" s="1"/>
  <c r="I38" i="21" a="1"/>
  <c r="I38" i="21" s="1"/>
  <c r="L38" i="21" s="1"/>
  <c r="M38" i="20" a="1"/>
  <c r="M38" i="20" s="1"/>
  <c r="M54" i="20" a="1"/>
  <c r="M54" i="20" s="1"/>
  <c r="I54" i="21" a="1"/>
  <c r="I54" i="21" s="1"/>
  <c r="I51" i="21" a="1"/>
  <c r="I51" i="21" s="1"/>
  <c r="M51" i="20" a="1"/>
  <c r="M51" i="20" s="1"/>
  <c r="M9" i="20" a="1"/>
  <c r="M9" i="20" s="1"/>
  <c r="I9" i="21" a="1"/>
  <c r="I9" i="21" s="1"/>
  <c r="G49" i="21" a="1"/>
  <c r="G49" i="21" s="1"/>
  <c r="E49" i="21" s="1"/>
  <c r="H49" i="20" a="1"/>
  <c r="H49" i="20" s="1"/>
  <c r="I56" i="21" a="1"/>
  <c r="I56" i="21" s="1"/>
  <c r="M56" i="20" a="1"/>
  <c r="M56" i="20" s="1"/>
  <c r="M30" i="20" a="1"/>
  <c r="M30" i="20" s="1"/>
  <c r="I30" i="21" a="1"/>
  <c r="I30" i="21" s="1"/>
  <c r="I52" i="21" a="1"/>
  <c r="I52" i="21" s="1"/>
  <c r="M52" i="20" a="1"/>
  <c r="M52" i="20" s="1"/>
  <c r="M10" i="20" a="1"/>
  <c r="M10" i="20" s="1"/>
  <c r="I10" i="21" a="1"/>
  <c r="I10" i="21" s="1"/>
  <c r="M24" i="20" a="1"/>
  <c r="M24" i="20" s="1"/>
  <c r="I24" i="21" a="1"/>
  <c r="I24" i="21" s="1"/>
  <c r="I15" i="21" a="1"/>
  <c r="I15" i="21" s="1"/>
  <c r="M15" i="20" a="1"/>
  <c r="M15" i="20" s="1"/>
  <c r="E32" i="17"/>
  <c r="I21" i="21" a="1"/>
  <c r="I21" i="21" s="1"/>
  <c r="M21" i="20" a="1"/>
  <c r="M21" i="20" s="1"/>
  <c r="I28" i="21" a="1"/>
  <c r="I28" i="21" s="1"/>
  <c r="M28" i="20" a="1"/>
  <c r="M28" i="20" s="1"/>
  <c r="I50" i="21" a="1"/>
  <c r="I50" i="21" s="1"/>
  <c r="M50" i="20" a="1"/>
  <c r="M50" i="20" s="1"/>
  <c r="I17" i="21" a="1"/>
  <c r="I17" i="21" s="1"/>
  <c r="M17" i="20" a="1"/>
  <c r="M17" i="20" s="1"/>
  <c r="I27" i="21" a="1"/>
  <c r="I27" i="21" s="1"/>
  <c r="M27" i="20" a="1"/>
  <c r="M27" i="20" s="1"/>
  <c r="I12" i="21" a="1"/>
  <c r="I12" i="21" s="1"/>
  <c r="M12" i="20" a="1"/>
  <c r="M12" i="20" s="1"/>
  <c r="I43" i="21" a="1"/>
  <c r="I43" i="21" s="1"/>
  <c r="M43" i="20" a="1"/>
  <c r="M43" i="20" s="1"/>
  <c r="I34" i="21" a="1"/>
  <c r="I34" i="21" s="1"/>
  <c r="M34" i="20" a="1"/>
  <c r="M34" i="20" s="1"/>
  <c r="G28" i="23" a="1"/>
  <c r="G28" i="23" s="1"/>
  <c r="E28" i="23" s="1"/>
  <c r="H28" i="20" a="1"/>
  <c r="H28" i="20" s="1"/>
  <c r="M55" i="20" a="1"/>
  <c r="M55" i="20" s="1"/>
  <c r="I55" i="21" a="1"/>
  <c r="I55" i="21" s="1"/>
  <c r="I48" i="21" a="1"/>
  <c r="I48" i="21" s="1"/>
  <c r="M48" i="20" a="1"/>
  <c r="M48" i="20" s="1"/>
  <c r="M7" i="20" a="1"/>
  <c r="M7" i="20" s="1"/>
  <c r="I7" i="21" a="1"/>
  <c r="I7" i="21" s="1"/>
  <c r="I49" i="21" a="1"/>
  <c r="I49" i="21" s="1"/>
  <c r="M49" i="20" a="1"/>
  <c r="M49" i="20" s="1"/>
  <c r="I41" i="21" a="1"/>
  <c r="I41" i="21" s="1"/>
  <c r="M41" i="20" a="1"/>
  <c r="M41" i="20" s="1"/>
  <c r="I53" i="21" a="1"/>
  <c r="I53" i="21" s="1"/>
  <c r="M53" i="20" a="1"/>
  <c r="M53" i="20" s="1"/>
  <c r="I26" i="21" a="1"/>
  <c r="I26" i="21" s="1"/>
  <c r="M26" i="20" a="1"/>
  <c r="M26" i="20" s="1"/>
  <c r="G13" i="21" a="1"/>
  <c r="G13" i="21" s="1"/>
  <c r="G13" i="23" a="1"/>
  <c r="G13" i="23" s="1"/>
  <c r="G7" i="21" a="1"/>
  <c r="G7" i="21" s="1"/>
  <c r="G8" i="23" a="1"/>
  <c r="G8" i="23" s="1"/>
  <c r="G8" i="21" a="1"/>
  <c r="G8" i="21" s="1"/>
  <c r="G36" i="23" a="1"/>
  <c r="G36" i="23" s="1"/>
  <c r="E38" i="21"/>
  <c r="G23" i="23" a="1"/>
  <c r="G23" i="23" s="1"/>
  <c r="G52" i="21" a="1"/>
  <c r="G52" i="21" s="1"/>
  <c r="G30" i="21" a="1"/>
  <c r="G30" i="21" s="1"/>
  <c r="G35" i="21" a="1"/>
  <c r="G35" i="21" s="1"/>
  <c r="G43" i="23" a="1"/>
  <c r="G43" i="23" s="1"/>
  <c r="G43" i="21" a="1"/>
  <c r="G43" i="21" s="1"/>
  <c r="G18" i="21" a="1"/>
  <c r="G18" i="21" s="1"/>
  <c r="G18" i="23" a="1"/>
  <c r="G18" i="23" s="1"/>
  <c r="G44" i="23" a="1"/>
  <c r="G44" i="23" s="1"/>
  <c r="G53" i="23" a="1"/>
  <c r="G53" i="23" s="1"/>
  <c r="G53" i="21" a="1"/>
  <c r="G53" i="21" s="1"/>
  <c r="G54" i="21" a="1"/>
  <c r="G54" i="21" s="1"/>
  <c r="G21" i="23" a="1"/>
  <c r="G21" i="23" s="1"/>
  <c r="G34" i="21" a="1"/>
  <c r="G34" i="21" s="1"/>
  <c r="G49" i="23" a="1"/>
  <c r="G49" i="23" s="1"/>
  <c r="G31" i="23" a="1"/>
  <c r="G31" i="23" s="1"/>
  <c r="G12" i="23" a="1"/>
  <c r="G12" i="23" s="1"/>
  <c r="G12" i="21" a="1"/>
  <c r="G12" i="21" s="1"/>
  <c r="G56" i="23" a="1"/>
  <c r="G56" i="23" s="1"/>
  <c r="G26" i="23" a="1"/>
  <c r="G26" i="23" s="1"/>
  <c r="G48" i="21" a="1"/>
  <c r="G48" i="21" s="1"/>
  <c r="G48" i="23" a="1"/>
  <c r="G48" i="23" s="1"/>
  <c r="G51" i="23" a="1"/>
  <c r="G51" i="23" s="1"/>
  <c r="G51" i="21" a="1"/>
  <c r="G51" i="21" s="1"/>
  <c r="G11" i="21" a="1"/>
  <c r="G11" i="21" s="1"/>
  <c r="G11" i="23" a="1"/>
  <c r="G11" i="23" s="1"/>
  <c r="G9" i="21" a="1"/>
  <c r="G9" i="21" s="1"/>
  <c r="G9" i="23" a="1"/>
  <c r="G9" i="23" s="1"/>
  <c r="G42" i="23" a="1"/>
  <c r="G42" i="23" s="1"/>
  <c r="G50" i="21" a="1"/>
  <c r="G50" i="21" s="1"/>
  <c r="G33" i="21" a="1"/>
  <c r="G33" i="21" s="1"/>
  <c r="G7" i="23" a="1"/>
  <c r="G7" i="23" s="1"/>
  <c r="G15" i="21" a="1"/>
  <c r="G15" i="21" s="1"/>
  <c r="G15" i="23" a="1"/>
  <c r="G15" i="23" s="1"/>
  <c r="G27" i="21" a="1"/>
  <c r="G27" i="21" s="1"/>
  <c r="G14" i="21" a="1"/>
  <c r="G14" i="21" s="1"/>
  <c r="G41" i="21" a="1"/>
  <c r="G41" i="21" s="1"/>
  <c r="G19" i="21" a="1"/>
  <c r="G19" i="21" s="1"/>
  <c r="G40" i="21" a="1"/>
  <c r="G40" i="21" s="1"/>
  <c r="F18" i="24"/>
  <c r="E34" i="22"/>
  <c r="F56" i="24"/>
  <c r="P12" i="29" a="1"/>
  <c r="P12" i="29" s="1"/>
  <c r="I53" i="24" a="1"/>
  <c r="I53" i="24" s="1"/>
  <c r="L53" i="24" s="1"/>
  <c r="P19" i="29" a="1"/>
  <c r="P19" i="29" s="1"/>
  <c r="L42" i="24"/>
  <c r="L18" i="24"/>
  <c r="F27" i="24"/>
  <c r="E33" i="22"/>
  <c r="L20" i="24"/>
  <c r="L24" i="24"/>
  <c r="E15" i="17"/>
  <c r="L51" i="24"/>
  <c r="E15" i="22"/>
  <c r="E8" i="17"/>
  <c r="E10" i="22"/>
  <c r="DM44" i="7" a="1"/>
  <c r="DM44" i="7" s="1"/>
  <c r="E20" i="22"/>
  <c r="E16" i="17"/>
  <c r="F22" i="24"/>
  <c r="E51" i="17"/>
  <c r="F8" i="24"/>
  <c r="E13" i="22"/>
  <c r="F53" i="24"/>
  <c r="F15" i="24"/>
  <c r="E22" i="22"/>
  <c r="F28" i="24"/>
  <c r="E44" i="17"/>
  <c r="F42" i="24"/>
  <c r="E20" i="17"/>
  <c r="E8" i="22"/>
  <c r="E56" i="22"/>
  <c r="F35" i="24"/>
  <c r="E10" i="17"/>
  <c r="E42" i="17"/>
  <c r="F46" i="24"/>
  <c r="E21" i="22"/>
  <c r="E56" i="17"/>
  <c r="E54" i="17"/>
  <c r="E16" i="22"/>
  <c r="L17" i="24"/>
  <c r="F54" i="24"/>
  <c r="E35" i="17"/>
  <c r="L26" i="24"/>
  <c r="L43" i="24"/>
  <c r="K23" i="22"/>
  <c r="E30" i="22"/>
  <c r="E31" i="17"/>
  <c r="E43" i="17"/>
  <c r="E44" i="22"/>
  <c r="E36" i="22"/>
  <c r="E42" i="22"/>
  <c r="E23" i="22"/>
  <c r="F37" i="24"/>
  <c r="F36" i="24"/>
  <c r="E43" i="22"/>
  <c r="E54" i="22"/>
  <c r="E37" i="22"/>
  <c r="F39" i="24"/>
  <c r="E53" i="22"/>
  <c r="E23" i="17"/>
  <c r="F34" i="24"/>
  <c r="E25" i="17"/>
  <c r="F10" i="24"/>
  <c r="E28" i="17"/>
  <c r="F55" i="24"/>
  <c r="F20" i="24"/>
  <c r="E31" i="22"/>
  <c r="F9" i="24"/>
  <c r="L55" i="24"/>
  <c r="E36" i="17"/>
  <c r="E37" i="17"/>
  <c r="F30" i="24"/>
  <c r="F23" i="24"/>
  <c r="E53" i="17"/>
  <c r="E22" i="17"/>
  <c r="E29" i="17"/>
  <c r="F52" i="25"/>
  <c r="L41" i="24"/>
  <c r="F17" i="24"/>
  <c r="E41" i="22"/>
  <c r="E39" i="17"/>
  <c r="E24" i="22"/>
  <c r="E45" i="22"/>
  <c r="L33" i="24"/>
  <c r="L27" i="24"/>
  <c r="F38" i="24"/>
  <c r="L50" i="24"/>
  <c r="E39" i="22"/>
  <c r="DM28" i="7" a="1"/>
  <c r="DM28" i="7" s="1"/>
  <c r="F7" i="24"/>
  <c r="E17" i="22"/>
  <c r="E45" i="17"/>
  <c r="E38" i="17"/>
  <c r="F11" i="24"/>
  <c r="E11" i="22"/>
  <c r="E55" i="22"/>
  <c r="F29" i="24"/>
  <c r="E46" i="22"/>
  <c r="E17" i="17"/>
  <c r="E46" i="17"/>
  <c r="F24" i="24"/>
  <c r="E9" i="22"/>
  <c r="E55" i="17"/>
  <c r="E26" i="17"/>
  <c r="E29" i="22"/>
  <c r="E38" i="22"/>
  <c r="E30" i="17"/>
  <c r="E14" i="17"/>
  <c r="L31" i="24"/>
  <c r="E24" i="17"/>
  <c r="E11" i="17"/>
  <c r="F45" i="24"/>
  <c r="E7" i="22"/>
  <c r="F48" i="25"/>
  <c r="DM52" i="7" a="1"/>
  <c r="DM52" i="7" s="1"/>
  <c r="F14" i="24"/>
  <c r="F52" i="24"/>
  <c r="E49" i="17"/>
  <c r="E9" i="17"/>
  <c r="E52" i="17"/>
  <c r="E34" i="17"/>
  <c r="E7" i="17"/>
  <c r="E52" i="22"/>
  <c r="E27" i="17"/>
  <c r="E41" i="17"/>
  <c r="F33" i="24"/>
  <c r="L10" i="24"/>
  <c r="F47" i="24"/>
  <c r="F19" i="24"/>
  <c r="F25" i="24"/>
  <c r="F32" i="25"/>
  <c r="L14" i="24"/>
  <c r="E47" i="17"/>
  <c r="F16" i="25"/>
  <c r="F19" i="25"/>
  <c r="L56" i="24"/>
  <c r="E48" i="17"/>
  <c r="L34" i="24"/>
  <c r="E32" i="22"/>
  <c r="L38" i="24"/>
  <c r="L30" i="24"/>
  <c r="E19" i="17"/>
  <c r="E12" i="22"/>
  <c r="E18" i="17"/>
  <c r="E40" i="17"/>
  <c r="F49" i="24"/>
  <c r="E18" i="22"/>
  <c r="E40" i="22"/>
  <c r="F32" i="24"/>
  <c r="E47" i="22"/>
  <c r="F13" i="24"/>
  <c r="E26" i="22"/>
  <c r="F40" i="24"/>
  <c r="E19" i="22"/>
  <c r="E25" i="22"/>
  <c r="DM37" i="7" a="1"/>
  <c r="DM37" i="7" s="1"/>
  <c r="DM20" i="7" a="1"/>
  <c r="DM20" i="7" s="1"/>
  <c r="DM33" i="7" a="1"/>
  <c r="DM33" i="7" s="1"/>
  <c r="DM8" i="7" a="1"/>
  <c r="DM8" i="7" s="1"/>
  <c r="DM10" i="7" a="1"/>
  <c r="DM10" i="7" s="1"/>
  <c r="DM23" i="7" a="1"/>
  <c r="DM23" i="7" s="1"/>
  <c r="DM35" i="7" a="1"/>
  <c r="DM35" i="7" s="1"/>
  <c r="DM11" i="7" a="1"/>
  <c r="DM11" i="7" s="1"/>
  <c r="DM32" i="7" a="1"/>
  <c r="DM32" i="7" s="1"/>
  <c r="E27" i="22"/>
  <c r="E33" i="17"/>
  <c r="F26" i="24"/>
  <c r="F47" i="25"/>
  <c r="L35" i="24"/>
  <c r="DM48" i="7" a="1"/>
  <c r="DM48" i="7" s="1"/>
  <c r="DM54" i="7" a="1"/>
  <c r="DM54" i="7" s="1"/>
  <c r="F12" i="24"/>
  <c r="E49" i="22"/>
  <c r="DM34" i="7" a="1"/>
  <c r="DM34" i="7" s="1"/>
  <c r="E48" i="22"/>
  <c r="DM17" i="7" a="1"/>
  <c r="DM17" i="7" s="1"/>
  <c r="DM29" i="7" a="1"/>
  <c r="DM29" i="7" s="1"/>
  <c r="DM51" i="7" a="1"/>
  <c r="DM51" i="7" s="1"/>
  <c r="L49" i="24"/>
  <c r="DM57" i="7" a="1"/>
  <c r="DM57" i="7" s="1"/>
  <c r="DM14" i="7" a="1"/>
  <c r="DM14" i="7" s="1"/>
  <c r="DM25" i="7" a="1"/>
  <c r="DM25" i="7" s="1"/>
  <c r="F48" i="24"/>
  <c r="F35" i="25"/>
  <c r="L45" i="24"/>
  <c r="L37" i="24"/>
  <c r="F54" i="25"/>
  <c r="L39" i="24"/>
  <c r="L12" i="24"/>
  <c r="F25" i="25"/>
  <c r="F51" i="25"/>
  <c r="L40" i="24"/>
  <c r="L54" i="24"/>
  <c r="F18" i="25"/>
  <c r="L32" i="24"/>
  <c r="L36" i="24"/>
  <c r="L25" i="24"/>
  <c r="F11" i="25"/>
  <c r="F15" i="25"/>
  <c r="L22" i="24"/>
  <c r="F22" i="25"/>
  <c r="L47" i="24"/>
  <c r="F28" i="25"/>
  <c r="L11" i="24"/>
  <c r="F42" i="25"/>
  <c r="F14" i="25"/>
  <c r="F31" i="25"/>
  <c r="F50" i="25"/>
  <c r="L44" i="24"/>
  <c r="F33" i="25"/>
  <c r="F40" i="25"/>
  <c r="L29" i="24"/>
  <c r="F12" i="25"/>
  <c r="L28" i="24"/>
  <c r="L21" i="24"/>
  <c r="F26" i="25"/>
  <c r="F20" i="25"/>
  <c r="F7" i="25"/>
  <c r="F55" i="25"/>
  <c r="F36" i="25"/>
  <c r="L48" i="24"/>
  <c r="DM43" i="7" a="1"/>
  <c r="DM43" i="7" s="1"/>
  <c r="DM45" i="7" a="1"/>
  <c r="DM45" i="7" s="1"/>
  <c r="DM39" i="7" a="1"/>
  <c r="DM39" i="7" s="1"/>
  <c r="DM22" i="7" a="1"/>
  <c r="DM22" i="7" s="1"/>
  <c r="DM9" i="7" a="1"/>
  <c r="DM9" i="7" s="1"/>
  <c r="DM36" i="7" a="1"/>
  <c r="DM36" i="7" s="1"/>
  <c r="DM19" i="7" a="1"/>
  <c r="DM19" i="7" s="1"/>
  <c r="DM49" i="7" a="1"/>
  <c r="DM49" i="7" s="1"/>
  <c r="DM55" i="7" a="1"/>
  <c r="DM55" i="7" s="1"/>
  <c r="DM31" i="7" a="1"/>
  <c r="DM31" i="7" s="1"/>
  <c r="DM30" i="7" a="1"/>
  <c r="DM30" i="7" s="1"/>
  <c r="DM18" i="7" a="1"/>
  <c r="DM18" i="7" s="1"/>
  <c r="F41" i="25"/>
  <c r="F30" i="25"/>
  <c r="L23" i="24"/>
  <c r="DM13" i="7" a="1"/>
  <c r="DM13" i="7" s="1"/>
  <c r="DM12" i="7" a="1"/>
  <c r="DM12" i="7" s="1"/>
  <c r="DM24" i="7" a="1"/>
  <c r="DM24" i="7" s="1"/>
  <c r="DM16" i="7" a="1"/>
  <c r="DM16" i="7" s="1"/>
  <c r="DM38" i="7" a="1"/>
  <c r="DM38" i="7" s="1"/>
  <c r="DM56" i="7" a="1"/>
  <c r="DM56" i="7" s="1"/>
  <c r="F45" i="25"/>
  <c r="DM50" i="7" a="1"/>
  <c r="DM50" i="7" s="1"/>
  <c r="DM27" i="7" a="1"/>
  <c r="DM27" i="7" s="1"/>
  <c r="DM40" i="7" a="1"/>
  <c r="DM40" i="7" s="1"/>
  <c r="DM47" i="7" a="1"/>
  <c r="DM47" i="7" s="1"/>
  <c r="DM46" i="7" a="1"/>
  <c r="DM46" i="7" s="1"/>
  <c r="F29" i="25"/>
  <c r="L46" i="24"/>
  <c r="DM21" i="7" a="1"/>
  <c r="DM21" i="7" s="1"/>
  <c r="DM42" i="7" a="1"/>
  <c r="DM42" i="7" s="1"/>
  <c r="DM41" i="7" a="1"/>
  <c r="DM41" i="7" s="1"/>
  <c r="DM53" i="7" a="1"/>
  <c r="DM53" i="7" s="1"/>
  <c r="DM15" i="7" a="1"/>
  <c r="DM15" i="7" s="1"/>
  <c r="L52" i="24"/>
  <c r="DM26" i="7" a="1"/>
  <c r="DM26" i="7" s="1"/>
  <c r="K20" i="22"/>
  <c r="DS13" i="7" a="1"/>
  <c r="DS13" i="7" s="1"/>
  <c r="DS8" i="7" a="1"/>
  <c r="DS8" i="7" s="1"/>
  <c r="K25" i="22"/>
  <c r="DS29" i="7" a="1"/>
  <c r="DS29" i="7" s="1"/>
  <c r="DS14" i="7" a="1"/>
  <c r="DS14" i="7" s="1"/>
  <c r="DS57" i="7" a="1"/>
  <c r="DS57" i="7" s="1"/>
  <c r="DS45" i="7" a="1"/>
  <c r="DS45" i="7" s="1"/>
  <c r="DS38" i="7" a="1"/>
  <c r="DS38" i="7" s="1"/>
  <c r="DS54" i="7" a="1"/>
  <c r="DS54" i="7" s="1"/>
  <c r="DS39" i="7" a="1"/>
  <c r="DS39" i="7" s="1"/>
  <c r="DS15" i="7" a="1"/>
  <c r="DS15" i="7" s="1"/>
  <c r="DS27" i="7" a="1"/>
  <c r="DS27" i="7" s="1"/>
  <c r="DS26" i="7" a="1"/>
  <c r="DS26" i="7" s="1"/>
  <c r="DS55" i="7" a="1"/>
  <c r="DS55" i="7" s="1"/>
  <c r="DS19" i="7" a="1"/>
  <c r="DS19" i="7" s="1"/>
  <c r="DS12" i="7" a="1"/>
  <c r="DS12" i="7" s="1"/>
  <c r="DS11" i="7" a="1"/>
  <c r="DS11" i="7" s="1"/>
  <c r="DS50" i="7" a="1"/>
  <c r="DS50" i="7" s="1"/>
  <c r="DS23" i="7" a="1"/>
  <c r="DS23" i="7" s="1"/>
  <c r="DS35" i="7" a="1"/>
  <c r="DS35" i="7" s="1"/>
  <c r="DS22" i="7" a="1"/>
  <c r="DS22" i="7" s="1"/>
  <c r="DS47" i="7" a="1"/>
  <c r="DS47" i="7" s="1"/>
  <c r="DS46" i="7" a="1"/>
  <c r="DS46" i="7" s="1"/>
  <c r="DS18" i="7" a="1"/>
  <c r="DS18" i="7" s="1"/>
  <c r="DS51" i="7" a="1"/>
  <c r="DS51" i="7" s="1"/>
  <c r="DS31" i="7" a="1"/>
  <c r="DS31" i="7" s="1"/>
  <c r="DS30" i="7" a="1"/>
  <c r="DS30" i="7" s="1"/>
  <c r="DS43" i="7" a="1"/>
  <c r="DS43" i="7" s="1"/>
  <c r="DS34" i="7" a="1"/>
  <c r="DS34" i="7" s="1"/>
  <c r="DS42" i="7" a="1"/>
  <c r="DS42" i="7" s="1"/>
  <c r="DS48" i="7" a="1"/>
  <c r="DS48" i="7" s="1"/>
  <c r="DS36" i="7" a="1"/>
  <c r="DS36" i="7" s="1"/>
  <c r="DS37" i="7" a="1"/>
  <c r="DS37" i="7" s="1"/>
  <c r="DS17" i="7" a="1"/>
  <c r="DS17" i="7" s="1"/>
  <c r="DS10" i="7" a="1"/>
  <c r="DS10" i="7" s="1"/>
  <c r="DS53" i="7" a="1"/>
  <c r="DS53" i="7" s="1"/>
  <c r="DS41" i="7" a="1"/>
  <c r="DS41" i="7" s="1"/>
  <c r="DS28" i="7" a="1"/>
  <c r="DS28" i="7" s="1"/>
  <c r="DS9" i="7" a="1"/>
  <c r="DS9" i="7" s="1"/>
  <c r="DS44" i="7" a="1"/>
  <c r="DS44" i="7" s="1"/>
  <c r="DS32" i="7" a="1"/>
  <c r="DS32" i="7" s="1"/>
  <c r="DS33" i="7" a="1"/>
  <c r="DS33" i="7" s="1"/>
  <c r="DS49" i="7" a="1"/>
  <c r="DS49" i="7" s="1"/>
  <c r="DS24" i="7" a="1"/>
  <c r="DS24" i="7" s="1"/>
  <c r="DS56" i="7" a="1"/>
  <c r="DS56" i="7" s="1"/>
  <c r="DS40" i="7" a="1"/>
  <c r="DS40" i="7" s="1"/>
  <c r="DS20" i="7" a="1"/>
  <c r="DS20" i="7" s="1"/>
  <c r="DS25" i="7" a="1"/>
  <c r="DS25" i="7" s="1"/>
  <c r="DS52" i="7" a="1"/>
  <c r="DS52" i="7" s="1"/>
  <c r="DS16" i="7" a="1"/>
  <c r="DS16" i="7" s="1"/>
  <c r="DS21" i="7" a="1"/>
  <c r="DS21" i="7" s="1"/>
  <c r="K35" i="22"/>
  <c r="K41" i="22"/>
  <c r="K32" i="22"/>
  <c r="K46" i="22"/>
  <c r="K7" i="22"/>
  <c r="K42" i="22"/>
  <c r="K44" i="22"/>
  <c r="K15" i="22"/>
  <c r="K39" i="22"/>
  <c r="K48" i="22"/>
  <c r="K24" i="22"/>
  <c r="K40" i="22"/>
  <c r="K30" i="22"/>
  <c r="K9" i="22"/>
  <c r="K28" i="22"/>
  <c r="K8" i="22"/>
  <c r="K50" i="22"/>
  <c r="K33" i="22"/>
  <c r="K21" i="22"/>
  <c r="K49" i="22"/>
  <c r="L9" i="24"/>
  <c r="L13" i="24"/>
  <c r="K11" i="22"/>
  <c r="K34" i="22"/>
  <c r="K18" i="22"/>
  <c r="K17" i="22"/>
  <c r="L15" i="24"/>
  <c r="L7" i="24"/>
  <c r="L16" i="24"/>
  <c r="L8" i="24"/>
  <c r="K29" i="22"/>
  <c r="K19" i="22"/>
  <c r="K43" i="22"/>
  <c r="K10" i="22"/>
  <c r="K12" i="22"/>
  <c r="K52" i="22"/>
  <c r="K54" i="22"/>
  <c r="K51" i="22"/>
  <c r="K26" i="22"/>
  <c r="K22" i="22"/>
  <c r="K14" i="22"/>
  <c r="K45" i="22"/>
  <c r="K38" i="22"/>
  <c r="K36" i="22"/>
  <c r="K37" i="22"/>
  <c r="K47" i="22"/>
  <c r="K53" i="22"/>
  <c r="K27" i="22"/>
  <c r="K55" i="22"/>
  <c r="K16" i="22"/>
  <c r="K56" i="22"/>
  <c r="K31" i="22"/>
  <c r="K13" i="22"/>
  <c r="E9" i="18" a="1"/>
  <c r="E9" i="18" s="1"/>
  <c r="F9" i="18" s="1"/>
  <c r="E12" i="18" a="1"/>
  <c r="E12" i="18" s="1"/>
  <c r="F12" i="18" s="1"/>
  <c r="E16" i="18" a="1"/>
  <c r="E16" i="18" s="1"/>
  <c r="F16" i="18" s="1"/>
  <c r="E56" i="18" a="1"/>
  <c r="E56" i="18" s="1"/>
  <c r="F56" i="18" s="1"/>
  <c r="E37" i="18" a="1"/>
  <c r="E37" i="18" s="1"/>
  <c r="F37" i="18" s="1"/>
  <c r="E21" i="18" a="1"/>
  <c r="E21" i="18" s="1"/>
  <c r="F21" i="18" s="1"/>
  <c r="E11" i="18" a="1"/>
  <c r="E11" i="18" s="1"/>
  <c r="F11" i="18" s="1"/>
  <c r="E14" i="18" a="1"/>
  <c r="E14" i="18" s="1"/>
  <c r="F14" i="18" s="1"/>
  <c r="E48" i="18" a="1"/>
  <c r="E48" i="18" s="1"/>
  <c r="F48" i="18" s="1"/>
  <c r="E45" i="18" a="1"/>
  <c r="E45" i="18" s="1"/>
  <c r="F45" i="18" s="1"/>
  <c r="E32" i="18" a="1"/>
  <c r="E32" i="18" s="1"/>
  <c r="F32" i="18" s="1"/>
  <c r="E42" i="18" a="1"/>
  <c r="E42" i="18" s="1"/>
  <c r="F42" i="18" s="1"/>
  <c r="E34" i="18" a="1"/>
  <c r="E34" i="18" s="1"/>
  <c r="F34" i="18" s="1"/>
  <c r="E51" i="18" a="1"/>
  <c r="E51" i="18" s="1"/>
  <c r="F51" i="18" s="1"/>
  <c r="E43" i="18" a="1"/>
  <c r="E43" i="18" s="1"/>
  <c r="F43" i="18" s="1"/>
  <c r="E24" i="18" a="1"/>
  <c r="E24" i="18" s="1"/>
  <c r="F24" i="18" s="1"/>
  <c r="E46" i="18" a="1"/>
  <c r="E46" i="18" s="1"/>
  <c r="F46" i="18" s="1"/>
  <c r="E26" i="18" a="1"/>
  <c r="E26" i="18" s="1"/>
  <c r="F26" i="18" s="1"/>
  <c r="E41" i="18" a="1"/>
  <c r="E41" i="18" s="1"/>
  <c r="F41" i="18" s="1"/>
  <c r="E10" i="18" a="1"/>
  <c r="E10" i="18" s="1"/>
  <c r="F10" i="18" s="1"/>
  <c r="E49" i="18" a="1"/>
  <c r="E49" i="18" s="1"/>
  <c r="F49" i="18" s="1"/>
  <c r="E20" i="18" a="1"/>
  <c r="E20" i="18" s="1"/>
  <c r="F20" i="18" s="1"/>
  <c r="E33" i="18" a="1"/>
  <c r="E33" i="18" s="1"/>
  <c r="F33" i="18" s="1"/>
  <c r="E18" i="18" a="1"/>
  <c r="E18" i="18" s="1"/>
  <c r="F18" i="18" s="1"/>
  <c r="E19" i="18" a="1"/>
  <c r="E19" i="18" s="1"/>
  <c r="F19" i="18" s="1"/>
  <c r="E25" i="18" a="1"/>
  <c r="E25" i="18" s="1"/>
  <c r="F25" i="18" s="1"/>
  <c r="E13" i="18" a="1"/>
  <c r="E13" i="18" s="1"/>
  <c r="F13" i="18" s="1"/>
  <c r="E35" i="18" a="1"/>
  <c r="E35" i="18" s="1"/>
  <c r="F35" i="18" s="1"/>
  <c r="E40" i="18" a="1"/>
  <c r="E40" i="18" s="1"/>
  <c r="F40" i="18" s="1"/>
  <c r="E27" i="18" a="1"/>
  <c r="E27" i="18" s="1"/>
  <c r="F27" i="18" s="1"/>
  <c r="E50" i="18" a="1"/>
  <c r="E50" i="18" s="1"/>
  <c r="F50" i="18" s="1"/>
  <c r="E17" i="18" a="1"/>
  <c r="E17" i="18" s="1"/>
  <c r="F17" i="18" s="1"/>
  <c r="E52" i="18" a="1"/>
  <c r="E52" i="18" s="1"/>
  <c r="F52" i="18" s="1"/>
  <c r="E8" i="18" a="1"/>
  <c r="E8" i="18" s="1"/>
  <c r="F8" i="18" s="1"/>
  <c r="E23" i="18" a="1"/>
  <c r="E23" i="18" s="1"/>
  <c r="F23" i="18" s="1"/>
  <c r="E54" i="18" a="1"/>
  <c r="E54" i="18" s="1"/>
  <c r="F54" i="18" s="1"/>
  <c r="E15" i="18" a="1"/>
  <c r="E15" i="18" s="1"/>
  <c r="F15" i="18" s="1"/>
  <c r="E31" i="18" a="1"/>
  <c r="E31" i="18" s="1"/>
  <c r="F31" i="18" s="1"/>
  <c r="E39" i="18" a="1"/>
  <c r="E39" i="18" s="1"/>
  <c r="F39" i="18" s="1"/>
  <c r="E53" i="18" a="1"/>
  <c r="E53" i="18" s="1"/>
  <c r="F53" i="18" s="1"/>
  <c r="E36" i="18" a="1"/>
  <c r="E36" i="18" s="1"/>
  <c r="F36" i="18" s="1"/>
  <c r="E28" i="18" a="1"/>
  <c r="E28" i="18" s="1"/>
  <c r="F28" i="18" s="1"/>
  <c r="E29" i="18" a="1"/>
  <c r="E29" i="18" s="1"/>
  <c r="F29" i="18" s="1"/>
  <c r="E22" i="18" a="1"/>
  <c r="E22" i="18" s="1"/>
  <c r="F22" i="18" s="1"/>
  <c r="E47" i="18" a="1"/>
  <c r="E47" i="18" s="1"/>
  <c r="F47" i="18" s="1"/>
  <c r="E44" i="18" a="1"/>
  <c r="E44" i="18" s="1"/>
  <c r="F44" i="18" s="1"/>
  <c r="E55" i="18" a="1"/>
  <c r="E55" i="18" s="1"/>
  <c r="F55" i="18" s="1"/>
  <c r="E38" i="18" a="1"/>
  <c r="E38" i="18" s="1"/>
  <c r="F38" i="18" s="1"/>
  <c r="E30" i="18" a="1"/>
  <c r="E30" i="18" s="1"/>
  <c r="F30" i="18" s="1"/>
  <c r="F12" i="20" l="1"/>
  <c r="O12" i="20"/>
  <c r="P12" i="20" s="1" a="1"/>
  <c r="P12" i="20" s="1"/>
  <c r="D14" i="29" s="1"/>
  <c r="O50" i="20"/>
  <c r="P50" i="20" s="1" a="1"/>
  <c r="P50" i="20" s="1"/>
  <c r="D52" i="29" s="1"/>
  <c r="F50" i="20"/>
  <c r="L28" i="21"/>
  <c r="E28" i="21"/>
  <c r="O33" i="20"/>
  <c r="P33" i="20" s="1" a="1"/>
  <c r="P33" i="20" s="1"/>
  <c r="D35" i="29" s="1"/>
  <c r="F33" i="20"/>
  <c r="F34" i="20"/>
  <c r="O34" i="20"/>
  <c r="P34" i="20" s="1" a="1"/>
  <c r="P34" i="20" s="1"/>
  <c r="D36" i="29" s="1"/>
  <c r="F51" i="20"/>
  <c r="O51" i="20"/>
  <c r="P51" i="20" s="1" a="1"/>
  <c r="P51" i="20" s="1"/>
  <c r="D53" i="29" s="1"/>
  <c r="F54" i="20"/>
  <c r="O54" i="20"/>
  <c r="P54" i="20" s="1" a="1"/>
  <c r="P54" i="20" s="1"/>
  <c r="D56" i="29" s="1"/>
  <c r="F56" i="20"/>
  <c r="O56" i="20"/>
  <c r="P56" i="20" s="1" a="1"/>
  <c r="P56" i="20" s="1"/>
  <c r="D58" i="29" s="1"/>
  <c r="F31" i="20"/>
  <c r="O31" i="20"/>
  <c r="P31" i="20" s="1" a="1"/>
  <c r="P31" i="20" s="1"/>
  <c r="D33" i="29" s="1"/>
  <c r="F41" i="20"/>
  <c r="O41" i="20"/>
  <c r="P41" i="20" s="1" a="1"/>
  <c r="P41" i="20" s="1"/>
  <c r="D43" i="29" s="1"/>
  <c r="F48" i="20"/>
  <c r="O48" i="20"/>
  <c r="P48" i="20" s="1" a="1"/>
  <c r="P48" i="20" s="1"/>
  <c r="D50" i="29" s="1"/>
  <c r="F9" i="20"/>
  <c r="O9" i="20"/>
  <c r="P9" i="20" s="1" a="1"/>
  <c r="P9" i="20" s="1"/>
  <c r="D11" i="29" s="1"/>
  <c r="F18" i="20"/>
  <c r="O18" i="20"/>
  <c r="P18" i="20" s="1" a="1"/>
  <c r="P18" i="20" s="1"/>
  <c r="D20" i="29" s="1"/>
  <c r="G41" i="23" a="1"/>
  <c r="G41" i="23" s="1"/>
  <c r="G56" i="21" a="1"/>
  <c r="G56" i="21" s="1"/>
  <c r="L56" i="21" s="1"/>
  <c r="H32" i="20" a="1"/>
  <c r="H32" i="20" s="1"/>
  <c r="G45" i="21" a="1"/>
  <c r="G45" i="21" s="1"/>
  <c r="E45" i="21" s="1"/>
  <c r="G46" i="23" a="1"/>
  <c r="G46" i="23" s="1"/>
  <c r="H46" i="20" a="1"/>
  <c r="H46" i="20" s="1"/>
  <c r="H27" i="20" a="1"/>
  <c r="H27" i="20" s="1"/>
  <c r="F27" i="20" s="1"/>
  <c r="H10" i="20" a="1"/>
  <c r="H10" i="20" s="1"/>
  <c r="H20" i="20" a="1"/>
  <c r="H20" i="20" s="1"/>
  <c r="H44" i="20" a="1"/>
  <c r="H44" i="20" s="1"/>
  <c r="G32" i="23" a="1"/>
  <c r="G32" i="23" s="1"/>
  <c r="H39" i="20" a="1"/>
  <c r="H39" i="20" s="1"/>
  <c r="F39" i="20" s="1"/>
  <c r="G31" i="21" a="1"/>
  <c r="G31" i="21" s="1"/>
  <c r="F42" i="20"/>
  <c r="H17" i="20" a="1"/>
  <c r="H17" i="20" s="1"/>
  <c r="F17" i="20" s="1"/>
  <c r="H25" i="20" a="1"/>
  <c r="H25" i="20" s="1"/>
  <c r="F25" i="20" s="1"/>
  <c r="H14" i="20" a="1"/>
  <c r="H14" i="20" s="1"/>
  <c r="F14" i="20" s="1"/>
  <c r="G16" i="23" a="1"/>
  <c r="G16" i="23" s="1"/>
  <c r="G39" i="23" a="1"/>
  <c r="G39" i="23" s="1"/>
  <c r="K39" i="23" s="1"/>
  <c r="G33" i="23" a="1"/>
  <c r="G33" i="23" s="1"/>
  <c r="E33" i="23" s="1"/>
  <c r="G22" i="21" a="1"/>
  <c r="G22" i="21" s="1"/>
  <c r="E22" i="21" s="1"/>
  <c r="G17" i="21" a="1"/>
  <c r="G17" i="21" s="1"/>
  <c r="L17" i="21" s="1"/>
  <c r="H22" i="20" a="1"/>
  <c r="H22" i="20" s="1"/>
  <c r="G34" i="23" a="1"/>
  <c r="G34" i="23" s="1"/>
  <c r="H45" i="20" a="1"/>
  <c r="H45" i="20" s="1"/>
  <c r="G30" i="23" a="1"/>
  <c r="G30" i="23" s="1"/>
  <c r="E30" i="23" s="1"/>
  <c r="G20" i="23" a="1"/>
  <c r="G20" i="23" s="1"/>
  <c r="E20" i="23" s="1"/>
  <c r="G50" i="23" a="1"/>
  <c r="G50" i="23" s="1"/>
  <c r="K50" i="23" s="1"/>
  <c r="G10" i="21" a="1"/>
  <c r="G10" i="21" s="1"/>
  <c r="L10" i="21" s="1"/>
  <c r="G25" i="21" a="1"/>
  <c r="G25" i="21" s="1"/>
  <c r="L25" i="21" s="1"/>
  <c r="G54" i="23" a="1"/>
  <c r="G54" i="23" s="1"/>
  <c r="E54" i="23" s="1"/>
  <c r="L45" i="21"/>
  <c r="K24" i="23"/>
  <c r="L26" i="21"/>
  <c r="K14" i="23"/>
  <c r="E21" i="21"/>
  <c r="K19" i="23"/>
  <c r="K37" i="23"/>
  <c r="K55" i="23"/>
  <c r="O40" i="20"/>
  <c r="P40" i="20" s="1" a="1"/>
  <c r="P40" i="20" s="1"/>
  <c r="D42" i="29" s="1"/>
  <c r="E47" i="23"/>
  <c r="O47" i="20"/>
  <c r="P47" i="20" s="1" a="1"/>
  <c r="P47" i="20" s="1"/>
  <c r="D49" i="29" s="1"/>
  <c r="L36" i="21"/>
  <c r="E42" i="21"/>
  <c r="E55" i="21"/>
  <c r="L47" i="21"/>
  <c r="E40" i="23"/>
  <c r="O19" i="20"/>
  <c r="P19" i="20" s="1" a="1"/>
  <c r="P19" i="20" s="1"/>
  <c r="D21" i="29" s="1"/>
  <c r="K27" i="23"/>
  <c r="K29" i="23"/>
  <c r="L24" i="21"/>
  <c r="L29" i="21"/>
  <c r="F21" i="20"/>
  <c r="K17" i="23"/>
  <c r="L23" i="21"/>
  <c r="L37" i="21"/>
  <c r="O37" i="20"/>
  <c r="P37" i="20" s="1" a="1"/>
  <c r="P37" i="20" s="1"/>
  <c r="D39" i="29" s="1"/>
  <c r="K38" i="23"/>
  <c r="K52" i="23"/>
  <c r="L49" i="21"/>
  <c r="L46" i="21"/>
  <c r="E46" i="21"/>
  <c r="L16" i="21"/>
  <c r="K45" i="23"/>
  <c r="E35" i="23"/>
  <c r="L44" i="21"/>
  <c r="K28" i="23"/>
  <c r="F24" i="20"/>
  <c r="F46" i="20"/>
  <c r="F26" i="20"/>
  <c r="F55" i="20"/>
  <c r="O55" i="20"/>
  <c r="P55" i="20" s="1" a="1"/>
  <c r="P55" i="20" s="1"/>
  <c r="D57" i="29" s="1"/>
  <c r="F49" i="20"/>
  <c r="F52" i="20"/>
  <c r="F45" i="20"/>
  <c r="F23" i="20"/>
  <c r="O23" i="20"/>
  <c r="P23" i="20" s="1" a="1"/>
  <c r="P23" i="20" s="1"/>
  <c r="D25" i="29" s="1"/>
  <c r="F16" i="20"/>
  <c r="F38" i="20"/>
  <c r="F35" i="20"/>
  <c r="F28" i="20"/>
  <c r="O28" i="20"/>
  <c r="P28" i="20" s="1" a="1"/>
  <c r="P28" i="20" s="1"/>
  <c r="D30" i="29" s="1"/>
  <c r="F29" i="20"/>
  <c r="O29" i="20"/>
  <c r="P29" i="20" s="1" a="1"/>
  <c r="P29" i="20" s="1"/>
  <c r="D31" i="29" s="1"/>
  <c r="K41" i="23"/>
  <c r="E41" i="23"/>
  <c r="K7" i="23"/>
  <c r="E7" i="23"/>
  <c r="K42" i="23"/>
  <c r="E42" i="23"/>
  <c r="E51" i="23"/>
  <c r="K51" i="23"/>
  <c r="L12" i="21"/>
  <c r="E12" i="21"/>
  <c r="K34" i="23"/>
  <c r="E34" i="23"/>
  <c r="E53" i="23"/>
  <c r="K53" i="23"/>
  <c r="E30" i="21"/>
  <c r="L30" i="21"/>
  <c r="E8" i="21"/>
  <c r="L8" i="21"/>
  <c r="E40" i="21"/>
  <c r="L40" i="21"/>
  <c r="L19" i="21"/>
  <c r="E19" i="21"/>
  <c r="E14" i="21"/>
  <c r="L14" i="21"/>
  <c r="K12" i="23"/>
  <c r="E12" i="23"/>
  <c r="E44" i="23"/>
  <c r="K44" i="23"/>
  <c r="L52" i="21"/>
  <c r="E52" i="21"/>
  <c r="K8" i="23"/>
  <c r="E8" i="23"/>
  <c r="L33" i="21"/>
  <c r="E33" i="21"/>
  <c r="K9" i="23"/>
  <c r="E9" i="23"/>
  <c r="K10" i="23"/>
  <c r="E10" i="23"/>
  <c r="E21" i="23"/>
  <c r="K21" i="23"/>
  <c r="K23" i="23"/>
  <c r="E23" i="23"/>
  <c r="K32" i="23"/>
  <c r="E32" i="23"/>
  <c r="K20" i="23"/>
  <c r="L27" i="21"/>
  <c r="E27" i="21"/>
  <c r="E9" i="21"/>
  <c r="L9" i="21"/>
  <c r="K48" i="23"/>
  <c r="E48" i="23"/>
  <c r="K26" i="23"/>
  <c r="E26" i="23"/>
  <c r="K31" i="23"/>
  <c r="E31" i="23"/>
  <c r="L35" i="21"/>
  <c r="E35" i="21"/>
  <c r="E36" i="23"/>
  <c r="K36" i="23"/>
  <c r="L7" i="21"/>
  <c r="E7" i="21"/>
  <c r="L20" i="21"/>
  <c r="E20" i="21"/>
  <c r="K33" i="23"/>
  <c r="E48" i="21"/>
  <c r="L48" i="21"/>
  <c r="E31" i="21"/>
  <c r="L31" i="21"/>
  <c r="K18" i="23"/>
  <c r="E18" i="23"/>
  <c r="E32" i="21"/>
  <c r="L32" i="21"/>
  <c r="K15" i="23"/>
  <c r="E15" i="23"/>
  <c r="L50" i="21"/>
  <c r="E50" i="21"/>
  <c r="K11" i="23"/>
  <c r="E11" i="23"/>
  <c r="K56" i="23"/>
  <c r="E56" i="23"/>
  <c r="E54" i="21"/>
  <c r="L54" i="21"/>
  <c r="L18" i="21"/>
  <c r="E18" i="21"/>
  <c r="E13" i="23"/>
  <c r="K13" i="23"/>
  <c r="L11" i="21"/>
  <c r="E11" i="21"/>
  <c r="E22" i="23"/>
  <c r="K22" i="23"/>
  <c r="E56" i="21"/>
  <c r="K49" i="23"/>
  <c r="E49" i="23"/>
  <c r="L43" i="21"/>
  <c r="E43" i="21"/>
  <c r="K25" i="23"/>
  <c r="E25" i="23"/>
  <c r="L13" i="21"/>
  <c r="E13" i="21"/>
  <c r="E39" i="21"/>
  <c r="L39" i="21"/>
  <c r="L41" i="21"/>
  <c r="E41" i="21"/>
  <c r="E15" i="21"/>
  <c r="L15" i="21"/>
  <c r="L51" i="21"/>
  <c r="E51" i="21"/>
  <c r="L34" i="21"/>
  <c r="E34" i="21"/>
  <c r="E53" i="21"/>
  <c r="L53" i="21"/>
  <c r="K43" i="23"/>
  <c r="E43" i="23"/>
  <c r="DZ57" i="7"/>
  <c r="J56" i="18" s="1" a="1"/>
  <c r="J56" i="18" s="1"/>
  <c r="M56" i="18" s="1"/>
  <c r="E58" i="17"/>
  <c r="E59" i="17"/>
  <c r="E59" i="22"/>
  <c r="E58" i="22"/>
  <c r="F59" i="25"/>
  <c r="F58" i="25"/>
  <c r="F59" i="24"/>
  <c r="F58" i="24"/>
  <c r="L59" i="24"/>
  <c r="L58" i="24"/>
  <c r="F59" i="18"/>
  <c r="F58" i="18"/>
  <c r="K58" i="22"/>
  <c r="K59" i="22"/>
  <c r="DZ55" i="7"/>
  <c r="DZ34" i="7"/>
  <c r="DZ32" i="7"/>
  <c r="J31" i="18" s="1" a="1"/>
  <c r="J31" i="18" s="1"/>
  <c r="M31" i="18" s="1"/>
  <c r="DZ29" i="7"/>
  <c r="DZ44" i="7"/>
  <c r="J43" i="18" s="1" a="1"/>
  <c r="J43" i="18" s="1"/>
  <c r="M43" i="18" s="1"/>
  <c r="DZ52" i="7"/>
  <c r="DZ28" i="7"/>
  <c r="J27" i="18" s="1" a="1"/>
  <c r="J27" i="18" s="1"/>
  <c r="M27" i="18" s="1"/>
  <c r="DZ17" i="7"/>
  <c r="K16" i="20" s="1" a="1"/>
  <c r="K16" i="20" s="1"/>
  <c r="O16" i="20" s="1"/>
  <c r="P16" i="20" s="1" a="1"/>
  <c r="P16" i="20" s="1"/>
  <c r="D18" i="29" s="1"/>
  <c r="DZ51" i="7"/>
  <c r="K50" i="20" s="1" a="1"/>
  <c r="K50" i="20" s="1"/>
  <c r="DZ30" i="7"/>
  <c r="K29" i="20" s="1" a="1"/>
  <c r="K29" i="20" s="1"/>
  <c r="DZ11" i="7"/>
  <c r="K10" i="20" s="1" a="1"/>
  <c r="K10" i="20" s="1"/>
  <c r="DZ39" i="7"/>
  <c r="K38" i="20" s="1" a="1"/>
  <c r="K38" i="20" s="1"/>
  <c r="O38" i="20" s="1"/>
  <c r="P38" i="20" s="1" a="1"/>
  <c r="P38" i="20" s="1"/>
  <c r="D40" i="29" s="1"/>
  <c r="DZ41" i="7"/>
  <c r="K40" i="20" s="1" a="1"/>
  <c r="K40" i="20" s="1"/>
  <c r="DZ22" i="7"/>
  <c r="DZ26" i="7"/>
  <c r="K25" i="20" s="1" a="1"/>
  <c r="K25" i="20" s="1"/>
  <c r="O25" i="20" s="1"/>
  <c r="P25" i="20" s="1" a="1"/>
  <c r="P25" i="20" s="1"/>
  <c r="D27" i="29" s="1"/>
  <c r="DZ49" i="7"/>
  <c r="K48" i="20" s="1" a="1"/>
  <c r="K48" i="20" s="1"/>
  <c r="DZ15" i="7"/>
  <c r="K14" i="20" s="1" a="1"/>
  <c r="K14" i="20" s="1"/>
  <c r="O14" i="20" s="1"/>
  <c r="P14" i="20" s="1" a="1"/>
  <c r="P14" i="20" s="1"/>
  <c r="D16" i="29" s="1"/>
  <c r="DZ37" i="7"/>
  <c r="K36" i="20" s="1" a="1"/>
  <c r="K36" i="20" s="1"/>
  <c r="O36" i="20" s="1"/>
  <c r="P36" i="20" s="1" a="1"/>
  <c r="P36" i="20" s="1"/>
  <c r="D38" i="29" s="1"/>
  <c r="DZ20" i="7"/>
  <c r="K19" i="20" s="1" a="1"/>
  <c r="K19" i="20" s="1"/>
  <c r="DZ54" i="7"/>
  <c r="K53" i="20" s="1" a="1"/>
  <c r="K53" i="20" s="1"/>
  <c r="O53" i="20" s="1"/>
  <c r="P53" i="20" s="1" a="1"/>
  <c r="P53" i="20" s="1"/>
  <c r="D55" i="29" s="1"/>
  <c r="DZ46" i="7"/>
  <c r="K45" i="20" s="1" a="1"/>
  <c r="K45" i="20" s="1"/>
  <c r="DZ18" i="7"/>
  <c r="K17" i="20" s="1" a="1"/>
  <c r="K17" i="20" s="1"/>
  <c r="DZ48" i="7"/>
  <c r="K47" i="20" s="1" a="1"/>
  <c r="K47" i="20" s="1"/>
  <c r="DZ24" i="7"/>
  <c r="K23" i="20" s="1" a="1"/>
  <c r="K23" i="20" s="1"/>
  <c r="DZ47" i="7"/>
  <c r="K46" i="20" s="1" a="1"/>
  <c r="K46" i="20" s="1"/>
  <c r="DZ16" i="7"/>
  <c r="K15" i="20" s="1" a="1"/>
  <c r="K15" i="20" s="1"/>
  <c r="O15" i="20" s="1"/>
  <c r="P15" i="20" s="1" a="1"/>
  <c r="P15" i="20" s="1"/>
  <c r="D17" i="29" s="1"/>
  <c r="DZ53" i="7"/>
  <c r="K52" i="20" s="1" a="1"/>
  <c r="K52" i="20" s="1"/>
  <c r="O52" i="20" s="1"/>
  <c r="P52" i="20" s="1" a="1"/>
  <c r="P52" i="20" s="1"/>
  <c r="D54" i="29" s="1"/>
  <c r="DZ23" i="7"/>
  <c r="K22" i="20" s="1" a="1"/>
  <c r="K22" i="20" s="1"/>
  <c r="DZ25" i="7"/>
  <c r="K24" i="20" s="1" a="1"/>
  <c r="K24" i="20" s="1"/>
  <c r="O24" i="20" s="1"/>
  <c r="P24" i="20" s="1" a="1"/>
  <c r="P24" i="20" s="1"/>
  <c r="D26" i="29" s="1"/>
  <c r="DZ33" i="7"/>
  <c r="K32" i="20" s="1" a="1"/>
  <c r="K32" i="20" s="1"/>
  <c r="DZ35" i="7"/>
  <c r="K34" i="20" s="1" a="1"/>
  <c r="K34" i="20" s="1"/>
  <c r="DZ10" i="7"/>
  <c r="K9" i="20" s="1" a="1"/>
  <c r="K9" i="20" s="1"/>
  <c r="DZ14" i="7"/>
  <c r="K13" i="20" s="1" a="1"/>
  <c r="K13" i="20" s="1"/>
  <c r="O13" i="20" s="1"/>
  <c r="P13" i="20" s="1" a="1"/>
  <c r="P13" i="20" s="1"/>
  <c r="D15" i="29" s="1"/>
  <c r="DZ9" i="7"/>
  <c r="K8" i="20" s="1" a="1"/>
  <c r="K8" i="20" s="1"/>
  <c r="O8" i="20" s="1"/>
  <c r="P8" i="20" s="1" a="1"/>
  <c r="P8" i="20" s="1"/>
  <c r="D10" i="29" s="1"/>
  <c r="DZ19" i="7"/>
  <c r="K18" i="20" s="1" a="1"/>
  <c r="K18" i="20" s="1"/>
  <c r="DZ38" i="7"/>
  <c r="K37" i="20" s="1" a="1"/>
  <c r="K37" i="20" s="1"/>
  <c r="DZ31" i="7"/>
  <c r="K30" i="20" s="1" a="1"/>
  <c r="K30" i="20" s="1"/>
  <c r="O30" i="20" s="1"/>
  <c r="P30" i="20" s="1" a="1"/>
  <c r="P30" i="20" s="1"/>
  <c r="D32" i="29" s="1"/>
  <c r="DZ13" i="7"/>
  <c r="K12" i="20" s="1" a="1"/>
  <c r="K12" i="20" s="1"/>
  <c r="DZ40" i="7"/>
  <c r="K39" i="20" s="1" a="1"/>
  <c r="K39" i="20" s="1"/>
  <c r="O39" i="20" s="1"/>
  <c r="P39" i="20" s="1" a="1"/>
  <c r="P39" i="20" s="1"/>
  <c r="D41" i="29" s="1"/>
  <c r="DZ42" i="7"/>
  <c r="K41" i="20" s="1" a="1"/>
  <c r="K41" i="20" s="1"/>
  <c r="DZ56" i="7"/>
  <c r="K55" i="20" s="1" a="1"/>
  <c r="K55" i="20" s="1"/>
  <c r="DZ50" i="7"/>
  <c r="K49" i="20" s="1" a="1"/>
  <c r="K49" i="20" s="1"/>
  <c r="O49" i="20" s="1"/>
  <c r="P49" i="20" s="1" a="1"/>
  <c r="P49" i="20" s="1"/>
  <c r="D51" i="29" s="1"/>
  <c r="DZ45" i="7"/>
  <c r="K44" i="20" s="1" a="1"/>
  <c r="K44" i="20" s="1"/>
  <c r="DZ43" i="7"/>
  <c r="K42" i="20" s="1" a="1"/>
  <c r="K42" i="20" s="1"/>
  <c r="DZ27" i="7"/>
  <c r="K26" i="20" s="1" a="1"/>
  <c r="K26" i="20" s="1"/>
  <c r="O26" i="20" s="1"/>
  <c r="P26" i="20" s="1" a="1"/>
  <c r="P26" i="20" s="1"/>
  <c r="D28" i="29" s="1"/>
  <c r="DZ21" i="7"/>
  <c r="K20" i="20" s="1" a="1"/>
  <c r="K20" i="20" s="1"/>
  <c r="DZ36" i="7"/>
  <c r="K35" i="20" s="1" a="1"/>
  <c r="K35" i="20" s="1"/>
  <c r="O35" i="20" s="1"/>
  <c r="P35" i="20" s="1" a="1"/>
  <c r="P35" i="20" s="1"/>
  <c r="D37" i="29" s="1"/>
  <c r="DZ12" i="7"/>
  <c r="K11" i="20" s="1" a="1"/>
  <c r="K11" i="20" s="1"/>
  <c r="O11" i="20" s="1"/>
  <c r="P11" i="20" s="1" a="1"/>
  <c r="P11" i="20" s="1"/>
  <c r="D13" i="29" s="1"/>
  <c r="M54" i="25"/>
  <c r="M43" i="25"/>
  <c r="M33" i="25"/>
  <c r="M56" i="25"/>
  <c r="M51" i="25"/>
  <c r="M28" i="25"/>
  <c r="M31" i="25"/>
  <c r="M16" i="25"/>
  <c r="M27" i="25"/>
  <c r="DZ8" i="7"/>
  <c r="K7" i="20" s="1" a="1"/>
  <c r="K7" i="20" s="1"/>
  <c r="O7" i="20" s="1"/>
  <c r="P7" i="20" s="1" a="1"/>
  <c r="P7" i="20" s="1"/>
  <c r="D9" i="29" s="1"/>
  <c r="F44" i="20" l="1"/>
  <c r="O44" i="20"/>
  <c r="P44" i="20" s="1" a="1"/>
  <c r="P44" i="20" s="1"/>
  <c r="D46" i="29" s="1"/>
  <c r="E17" i="21"/>
  <c r="F20" i="20"/>
  <c r="F59" i="20" s="1"/>
  <c r="G40" i="20" s="1" a="1"/>
  <c r="G40" i="20" s="1"/>
  <c r="O20" i="20"/>
  <c r="P20" i="20" s="1" a="1"/>
  <c r="P20" i="20" s="1"/>
  <c r="D22" i="29" s="1"/>
  <c r="F10" i="20"/>
  <c r="O10" i="20"/>
  <c r="P10" i="20" s="1" a="1"/>
  <c r="P10" i="20" s="1"/>
  <c r="D12" i="29" s="1"/>
  <c r="K16" i="23"/>
  <c r="E16" i="23"/>
  <c r="E58" i="23" s="1"/>
  <c r="E50" i="23"/>
  <c r="E39" i="23"/>
  <c r="E59" i="23" s="1"/>
  <c r="F16" i="23" s="1" a="1"/>
  <c r="F16" i="23" s="1"/>
  <c r="L22" i="21"/>
  <c r="L58" i="21" s="1"/>
  <c r="K54" i="23"/>
  <c r="E46" i="23"/>
  <c r="K46" i="23"/>
  <c r="O46" i="20"/>
  <c r="P46" i="20" s="1" a="1"/>
  <c r="P46" i="20" s="1"/>
  <c r="D48" i="29" s="1"/>
  <c r="E10" i="21"/>
  <c r="F32" i="20"/>
  <c r="O32" i="20"/>
  <c r="P32" i="20" s="1" a="1"/>
  <c r="P32" i="20" s="1"/>
  <c r="D34" i="29" s="1"/>
  <c r="E25" i="21"/>
  <c r="O17" i="20"/>
  <c r="P17" i="20" s="1" a="1"/>
  <c r="P17" i="20" s="1"/>
  <c r="D19" i="29" s="1"/>
  <c r="O45" i="20"/>
  <c r="P45" i="20" s="1" a="1"/>
  <c r="P45" i="20" s="1"/>
  <c r="D47" i="29" s="1"/>
  <c r="K30" i="23"/>
  <c r="O22" i="20"/>
  <c r="P22" i="20" s="1" a="1"/>
  <c r="P22" i="20" s="1"/>
  <c r="D24" i="29" s="1"/>
  <c r="F22" i="20"/>
  <c r="I31" i="17" a="1"/>
  <c r="I31" i="17" s="1"/>
  <c r="M31" i="17" s="1"/>
  <c r="K31" i="20" a="1"/>
  <c r="K31" i="20" s="1"/>
  <c r="I33" i="17" a="1"/>
  <c r="I33" i="17" s="1"/>
  <c r="M33" i="17" s="1"/>
  <c r="K33" i="20" a="1"/>
  <c r="K33" i="20" s="1"/>
  <c r="I56" i="17" a="1"/>
  <c r="I56" i="17" s="1"/>
  <c r="M56" i="17" s="1"/>
  <c r="K56" i="20" a="1"/>
  <c r="K56" i="20" s="1"/>
  <c r="I54" i="17" a="1"/>
  <c r="I54" i="17" s="1"/>
  <c r="M54" i="17" s="1"/>
  <c r="K54" i="20" a="1"/>
  <c r="K54" i="20" s="1"/>
  <c r="I27" i="17" a="1"/>
  <c r="I27" i="17" s="1"/>
  <c r="M27" i="17" s="1"/>
  <c r="K27" i="20" a="1"/>
  <c r="K27" i="20" s="1"/>
  <c r="O27" i="20" s="1"/>
  <c r="P27" i="20" s="1" a="1"/>
  <c r="P27" i="20" s="1"/>
  <c r="D29" i="29" s="1"/>
  <c r="J21" i="18" a="1"/>
  <c r="J21" i="18" s="1"/>
  <c r="M21" i="18" s="1"/>
  <c r="K21" i="20" a="1"/>
  <c r="K21" i="20" s="1"/>
  <c r="I51" i="17" a="1"/>
  <c r="I51" i="17" s="1"/>
  <c r="M51" i="17" s="1"/>
  <c r="K51" i="20" a="1"/>
  <c r="K51" i="20" s="1"/>
  <c r="I43" i="17" a="1"/>
  <c r="I43" i="17" s="1"/>
  <c r="M43" i="17" s="1"/>
  <c r="K43" i="20" a="1"/>
  <c r="K43" i="20" s="1"/>
  <c r="O43" i="20" s="1"/>
  <c r="P43" i="20" s="1" a="1"/>
  <c r="P43" i="20" s="1"/>
  <c r="D45" i="29" s="1"/>
  <c r="I28" i="17" a="1"/>
  <c r="I28" i="17" s="1"/>
  <c r="M28" i="17" s="1"/>
  <c r="K28" i="20" a="1"/>
  <c r="K28" i="20" s="1"/>
  <c r="F58" i="20"/>
  <c r="E58" i="21"/>
  <c r="E59" i="21"/>
  <c r="F49" i="21" s="1" a="1"/>
  <c r="F49" i="21" s="1"/>
  <c r="K58" i="23"/>
  <c r="J51" i="18" a="1"/>
  <c r="J51" i="18" s="1"/>
  <c r="M51" i="18" s="1"/>
  <c r="J28" i="18" a="1"/>
  <c r="J28" i="18" s="1"/>
  <c r="M28" i="18" s="1"/>
  <c r="J33" i="18" a="1"/>
  <c r="J33" i="18" s="1"/>
  <c r="M33" i="18" s="1"/>
  <c r="I18" i="17" a="1"/>
  <c r="I18" i="17" s="1"/>
  <c r="M18" i="17" s="1"/>
  <c r="J52" i="18" a="1"/>
  <c r="J52" i="18" s="1"/>
  <c r="M52" i="18" s="1"/>
  <c r="I52" i="17" a="1"/>
  <c r="I52" i="17" s="1"/>
  <c r="M52" i="17" s="1"/>
  <c r="M19" i="25"/>
  <c r="I19" i="17" a="1"/>
  <c r="I19" i="17" s="1"/>
  <c r="M19" i="17" s="1"/>
  <c r="M10" i="25"/>
  <c r="I10" i="17" a="1"/>
  <c r="I10" i="17" s="1"/>
  <c r="M10" i="17" s="1"/>
  <c r="J49" i="18" a="1"/>
  <c r="J49" i="18" s="1"/>
  <c r="M49" i="18" s="1"/>
  <c r="I49" i="17" a="1"/>
  <c r="I49" i="17" s="1"/>
  <c r="M49" i="17" s="1"/>
  <c r="M8" i="25"/>
  <c r="I8" i="17" a="1"/>
  <c r="I8" i="17" s="1"/>
  <c r="M8" i="17" s="1"/>
  <c r="M15" i="25"/>
  <c r="I15" i="17" a="1"/>
  <c r="I15" i="17" s="1"/>
  <c r="M15" i="17" s="1"/>
  <c r="M36" i="25"/>
  <c r="I36" i="17" a="1"/>
  <c r="I36" i="17" s="1"/>
  <c r="M36" i="17" s="1"/>
  <c r="M29" i="25"/>
  <c r="I29" i="17" a="1"/>
  <c r="I29" i="17" s="1"/>
  <c r="M29" i="17" s="1"/>
  <c r="M35" i="25"/>
  <c r="I35" i="17" a="1"/>
  <c r="I35" i="17" s="1"/>
  <c r="M35" i="17" s="1"/>
  <c r="M41" i="25"/>
  <c r="I41" i="17" a="1"/>
  <c r="I41" i="17" s="1"/>
  <c r="M41" i="17" s="1"/>
  <c r="I9" i="17" a="1"/>
  <c r="I9" i="17" s="1"/>
  <c r="M9" i="17" s="1"/>
  <c r="I23" i="17" a="1"/>
  <c r="I23" i="17" s="1"/>
  <c r="M23" i="17" s="1"/>
  <c r="I48" i="17" a="1"/>
  <c r="I48" i="17" s="1"/>
  <c r="M48" i="17" s="1"/>
  <c r="J16" i="18" a="1"/>
  <c r="J16" i="18" s="1"/>
  <c r="M16" i="18" s="1"/>
  <c r="I16" i="17" a="1"/>
  <c r="I16" i="17" s="1"/>
  <c r="M16" i="17" s="1"/>
  <c r="M11" i="25"/>
  <c r="I11" i="17" a="1"/>
  <c r="I11" i="17" s="1"/>
  <c r="M11" i="17" s="1"/>
  <c r="I55" i="17" a="1"/>
  <c r="I55" i="17" s="1"/>
  <c r="M55" i="17" s="1"/>
  <c r="J13" i="18" a="1"/>
  <c r="J13" i="18" s="1"/>
  <c r="M13" i="18" s="1"/>
  <c r="I13" i="17" a="1"/>
  <c r="I13" i="17" s="1"/>
  <c r="M13" i="17" s="1"/>
  <c r="J46" i="18" a="1"/>
  <c r="J46" i="18" s="1"/>
  <c r="M46" i="18" s="1"/>
  <c r="I46" i="17" a="1"/>
  <c r="I46" i="17" s="1"/>
  <c r="M46" i="17" s="1"/>
  <c r="J14" i="18" a="1"/>
  <c r="J14" i="18" s="1"/>
  <c r="M14" i="18" s="1"/>
  <c r="I14" i="17" a="1"/>
  <c r="I14" i="17" s="1"/>
  <c r="M14" i="17" s="1"/>
  <c r="M50" i="25"/>
  <c r="I50" i="17" a="1"/>
  <c r="I50" i="17" s="1"/>
  <c r="M50" i="17" s="1"/>
  <c r="I20" i="17" a="1"/>
  <c r="I20" i="17" s="1"/>
  <c r="M20" i="17" s="1"/>
  <c r="M39" i="25"/>
  <c r="I39" i="17" a="1"/>
  <c r="I39" i="17" s="1"/>
  <c r="M39" i="17" s="1"/>
  <c r="I34" i="17" a="1"/>
  <c r="I34" i="17" s="1"/>
  <c r="M34" i="17" s="1"/>
  <c r="J47" i="18" a="1"/>
  <c r="J47" i="18" s="1"/>
  <c r="M47" i="18" s="1"/>
  <c r="I47" i="17" a="1"/>
  <c r="I47" i="17" s="1"/>
  <c r="M47" i="17" s="1"/>
  <c r="I25" i="17" a="1"/>
  <c r="I25" i="17" s="1"/>
  <c r="M25" i="17" s="1"/>
  <c r="M26" i="25"/>
  <c r="I26" i="17" a="1"/>
  <c r="I26" i="17" s="1"/>
  <c r="M26" i="17" s="1"/>
  <c r="M12" i="25"/>
  <c r="I12" i="17" a="1"/>
  <c r="I12" i="17" s="1"/>
  <c r="M12" i="17" s="1"/>
  <c r="J32" i="18" a="1"/>
  <c r="J32" i="18" s="1"/>
  <c r="M32" i="18" s="1"/>
  <c r="I32" i="17" a="1"/>
  <c r="I32" i="17" s="1"/>
  <c r="M32" i="17" s="1"/>
  <c r="I17" i="17" a="1"/>
  <c r="I17" i="17" s="1"/>
  <c r="M17" i="17" s="1"/>
  <c r="M21" i="25"/>
  <c r="I21" i="17" a="1"/>
  <c r="I21" i="17" s="1"/>
  <c r="M21" i="17" s="1"/>
  <c r="M7" i="25"/>
  <c r="I7" i="17" a="1"/>
  <c r="I7" i="17" s="1"/>
  <c r="M7" i="17" s="1"/>
  <c r="J30" i="18" a="1"/>
  <c r="J30" i="18" s="1"/>
  <c r="M30" i="18" s="1"/>
  <c r="I30" i="17" a="1"/>
  <c r="I30" i="17" s="1"/>
  <c r="M30" i="17" s="1"/>
  <c r="J40" i="18" a="1"/>
  <c r="J40" i="18" s="1"/>
  <c r="M40" i="18" s="1"/>
  <c r="I40" i="17" a="1"/>
  <c r="I40" i="17" s="1"/>
  <c r="M40" i="17" s="1"/>
  <c r="M42" i="25"/>
  <c r="I42" i="17" a="1"/>
  <c r="I42" i="17" s="1"/>
  <c r="M42" i="17" s="1"/>
  <c r="M24" i="25"/>
  <c r="I24" i="17" a="1"/>
  <c r="I24" i="17" s="1"/>
  <c r="M24" i="17" s="1"/>
  <c r="J45" i="18" a="1"/>
  <c r="J45" i="18" s="1"/>
  <c r="M45" i="18" s="1"/>
  <c r="I45" i="17" a="1"/>
  <c r="I45" i="17" s="1"/>
  <c r="M45" i="17" s="1"/>
  <c r="J54" i="18" a="1"/>
  <c r="J54" i="18" s="1"/>
  <c r="M54" i="18" s="1"/>
  <c r="I44" i="17" a="1"/>
  <c r="I44" i="17" s="1"/>
  <c r="M44" i="17" s="1"/>
  <c r="J37" i="18" a="1"/>
  <c r="J37" i="18" s="1"/>
  <c r="M37" i="18" s="1"/>
  <c r="I37" i="17" a="1"/>
  <c r="I37" i="17" s="1"/>
  <c r="M37" i="17" s="1"/>
  <c r="M22" i="25"/>
  <c r="I22" i="17" a="1"/>
  <c r="I22" i="17" s="1"/>
  <c r="M22" i="17" s="1"/>
  <c r="J53" i="18" a="1"/>
  <c r="J53" i="18" s="1"/>
  <c r="M53" i="18" s="1"/>
  <c r="I53" i="17" a="1"/>
  <c r="I53" i="17" s="1"/>
  <c r="M53" i="17" s="1"/>
  <c r="P20" i="29" a="1"/>
  <c r="P20" i="29" s="1"/>
  <c r="M38" i="25"/>
  <c r="I38" i="17" a="1"/>
  <c r="I38" i="17" s="1"/>
  <c r="M38" i="17" s="1"/>
  <c r="G35" i="24" a="1"/>
  <c r="G35" i="24" s="1"/>
  <c r="F30" i="22" a="1"/>
  <c r="F30" i="22" s="1"/>
  <c r="G42" i="25" a="1"/>
  <c r="G42" i="25" s="1"/>
  <c r="F33" i="17" a="1"/>
  <c r="F33" i="17" s="1"/>
  <c r="F25" i="22" a="1"/>
  <c r="F25" i="22" s="1"/>
  <c r="F9" i="22" a="1"/>
  <c r="F9" i="22" s="1"/>
  <c r="F16" i="22" a="1"/>
  <c r="F16" i="22" s="1"/>
  <c r="F10" i="22" a="1"/>
  <c r="F10" i="22" s="1"/>
  <c r="F8" i="22" a="1"/>
  <c r="F8" i="22" s="1"/>
  <c r="F20" i="17" a="1"/>
  <c r="F20" i="17" s="1"/>
  <c r="F36" i="17" a="1"/>
  <c r="F36" i="17" s="1"/>
  <c r="F14" i="17" a="1"/>
  <c r="F14" i="17" s="1"/>
  <c r="G10" i="24" a="1"/>
  <c r="G10" i="24" s="1"/>
  <c r="F54" i="17" a="1"/>
  <c r="F54" i="17" s="1"/>
  <c r="G20" i="25" a="1"/>
  <c r="G20" i="25" s="1"/>
  <c r="G17" i="25" a="1"/>
  <c r="G17" i="25" s="1"/>
  <c r="G17" i="24" a="1"/>
  <c r="G17" i="24" s="1"/>
  <c r="F49" i="17" a="1"/>
  <c r="F49" i="17" s="1"/>
  <c r="G23" i="24" a="1"/>
  <c r="G23" i="24" s="1"/>
  <c r="G52" i="25" a="1"/>
  <c r="G52" i="25" s="1"/>
  <c r="F15" i="22" a="1"/>
  <c r="F15" i="22" s="1"/>
  <c r="G11" i="25" a="1"/>
  <c r="G11" i="25" s="1"/>
  <c r="F55" i="22" a="1"/>
  <c r="F55" i="22" s="1"/>
  <c r="F45" i="17" a="1"/>
  <c r="F45" i="17" s="1"/>
  <c r="G31" i="25" a="1"/>
  <c r="G31" i="25" s="1"/>
  <c r="G36" i="25" a="1"/>
  <c r="G36" i="25" s="1"/>
  <c r="G28" i="24" a="1"/>
  <c r="G28" i="24" s="1"/>
  <c r="F18" i="22" a="1"/>
  <c r="F18" i="22" s="1"/>
  <c r="F41" i="17" a="1"/>
  <c r="F41" i="17" s="1"/>
  <c r="F15" i="17" a="1"/>
  <c r="F15" i="17" s="1"/>
  <c r="F39" i="22" a="1"/>
  <c r="F39" i="22" s="1"/>
  <c r="F47" i="17" a="1"/>
  <c r="F47" i="17" s="1"/>
  <c r="F43" i="17" a="1"/>
  <c r="F43" i="17" s="1"/>
  <c r="F55" i="17" a="1"/>
  <c r="F55" i="17" s="1"/>
  <c r="G39" i="24" a="1"/>
  <c r="G39" i="24" s="1"/>
  <c r="G39" i="25" a="1"/>
  <c r="G39" i="25" s="1"/>
  <c r="G24" i="25" a="1"/>
  <c r="G24" i="25" s="1"/>
  <c r="F37" i="17" a="1"/>
  <c r="F37" i="17" s="1"/>
  <c r="F32" i="22" a="1"/>
  <c r="F32" i="22" s="1"/>
  <c r="G54" i="25" a="1"/>
  <c r="G54" i="25" s="1"/>
  <c r="F41" i="22" a="1"/>
  <c r="F41" i="22" s="1"/>
  <c r="F47" i="22" a="1"/>
  <c r="F47" i="22" s="1"/>
  <c r="G34" i="25" a="1"/>
  <c r="G34" i="25" s="1"/>
  <c r="F39" i="17" a="1"/>
  <c r="F39" i="17" s="1"/>
  <c r="G10" i="25" a="1"/>
  <c r="G10" i="25" s="1"/>
  <c r="F7" i="22" a="1"/>
  <c r="F7" i="22" s="1"/>
  <c r="G13" i="25" a="1"/>
  <c r="G13" i="25" s="1"/>
  <c r="F22" i="17" a="1"/>
  <c r="F22" i="17" s="1"/>
  <c r="F13" i="17" a="1"/>
  <c r="F13" i="17" s="1"/>
  <c r="F12" i="17" a="1"/>
  <c r="F12" i="17" s="1"/>
  <c r="F32" i="17" a="1"/>
  <c r="F32" i="17" s="1"/>
  <c r="F50" i="17" a="1"/>
  <c r="F50" i="17" s="1"/>
  <c r="F21" i="17" a="1"/>
  <c r="F21" i="17" s="1"/>
  <c r="F23" i="22" a="1"/>
  <c r="F23" i="22" s="1"/>
  <c r="G38" i="25" a="1"/>
  <c r="G38" i="25" s="1"/>
  <c r="G42" i="24" a="1"/>
  <c r="G42" i="24" s="1"/>
  <c r="G34" i="24" a="1"/>
  <c r="G34" i="24" s="1"/>
  <c r="G38" i="24" a="1"/>
  <c r="G38" i="24" s="1"/>
  <c r="F50" i="22" a="1"/>
  <c r="F50" i="22" s="1"/>
  <c r="F34" i="22" a="1"/>
  <c r="F34" i="22" s="1"/>
  <c r="F35" i="22" a="1"/>
  <c r="F35" i="22" s="1"/>
  <c r="F51" i="22" a="1"/>
  <c r="F51" i="22" s="1"/>
  <c r="F14" i="22" a="1"/>
  <c r="F14" i="22" s="1"/>
  <c r="F28" i="22" a="1"/>
  <c r="F28" i="22" s="1"/>
  <c r="F45" i="22" a="1"/>
  <c r="F45" i="22" s="1"/>
  <c r="F40" i="17" a="1"/>
  <c r="F40" i="17" s="1"/>
  <c r="F23" i="17" a="1"/>
  <c r="F23" i="17" s="1"/>
  <c r="F19" i="22" a="1"/>
  <c r="F19" i="22" s="1"/>
  <c r="G21" i="25" a="1"/>
  <c r="G21" i="25" s="1"/>
  <c r="F56" i="22" a="1"/>
  <c r="F56" i="22" s="1"/>
  <c r="F40" i="22" a="1"/>
  <c r="F40" i="22" s="1"/>
  <c r="F24" i="17" a="1"/>
  <c r="F24" i="17" s="1"/>
  <c r="G53" i="25" a="1"/>
  <c r="G53" i="25" s="1"/>
  <c r="F16" i="17" a="1"/>
  <c r="F16" i="17" s="1"/>
  <c r="F11" i="22" a="1"/>
  <c r="F11" i="22" s="1"/>
  <c r="G43" i="25" a="1"/>
  <c r="G43" i="25" s="1"/>
  <c r="F26" i="17" a="1"/>
  <c r="F26" i="17" s="1"/>
  <c r="G30" i="25" a="1"/>
  <c r="G30" i="25" s="1"/>
  <c r="F51" i="17" a="1"/>
  <c r="F51" i="17" s="1"/>
  <c r="F17" i="22" a="1"/>
  <c r="F17" i="22" s="1"/>
  <c r="G35" i="25" a="1"/>
  <c r="G35" i="25" s="1"/>
  <c r="F29" i="17" a="1"/>
  <c r="F29" i="17" s="1"/>
  <c r="G27" i="25" a="1"/>
  <c r="G27" i="25" s="1"/>
  <c r="G27" i="24" a="1"/>
  <c r="G27" i="24" s="1"/>
  <c r="G46" i="24" a="1"/>
  <c r="G46" i="24" s="1"/>
  <c r="G55" i="24" a="1"/>
  <c r="G55" i="24" s="1"/>
  <c r="F22" i="22" a="1"/>
  <c r="F22" i="22" s="1"/>
  <c r="G18" i="25" a="1"/>
  <c r="G18" i="25" s="1"/>
  <c r="F52" i="17" a="1"/>
  <c r="F52" i="17" s="1"/>
  <c r="G45" i="25" a="1"/>
  <c r="G45" i="25" s="1"/>
  <c r="F44" i="17" a="1"/>
  <c r="F44" i="17" s="1"/>
  <c r="F34" i="17" a="1"/>
  <c r="F34" i="17" s="1"/>
  <c r="F46" i="22" a="1"/>
  <c r="F46" i="22" s="1"/>
  <c r="G25" i="25" a="1"/>
  <c r="G25" i="25" s="1"/>
  <c r="G51" i="25" a="1"/>
  <c r="G51" i="25" s="1"/>
  <c r="G22" i="24" a="1"/>
  <c r="G22" i="24" s="1"/>
  <c r="G54" i="24" a="1"/>
  <c r="G54" i="24" s="1"/>
  <c r="G20" i="24" a="1"/>
  <c r="G20" i="24" s="1"/>
  <c r="G46" i="25" a="1"/>
  <c r="G46" i="25" s="1"/>
  <c r="F31" i="17" a="1"/>
  <c r="F31" i="17" s="1"/>
  <c r="G14" i="25" a="1"/>
  <c r="G14" i="25" s="1"/>
  <c r="F8" i="17" a="1"/>
  <c r="F8" i="17" s="1"/>
  <c r="G16" i="25" a="1"/>
  <c r="G16" i="25" s="1"/>
  <c r="G12" i="25" a="1"/>
  <c r="G12" i="25" s="1"/>
  <c r="F10" i="17" a="1"/>
  <c r="F10" i="17" s="1"/>
  <c r="F11" i="17" a="1"/>
  <c r="F11" i="17" s="1"/>
  <c r="G15" i="25" a="1"/>
  <c r="G15" i="25" s="1"/>
  <c r="F42" i="17" a="1"/>
  <c r="F42" i="17" s="1"/>
  <c r="F18" i="17" a="1"/>
  <c r="F18" i="17" s="1"/>
  <c r="G29" i="25" a="1"/>
  <c r="G29" i="25" s="1"/>
  <c r="F42" i="22" a="1"/>
  <c r="F42" i="22" s="1"/>
  <c r="F48" i="17" a="1"/>
  <c r="F48" i="17" s="1"/>
  <c r="F33" i="22" a="1"/>
  <c r="F33" i="22" s="1"/>
  <c r="F38" i="22" a="1"/>
  <c r="F38" i="22" s="1"/>
  <c r="G22" i="25" a="1"/>
  <c r="G22" i="25" s="1"/>
  <c r="F17" i="17" a="1"/>
  <c r="F17" i="17" s="1"/>
  <c r="G9" i="25" a="1"/>
  <c r="G9" i="25" s="1"/>
  <c r="G8" i="24" a="1"/>
  <c r="G8" i="24" s="1"/>
  <c r="G9" i="24" a="1"/>
  <c r="G9" i="24" s="1"/>
  <c r="F46" i="17" a="1"/>
  <c r="F46" i="17" s="1"/>
  <c r="G40" i="25" a="1"/>
  <c r="G40" i="25" s="1"/>
  <c r="F25" i="17" a="1"/>
  <c r="F25" i="17" s="1"/>
  <c r="F20" i="22" a="1"/>
  <c r="F20" i="22" s="1"/>
  <c r="F19" i="17" a="1"/>
  <c r="F19" i="17" s="1"/>
  <c r="G55" i="25" a="1"/>
  <c r="G55" i="25" s="1"/>
  <c r="F44" i="22" a="1"/>
  <c r="F44" i="22" s="1"/>
  <c r="F9" i="17" a="1"/>
  <c r="F9" i="17" s="1"/>
  <c r="G28" i="25" a="1"/>
  <c r="G28" i="25" s="1"/>
  <c r="F35" i="17" a="1"/>
  <c r="F35" i="17" s="1"/>
  <c r="F48" i="22" a="1"/>
  <c r="F48" i="22" s="1"/>
  <c r="F53" i="17" a="1"/>
  <c r="F53" i="17" s="1"/>
  <c r="G56" i="25" a="1"/>
  <c r="G56" i="25" s="1"/>
  <c r="F21" i="22" a="1"/>
  <c r="F21" i="22" s="1"/>
  <c r="G48" i="25" a="1"/>
  <c r="G48" i="25" s="1"/>
  <c r="G23" i="25" a="1"/>
  <c r="G23" i="25" s="1"/>
  <c r="F30" i="17" a="1"/>
  <c r="F30" i="17" s="1"/>
  <c r="G49" i="25" a="1"/>
  <c r="G49" i="25" s="1"/>
  <c r="G53" i="24" a="1"/>
  <c r="G53" i="24" s="1"/>
  <c r="G37" i="24" a="1"/>
  <c r="G37" i="24" s="1"/>
  <c r="G30" i="24" a="1"/>
  <c r="G30" i="24" s="1"/>
  <c r="F27" i="22" a="1"/>
  <c r="F27" i="22" s="1"/>
  <c r="G41" i="25" a="1"/>
  <c r="G41" i="25" s="1"/>
  <c r="F54" i="22" a="1"/>
  <c r="F54" i="22" s="1"/>
  <c r="G19" i="25" a="1"/>
  <c r="G19" i="25" s="1"/>
  <c r="G50" i="25" a="1"/>
  <c r="G50" i="25" s="1"/>
  <c r="F36" i="22" a="1"/>
  <c r="F36" i="22" s="1"/>
  <c r="F24" i="22" a="1"/>
  <c r="F24" i="22" s="1"/>
  <c r="F26" i="22" a="1"/>
  <c r="F26" i="22" s="1"/>
  <c r="F53" i="22" a="1"/>
  <c r="F53" i="22" s="1"/>
  <c r="G33" i="25" a="1"/>
  <c r="G33" i="25" s="1"/>
  <c r="F52" i="22" a="1"/>
  <c r="F52" i="22" s="1"/>
  <c r="G15" i="24" a="1"/>
  <c r="G15" i="24" s="1"/>
  <c r="G36" i="24" a="1"/>
  <c r="G36" i="24" s="1"/>
  <c r="F13" i="22" a="1"/>
  <c r="F13" i="22" s="1"/>
  <c r="F27" i="17" a="1"/>
  <c r="F27" i="17" s="1"/>
  <c r="F38" i="17" a="1"/>
  <c r="F38" i="17" s="1"/>
  <c r="G7" i="25" a="1"/>
  <c r="G7" i="25" s="1"/>
  <c r="F43" i="22" a="1"/>
  <c r="F43" i="22" s="1"/>
  <c r="F49" i="22" a="1"/>
  <c r="F49" i="22" s="1"/>
  <c r="G37" i="25" a="1"/>
  <c r="G37" i="25" s="1"/>
  <c r="F28" i="17" a="1"/>
  <c r="F28" i="17" s="1"/>
  <c r="F12" i="22" a="1"/>
  <c r="F12" i="22" s="1"/>
  <c r="G8" i="25" a="1"/>
  <c r="G8" i="25" s="1"/>
  <c r="F37" i="22" a="1"/>
  <c r="F37" i="22" s="1"/>
  <c r="G44" i="25" a="1"/>
  <c r="G44" i="25" s="1"/>
  <c r="F29" i="22" a="1"/>
  <c r="F29" i="22" s="1"/>
  <c r="G47" i="25" a="1"/>
  <c r="G47" i="25" s="1"/>
  <c r="F31" i="22" a="1"/>
  <c r="F31" i="22" s="1"/>
  <c r="F7" i="17" a="1"/>
  <c r="F7" i="17" s="1"/>
  <c r="G26" i="25" a="1"/>
  <c r="G26" i="25" s="1"/>
  <c r="F56" i="17" a="1"/>
  <c r="F56" i="17" s="1"/>
  <c r="G32" i="25" a="1"/>
  <c r="G32" i="25" s="1"/>
  <c r="G44" i="24" a="1"/>
  <c r="G44" i="24" s="1"/>
  <c r="G31" i="24" a="1"/>
  <c r="G31" i="24" s="1"/>
  <c r="G43" i="24" a="1"/>
  <c r="G43" i="24" s="1"/>
  <c r="G21" i="24" a="1"/>
  <c r="G21" i="24" s="1"/>
  <c r="G16" i="24" a="1"/>
  <c r="G16" i="24" s="1"/>
  <c r="G50" i="24" a="1"/>
  <c r="G50" i="24" s="1"/>
  <c r="G41" i="24" a="1"/>
  <c r="G41" i="24" s="1"/>
  <c r="G18" i="24" a="1"/>
  <c r="G18" i="24" s="1"/>
  <c r="G56" i="24" a="1"/>
  <c r="G56" i="24" s="1"/>
  <c r="G51" i="24" a="1"/>
  <c r="G51" i="24" s="1"/>
  <c r="G48" i="24" a="1"/>
  <c r="G48" i="24" s="1"/>
  <c r="G12" i="24" a="1"/>
  <c r="G12" i="24" s="1"/>
  <c r="G26" i="24" a="1"/>
  <c r="G26" i="24" s="1"/>
  <c r="G40" i="24" a="1"/>
  <c r="G40" i="24" s="1"/>
  <c r="G13" i="24" a="1"/>
  <c r="G13" i="24" s="1"/>
  <c r="G32" i="24" a="1"/>
  <c r="G32" i="24" s="1"/>
  <c r="G49" i="24" a="1"/>
  <c r="G49" i="24" s="1"/>
  <c r="G25" i="24" a="1"/>
  <c r="G25" i="24" s="1"/>
  <c r="G19" i="24" a="1"/>
  <c r="G19" i="24" s="1"/>
  <c r="G47" i="24" a="1"/>
  <c r="G47" i="24" s="1"/>
  <c r="G33" i="24" a="1"/>
  <c r="G33" i="24" s="1"/>
  <c r="G52" i="24" a="1"/>
  <c r="G52" i="24" s="1"/>
  <c r="G14" i="24" a="1"/>
  <c r="G14" i="24" s="1"/>
  <c r="G45" i="24" a="1"/>
  <c r="G45" i="24" s="1"/>
  <c r="G24" i="24" a="1"/>
  <c r="G24" i="24" s="1"/>
  <c r="G29" i="24" a="1"/>
  <c r="G29" i="24" s="1"/>
  <c r="G11" i="24" a="1"/>
  <c r="G11" i="24" s="1"/>
  <c r="G7" i="24" a="1"/>
  <c r="G7" i="24" s="1"/>
  <c r="M29" i="24" a="1"/>
  <c r="M29" i="24" s="1"/>
  <c r="I31" i="29" s="1"/>
  <c r="M50" i="24" a="1"/>
  <c r="M50" i="24" s="1"/>
  <c r="I52" i="29" s="1"/>
  <c r="M19" i="24" a="1"/>
  <c r="M19" i="24" s="1"/>
  <c r="I21" i="29" s="1"/>
  <c r="M18" i="24" a="1"/>
  <c r="M18" i="24" s="1"/>
  <c r="I20" i="29" s="1"/>
  <c r="M45" i="24" a="1"/>
  <c r="M45" i="24" s="1"/>
  <c r="I47" i="29" s="1"/>
  <c r="M24" i="24" a="1"/>
  <c r="M24" i="24" s="1"/>
  <c r="I26" i="29" s="1"/>
  <c r="M39" i="24" a="1"/>
  <c r="M39" i="24" s="1"/>
  <c r="I41" i="29" s="1"/>
  <c r="M56" i="24" a="1"/>
  <c r="M56" i="24" s="1"/>
  <c r="I58" i="29" s="1"/>
  <c r="M52" i="24" a="1"/>
  <c r="M52" i="24" s="1"/>
  <c r="I54" i="29" s="1"/>
  <c r="M9" i="24" a="1"/>
  <c r="M9" i="24" s="1"/>
  <c r="I11" i="29" s="1"/>
  <c r="M20" i="24" a="1"/>
  <c r="M20" i="24" s="1"/>
  <c r="I22" i="29" s="1"/>
  <c r="M41" i="24" a="1"/>
  <c r="M41" i="24" s="1"/>
  <c r="I43" i="29" s="1"/>
  <c r="M33" i="24" a="1"/>
  <c r="M33" i="24" s="1"/>
  <c r="I35" i="29" s="1"/>
  <c r="M11" i="24" a="1"/>
  <c r="M11" i="24" s="1"/>
  <c r="I13" i="29" s="1"/>
  <c r="M8" i="24" a="1"/>
  <c r="M8" i="24" s="1"/>
  <c r="I10" i="29" s="1"/>
  <c r="M51" i="24" a="1"/>
  <c r="M51" i="24" s="1"/>
  <c r="I53" i="29" s="1"/>
  <c r="M30" i="24" a="1"/>
  <c r="M30" i="24" s="1"/>
  <c r="I32" i="29" s="1"/>
  <c r="M38" i="24" a="1"/>
  <c r="M38" i="24" s="1"/>
  <c r="I40" i="29" s="1"/>
  <c r="M23" i="24" a="1"/>
  <c r="M23" i="24" s="1"/>
  <c r="I25" i="29" s="1"/>
  <c r="M44" i="24" a="1"/>
  <c r="M44" i="24" s="1"/>
  <c r="I46" i="29" s="1"/>
  <c r="M54" i="24" a="1"/>
  <c r="M54" i="24" s="1"/>
  <c r="I56" i="29" s="1"/>
  <c r="M21" i="24" a="1"/>
  <c r="M21" i="24" s="1"/>
  <c r="I23" i="29" s="1"/>
  <c r="M46" i="24" a="1"/>
  <c r="M46" i="24" s="1"/>
  <c r="I48" i="29" s="1"/>
  <c r="M37" i="24" a="1"/>
  <c r="M37" i="24" s="1"/>
  <c r="I39" i="29" s="1"/>
  <c r="M49" i="24" a="1"/>
  <c r="M49" i="24" s="1"/>
  <c r="I51" i="29" s="1"/>
  <c r="M42" i="24" a="1"/>
  <c r="M42" i="24" s="1"/>
  <c r="I44" i="29" s="1"/>
  <c r="M48" i="24" a="1"/>
  <c r="M48" i="24" s="1"/>
  <c r="I50" i="29" s="1"/>
  <c r="M40" i="24" a="1"/>
  <c r="M40" i="24" s="1"/>
  <c r="I42" i="29" s="1"/>
  <c r="M26" i="24" a="1"/>
  <c r="M26" i="24" s="1"/>
  <c r="I28" i="29" s="1"/>
  <c r="M43" i="24" a="1"/>
  <c r="M43" i="24" s="1"/>
  <c r="I45" i="29" s="1"/>
  <c r="M15" i="24" a="1"/>
  <c r="M15" i="24" s="1"/>
  <c r="I17" i="29" s="1"/>
  <c r="M13" i="24" a="1"/>
  <c r="M13" i="24" s="1"/>
  <c r="I15" i="29" s="1"/>
  <c r="M36" i="24" a="1"/>
  <c r="M36" i="24" s="1"/>
  <c r="I38" i="29" s="1"/>
  <c r="M35" i="24" a="1"/>
  <c r="M35" i="24" s="1"/>
  <c r="I37" i="29" s="1"/>
  <c r="M27" i="24" a="1"/>
  <c r="M27" i="24" s="1"/>
  <c r="I29" i="29" s="1"/>
  <c r="M10" i="24" a="1"/>
  <c r="M10" i="24" s="1"/>
  <c r="I12" i="29" s="1"/>
  <c r="M32" i="24" a="1"/>
  <c r="M32" i="24" s="1"/>
  <c r="I34" i="29" s="1"/>
  <c r="M31" i="24" a="1"/>
  <c r="M31" i="24" s="1"/>
  <c r="I33" i="29" s="1"/>
  <c r="M25" i="24" a="1"/>
  <c r="M25" i="24" s="1"/>
  <c r="I27" i="29" s="1"/>
  <c r="M34" i="24" a="1"/>
  <c r="M34" i="24" s="1"/>
  <c r="I36" i="29" s="1"/>
  <c r="M55" i="24" a="1"/>
  <c r="M55" i="24" s="1"/>
  <c r="I57" i="29" s="1"/>
  <c r="M17" i="24" a="1"/>
  <c r="M17" i="24" s="1"/>
  <c r="I19" i="29" s="1"/>
  <c r="M7" i="24" a="1"/>
  <c r="M7" i="24" s="1"/>
  <c r="I9" i="29" s="1"/>
  <c r="M53" i="24" a="1"/>
  <c r="M53" i="24" s="1"/>
  <c r="I55" i="29" s="1"/>
  <c r="M14" i="24" a="1"/>
  <c r="M14" i="24" s="1"/>
  <c r="I16" i="29" s="1"/>
  <c r="M28" i="24" a="1"/>
  <c r="M28" i="24" s="1"/>
  <c r="I30" i="29" s="1"/>
  <c r="M12" i="24" a="1"/>
  <c r="M12" i="24" s="1"/>
  <c r="I14" i="29" s="1"/>
  <c r="M47" i="24" a="1"/>
  <c r="M47" i="24" s="1"/>
  <c r="I49" i="29" s="1"/>
  <c r="M16" i="24" a="1"/>
  <c r="M16" i="24" s="1"/>
  <c r="I18" i="29" s="1"/>
  <c r="M22" i="24" a="1"/>
  <c r="M22" i="24" s="1"/>
  <c r="I24" i="29" s="1"/>
  <c r="G9" i="18" a="1"/>
  <c r="G9" i="18" s="1"/>
  <c r="G10" i="18" a="1"/>
  <c r="G10" i="18" s="1"/>
  <c r="G11" i="18" a="1"/>
  <c r="G11" i="18" s="1"/>
  <c r="G12" i="18" a="1"/>
  <c r="G12" i="18" s="1"/>
  <c r="G13" i="18" a="1"/>
  <c r="G13" i="18" s="1"/>
  <c r="G14" i="18" a="1"/>
  <c r="G14" i="18" s="1"/>
  <c r="G15" i="18" a="1"/>
  <c r="G15" i="18" s="1"/>
  <c r="G16" i="18" a="1"/>
  <c r="G16" i="18" s="1"/>
  <c r="G17" i="18" a="1"/>
  <c r="G17" i="18" s="1"/>
  <c r="G18" i="18" a="1"/>
  <c r="G18" i="18" s="1"/>
  <c r="G19" i="18" a="1"/>
  <c r="G19" i="18" s="1"/>
  <c r="G20" i="18" a="1"/>
  <c r="G20" i="18" s="1"/>
  <c r="G21" i="18" a="1"/>
  <c r="G21" i="18" s="1"/>
  <c r="G22" i="18" a="1"/>
  <c r="G22" i="18" s="1"/>
  <c r="G23" i="18" a="1"/>
  <c r="G23" i="18" s="1"/>
  <c r="G24" i="18" a="1"/>
  <c r="G24" i="18" s="1"/>
  <c r="G25" i="18" a="1"/>
  <c r="G25" i="18" s="1"/>
  <c r="G26" i="18" a="1"/>
  <c r="G26" i="18" s="1"/>
  <c r="G27" i="18" a="1"/>
  <c r="G27" i="18" s="1"/>
  <c r="G28" i="18" a="1"/>
  <c r="G28" i="18" s="1"/>
  <c r="G29" i="18" a="1"/>
  <c r="G29" i="18" s="1"/>
  <c r="G30" i="18" a="1"/>
  <c r="G30" i="18" s="1"/>
  <c r="G31" i="18" a="1"/>
  <c r="G31" i="18" s="1"/>
  <c r="G32" i="18" a="1"/>
  <c r="G32" i="18" s="1"/>
  <c r="G33" i="18" a="1"/>
  <c r="G33" i="18" s="1"/>
  <c r="G34" i="18" a="1"/>
  <c r="G34" i="18" s="1"/>
  <c r="G35" i="18" a="1"/>
  <c r="G35" i="18" s="1"/>
  <c r="G36" i="18" a="1"/>
  <c r="G36" i="18" s="1"/>
  <c r="G37" i="18" a="1"/>
  <c r="G37" i="18" s="1"/>
  <c r="G38" i="18" a="1"/>
  <c r="G38" i="18" s="1"/>
  <c r="G39" i="18" a="1"/>
  <c r="G39" i="18" s="1"/>
  <c r="G40" i="18" a="1"/>
  <c r="G40" i="18" s="1"/>
  <c r="G41" i="18" a="1"/>
  <c r="G41" i="18" s="1"/>
  <c r="G42" i="18" a="1"/>
  <c r="G42" i="18" s="1"/>
  <c r="G43" i="18" a="1"/>
  <c r="G43" i="18" s="1"/>
  <c r="G44" i="18" a="1"/>
  <c r="G44" i="18" s="1"/>
  <c r="G45" i="18" a="1"/>
  <c r="G45" i="18" s="1"/>
  <c r="G46" i="18" a="1"/>
  <c r="G46" i="18" s="1"/>
  <c r="G47" i="18" a="1"/>
  <c r="G47" i="18" s="1"/>
  <c r="G48" i="18" a="1"/>
  <c r="G48" i="18" s="1"/>
  <c r="G49" i="18" a="1"/>
  <c r="G49" i="18" s="1"/>
  <c r="G50" i="18" a="1"/>
  <c r="G50" i="18" s="1"/>
  <c r="G51" i="18" a="1"/>
  <c r="G51" i="18" s="1"/>
  <c r="G52" i="18" a="1"/>
  <c r="G52" i="18" s="1"/>
  <c r="G53" i="18" a="1"/>
  <c r="G53" i="18" s="1"/>
  <c r="G54" i="18" a="1"/>
  <c r="G54" i="18" s="1"/>
  <c r="G55" i="18" a="1"/>
  <c r="G55" i="18" s="1"/>
  <c r="G56" i="18" a="1"/>
  <c r="G56" i="18" s="1"/>
  <c r="G7" i="18" a="1"/>
  <c r="G7" i="18" s="1"/>
  <c r="G8" i="18" a="1"/>
  <c r="G8" i="18" s="1"/>
  <c r="L37" i="22" a="1"/>
  <c r="L37" i="22" s="1"/>
  <c r="G39" i="29" s="1"/>
  <c r="L23" i="22" a="1"/>
  <c r="L23" i="22" s="1"/>
  <c r="G25" i="29" s="1"/>
  <c r="L9" i="22" a="1"/>
  <c r="L9" i="22" s="1"/>
  <c r="G11" i="29" s="1"/>
  <c r="L14" i="22" a="1"/>
  <c r="L14" i="22" s="1"/>
  <c r="G16" i="29" s="1"/>
  <c r="L36" i="22" a="1"/>
  <c r="L36" i="22" s="1"/>
  <c r="G38" i="29" s="1"/>
  <c r="L47" i="22" a="1"/>
  <c r="L47" i="22" s="1"/>
  <c r="G49" i="29" s="1"/>
  <c r="L52" i="22" a="1"/>
  <c r="L52" i="22" s="1"/>
  <c r="G54" i="29" s="1"/>
  <c r="L49" i="22" a="1"/>
  <c r="L49" i="22" s="1"/>
  <c r="G51" i="29" s="1"/>
  <c r="L29" i="22" a="1"/>
  <c r="L29" i="22" s="1"/>
  <c r="G31" i="29" s="1"/>
  <c r="L11" i="22" a="1"/>
  <c r="L11" i="22" s="1"/>
  <c r="G13" i="29" s="1"/>
  <c r="L41" i="22" a="1"/>
  <c r="L41" i="22" s="1"/>
  <c r="G43" i="29" s="1"/>
  <c r="L54" i="22" a="1"/>
  <c r="L54" i="22" s="1"/>
  <c r="G56" i="29" s="1"/>
  <c r="L53" i="22" a="1"/>
  <c r="L53" i="22" s="1"/>
  <c r="G55" i="29" s="1"/>
  <c r="L20" i="22" a="1"/>
  <c r="L20" i="22" s="1"/>
  <c r="G22" i="29" s="1"/>
  <c r="L45" i="22" a="1"/>
  <c r="L45" i="22" s="1"/>
  <c r="G47" i="29" s="1"/>
  <c r="L55" i="22" a="1"/>
  <c r="L55" i="22" s="1"/>
  <c r="G57" i="29" s="1"/>
  <c r="L35" i="22" a="1"/>
  <c r="L35" i="22" s="1"/>
  <c r="G37" i="29" s="1"/>
  <c r="L18" i="22" a="1"/>
  <c r="L18" i="22" s="1"/>
  <c r="G20" i="29" s="1"/>
  <c r="L24" i="22" a="1"/>
  <c r="L24" i="22" s="1"/>
  <c r="G26" i="29" s="1"/>
  <c r="L56" i="22" a="1"/>
  <c r="L56" i="22" s="1"/>
  <c r="G58" i="29" s="1"/>
  <c r="L21" i="22" a="1"/>
  <c r="L21" i="22" s="1"/>
  <c r="G23" i="29" s="1"/>
  <c r="L7" i="22" a="1"/>
  <c r="L7" i="22" s="1"/>
  <c r="G9" i="29" s="1"/>
  <c r="L25" i="22" a="1"/>
  <c r="L25" i="22" s="1"/>
  <c r="G27" i="29" s="1"/>
  <c r="L51" i="22" a="1"/>
  <c r="L51" i="22" s="1"/>
  <c r="G53" i="29" s="1"/>
  <c r="L33" i="22" a="1"/>
  <c r="L33" i="22" s="1"/>
  <c r="G35" i="29" s="1"/>
  <c r="L19" i="22" a="1"/>
  <c r="L19" i="22" s="1"/>
  <c r="G21" i="29" s="1"/>
  <c r="L30" i="22" a="1"/>
  <c r="L30" i="22" s="1"/>
  <c r="G32" i="29" s="1"/>
  <c r="L12" i="22" a="1"/>
  <c r="L12" i="22" s="1"/>
  <c r="G14" i="29" s="1"/>
  <c r="L17" i="22" a="1"/>
  <c r="L17" i="22" s="1"/>
  <c r="G19" i="29" s="1"/>
  <c r="L22" i="22" a="1"/>
  <c r="L22" i="22" s="1"/>
  <c r="G24" i="29" s="1"/>
  <c r="L15" i="22" a="1"/>
  <c r="L15" i="22" s="1"/>
  <c r="G17" i="29" s="1"/>
  <c r="L39" i="22" a="1"/>
  <c r="L39" i="22" s="1"/>
  <c r="G41" i="29" s="1"/>
  <c r="L27" i="22" a="1"/>
  <c r="L27" i="22" s="1"/>
  <c r="G29" i="29" s="1"/>
  <c r="L26" i="22" a="1"/>
  <c r="L26" i="22" s="1"/>
  <c r="G28" i="29" s="1"/>
  <c r="L48" i="22" a="1"/>
  <c r="L48" i="22" s="1"/>
  <c r="G50" i="29" s="1"/>
  <c r="L13" i="22" a="1"/>
  <c r="L13" i="22" s="1"/>
  <c r="G15" i="29" s="1"/>
  <c r="L10" i="22" a="1"/>
  <c r="L10" i="22" s="1"/>
  <c r="G12" i="29" s="1"/>
  <c r="L46" i="22" a="1"/>
  <c r="L46" i="22" s="1"/>
  <c r="G48" i="29" s="1"/>
  <c r="L28" i="22" a="1"/>
  <c r="L28" i="22" s="1"/>
  <c r="G30" i="29" s="1"/>
  <c r="L42" i="22" a="1"/>
  <c r="L42" i="22" s="1"/>
  <c r="G44" i="29" s="1"/>
  <c r="L8" i="22" a="1"/>
  <c r="L8" i="22" s="1"/>
  <c r="G10" i="29" s="1"/>
  <c r="L31" i="22" a="1"/>
  <c r="L31" i="22" s="1"/>
  <c r="G33" i="29" s="1"/>
  <c r="L43" i="22" a="1"/>
  <c r="L43" i="22" s="1"/>
  <c r="G45" i="29" s="1"/>
  <c r="L34" i="22" a="1"/>
  <c r="L34" i="22" s="1"/>
  <c r="G36" i="29" s="1"/>
  <c r="L50" i="22" a="1"/>
  <c r="L50" i="22" s="1"/>
  <c r="G52" i="29" s="1"/>
  <c r="L32" i="22" a="1"/>
  <c r="L32" i="22" s="1"/>
  <c r="G34" i="29" s="1"/>
  <c r="L44" i="22" a="1"/>
  <c r="L44" i="22" s="1"/>
  <c r="G46" i="29" s="1"/>
  <c r="L40" i="22" a="1"/>
  <c r="L40" i="22" s="1"/>
  <c r="G42" i="29" s="1"/>
  <c r="L38" i="22" a="1"/>
  <c r="L38" i="22" s="1"/>
  <c r="G40" i="29" s="1"/>
  <c r="L16" i="22" a="1"/>
  <c r="L16" i="22" s="1"/>
  <c r="G18" i="29" s="1"/>
  <c r="J29" i="18" a="1"/>
  <c r="J29" i="18" s="1"/>
  <c r="M29" i="18" s="1"/>
  <c r="J36" i="18" a="1"/>
  <c r="J36" i="18" s="1"/>
  <c r="M36" i="18" s="1"/>
  <c r="J50" i="18" a="1"/>
  <c r="J50" i="18" s="1"/>
  <c r="M50" i="18" s="1"/>
  <c r="M46" i="25"/>
  <c r="J10" i="18" a="1"/>
  <c r="J10" i="18" s="1"/>
  <c r="M10" i="18" s="1"/>
  <c r="J38" i="18" a="1"/>
  <c r="J38" i="18" s="1"/>
  <c r="M38" i="18" s="1"/>
  <c r="M40" i="25"/>
  <c r="J12" i="18" a="1"/>
  <c r="J12" i="18" s="1"/>
  <c r="M12" i="18" s="1"/>
  <c r="M37" i="25"/>
  <c r="M25" i="25"/>
  <c r="M32" i="25"/>
  <c r="M52" i="25"/>
  <c r="J18" i="18" a="1"/>
  <c r="J18" i="18" s="1"/>
  <c r="M18" i="18" s="1"/>
  <c r="J25" i="18" a="1"/>
  <c r="J25" i="18" s="1"/>
  <c r="M25" i="18" s="1"/>
  <c r="J48" i="18" a="1"/>
  <c r="J48" i="18" s="1"/>
  <c r="M48" i="18" s="1"/>
  <c r="M48" i="25"/>
  <c r="M14" i="25"/>
  <c r="J23" i="18" a="1"/>
  <c r="J23" i="18" s="1"/>
  <c r="M23" i="18" s="1"/>
  <c r="J9" i="18" a="1"/>
  <c r="J9" i="18" s="1"/>
  <c r="M9" i="18" s="1"/>
  <c r="M44" i="25"/>
  <c r="M9" i="25"/>
  <c r="M53" i="25"/>
  <c r="J19" i="18" a="1"/>
  <c r="J19" i="18" s="1"/>
  <c r="M19" i="18" s="1"/>
  <c r="M34" i="25"/>
  <c r="J24" i="18" a="1"/>
  <c r="J24" i="18" s="1"/>
  <c r="M24" i="18" s="1"/>
  <c r="J22" i="18" a="1"/>
  <c r="J22" i="18" s="1"/>
  <c r="M22" i="18" s="1"/>
  <c r="M45" i="25"/>
  <c r="M30" i="25"/>
  <c r="M17" i="25"/>
  <c r="M47" i="25"/>
  <c r="J34" i="18" a="1"/>
  <c r="J34" i="18" s="1"/>
  <c r="M34" i="18" s="1"/>
  <c r="J39" i="18" a="1"/>
  <c r="J39" i="18" s="1"/>
  <c r="M39" i="18" s="1"/>
  <c r="M20" i="25"/>
  <c r="M23" i="25"/>
  <c r="M13" i="25"/>
  <c r="J15" i="18" a="1"/>
  <c r="J15" i="18" s="1"/>
  <c r="M15" i="18" s="1"/>
  <c r="M49" i="25"/>
  <c r="J17" i="18" a="1"/>
  <c r="J17" i="18" s="1"/>
  <c r="M17" i="18" s="1"/>
  <c r="M18" i="25"/>
  <c r="M55" i="25"/>
  <c r="J8" i="18" a="1"/>
  <c r="J8" i="18" s="1"/>
  <c r="M8" i="18" s="1"/>
  <c r="J11" i="18" a="1"/>
  <c r="J11" i="18" s="1"/>
  <c r="M11" i="18" s="1"/>
  <c r="J41" i="18" a="1"/>
  <c r="J41" i="18" s="1"/>
  <c r="M41" i="18" s="1"/>
  <c r="J35" i="18" a="1"/>
  <c r="J35" i="18" s="1"/>
  <c r="M35" i="18" s="1"/>
  <c r="J55" i="18" a="1"/>
  <c r="J55" i="18" s="1"/>
  <c r="M55" i="18" s="1"/>
  <c r="J20" i="18" a="1"/>
  <c r="J20" i="18" s="1"/>
  <c r="M20" i="18" s="1"/>
  <c r="J42" i="18" a="1"/>
  <c r="J42" i="18" s="1"/>
  <c r="M42" i="18" s="1"/>
  <c r="J26" i="18" a="1"/>
  <c r="J26" i="18" s="1"/>
  <c r="M26" i="18" s="1"/>
  <c r="J44" i="18" a="1"/>
  <c r="J44" i="18" s="1"/>
  <c r="M44" i="18" s="1"/>
  <c r="J7" i="18" a="1"/>
  <c r="J7" i="18" s="1"/>
  <c r="M7" i="18" s="1"/>
  <c r="K59" i="23" l="1"/>
  <c r="L35" i="23" s="1" a="1"/>
  <c r="L35" i="23" s="1"/>
  <c r="H37" i="29" s="1"/>
  <c r="L59" i="21"/>
  <c r="M24" i="21" s="1" a="1"/>
  <c r="M24" i="21" s="1"/>
  <c r="E26" i="29" s="1"/>
  <c r="F35" i="21" a="1"/>
  <c r="F35" i="21" s="1"/>
  <c r="L20" i="23" a="1"/>
  <c r="L20" i="23" s="1"/>
  <c r="H22" i="29" s="1"/>
  <c r="G24" i="20" a="1"/>
  <c r="G24" i="20" s="1"/>
  <c r="G52" i="20" a="1"/>
  <c r="G52" i="20" s="1"/>
  <c r="F33" i="21" a="1"/>
  <c r="F33" i="21" s="1"/>
  <c r="F54" i="21" a="1"/>
  <c r="F54" i="21" s="1"/>
  <c r="G46" i="20" a="1"/>
  <c r="G46" i="20" s="1"/>
  <c r="G55" i="20" a="1"/>
  <c r="G55" i="20" s="1"/>
  <c r="G23" i="20" a="1"/>
  <c r="G23" i="20" s="1"/>
  <c r="G26" i="20" a="1"/>
  <c r="G26" i="20" s="1"/>
  <c r="G16" i="20" a="1"/>
  <c r="G16" i="20" s="1"/>
  <c r="G49" i="20" a="1"/>
  <c r="G49" i="20" s="1"/>
  <c r="G29" i="20" a="1"/>
  <c r="G29" i="20" s="1"/>
  <c r="G35" i="20" a="1"/>
  <c r="G35" i="20" s="1"/>
  <c r="G45" i="20" a="1"/>
  <c r="G45" i="20" s="1"/>
  <c r="G28" i="20" a="1"/>
  <c r="G28" i="20" s="1"/>
  <c r="L15" i="23" a="1"/>
  <c r="L15" i="23" s="1"/>
  <c r="H17" i="29" s="1"/>
  <c r="L8" i="23" a="1"/>
  <c r="L8" i="23" s="1"/>
  <c r="H10" i="29" s="1"/>
  <c r="F12" i="21" a="1"/>
  <c r="F12" i="21" s="1"/>
  <c r="F16" i="21" a="1"/>
  <c r="F16" i="21" s="1"/>
  <c r="F51" i="21" a="1"/>
  <c r="F51" i="21" s="1"/>
  <c r="L49" i="23" a="1"/>
  <c r="L49" i="23" s="1"/>
  <c r="H51" i="29" s="1"/>
  <c r="L24" i="23" a="1"/>
  <c r="L24" i="23" s="1"/>
  <c r="H26" i="29" s="1"/>
  <c r="L12" i="23" a="1"/>
  <c r="L12" i="23" s="1"/>
  <c r="H14" i="29" s="1"/>
  <c r="L33" i="23" a="1"/>
  <c r="L33" i="23" s="1"/>
  <c r="H35" i="29" s="1"/>
  <c r="L28" i="23" a="1"/>
  <c r="L28" i="23" s="1"/>
  <c r="H30" i="29" s="1"/>
  <c r="L9" i="23" a="1"/>
  <c r="L9" i="23" s="1"/>
  <c r="H11" i="29" s="1"/>
  <c r="L16" i="23" a="1"/>
  <c r="L16" i="23" s="1"/>
  <c r="H18" i="29" s="1"/>
  <c r="L14" i="23" a="1"/>
  <c r="L14" i="23" s="1"/>
  <c r="H16" i="29" s="1"/>
  <c r="L40" i="23" a="1"/>
  <c r="L40" i="23" s="1"/>
  <c r="H42" i="29" s="1"/>
  <c r="L52" i="23" a="1"/>
  <c r="L52" i="23" s="1"/>
  <c r="H54" i="29" s="1"/>
  <c r="L18" i="23" a="1"/>
  <c r="L18" i="23" s="1"/>
  <c r="H20" i="29" s="1"/>
  <c r="L22" i="23" a="1"/>
  <c r="L22" i="23" s="1"/>
  <c r="H24" i="29" s="1"/>
  <c r="L11" i="23" a="1"/>
  <c r="L11" i="23" s="1"/>
  <c r="H13" i="29" s="1"/>
  <c r="L44" i="23" a="1"/>
  <c r="L44" i="23" s="1"/>
  <c r="H46" i="29" s="1"/>
  <c r="L13" i="23" a="1"/>
  <c r="L13" i="23" s="1"/>
  <c r="H15" i="29" s="1"/>
  <c r="L47" i="23" a="1"/>
  <c r="L47" i="23" s="1"/>
  <c r="H49" i="29" s="1"/>
  <c r="L23" i="23" a="1"/>
  <c r="L23" i="23" s="1"/>
  <c r="H25" i="29" s="1"/>
  <c r="L38" i="23" a="1"/>
  <c r="L38" i="23" s="1"/>
  <c r="H40" i="29" s="1"/>
  <c r="L19" i="23" a="1"/>
  <c r="L19" i="23" s="1"/>
  <c r="H21" i="29" s="1"/>
  <c r="L42" i="23" a="1"/>
  <c r="L42" i="23" s="1"/>
  <c r="H44" i="29" s="1"/>
  <c r="L56" i="23" a="1"/>
  <c r="L56" i="23" s="1"/>
  <c r="H58" i="29" s="1"/>
  <c r="L27" i="23" a="1"/>
  <c r="L27" i="23" s="1"/>
  <c r="H29" i="29" s="1"/>
  <c r="L53" i="23" a="1"/>
  <c r="L53" i="23" s="1"/>
  <c r="H55" i="29" s="1"/>
  <c r="L51" i="23" a="1"/>
  <c r="L51" i="23" s="1"/>
  <c r="H53" i="29" s="1"/>
  <c r="L7" i="23" a="1"/>
  <c r="L7" i="23" s="1"/>
  <c r="H9" i="29" s="1"/>
  <c r="F47" i="23" a="1"/>
  <c r="F47" i="23" s="1"/>
  <c r="F41" i="23" a="1"/>
  <c r="F41" i="23" s="1"/>
  <c r="G38" i="20" a="1"/>
  <c r="G38" i="20" s="1"/>
  <c r="G25" i="20" a="1"/>
  <c r="G25" i="20" s="1"/>
  <c r="G15" i="20" a="1"/>
  <c r="G15" i="20" s="1"/>
  <c r="G14" i="20" a="1"/>
  <c r="G14" i="20" s="1"/>
  <c r="G11" i="20" a="1"/>
  <c r="G11" i="20" s="1"/>
  <c r="G13" i="20" a="1"/>
  <c r="G13" i="20" s="1"/>
  <c r="G41" i="20" a="1"/>
  <c r="G41" i="20" s="1"/>
  <c r="G18" i="20" a="1"/>
  <c r="G18" i="20" s="1"/>
  <c r="G32" i="20" a="1"/>
  <c r="G32" i="20" s="1"/>
  <c r="G51" i="20" a="1"/>
  <c r="G51" i="20" s="1"/>
  <c r="G22" i="20" a="1"/>
  <c r="G22" i="20" s="1"/>
  <c r="G43" i="20" a="1"/>
  <c r="G43" i="20" s="1"/>
  <c r="G36" i="20" a="1"/>
  <c r="G36" i="20" s="1"/>
  <c r="G39" i="20" a="1"/>
  <c r="G39" i="20" s="1"/>
  <c r="G19" i="20" a="1"/>
  <c r="G19" i="20" s="1"/>
  <c r="G20" i="20" a="1"/>
  <c r="G20" i="20" s="1"/>
  <c r="G53" i="20" a="1"/>
  <c r="G53" i="20" s="1"/>
  <c r="G33" i="20" a="1"/>
  <c r="G33" i="20" s="1"/>
  <c r="G56" i="20" a="1"/>
  <c r="G56" i="20" s="1"/>
  <c r="G44" i="20" a="1"/>
  <c r="G44" i="20" s="1"/>
  <c r="G47" i="20" a="1"/>
  <c r="G47" i="20" s="1"/>
  <c r="G17" i="20" a="1"/>
  <c r="G17" i="20" s="1"/>
  <c r="F34" i="23" a="1"/>
  <c r="F34" i="23" s="1"/>
  <c r="G12" i="20" a="1"/>
  <c r="G12" i="20" s="1"/>
  <c r="G42" i="20" a="1"/>
  <c r="G42" i="20" s="1"/>
  <c r="G37" i="20" a="1"/>
  <c r="G37" i="20" s="1"/>
  <c r="G8" i="20" a="1"/>
  <c r="G8" i="20" s="1"/>
  <c r="G50" i="20" a="1"/>
  <c r="G50" i="20" s="1"/>
  <c r="G10" i="20" a="1"/>
  <c r="G10" i="20" s="1"/>
  <c r="F30" i="23" a="1"/>
  <c r="F30" i="23" s="1"/>
  <c r="F46" i="23" a="1"/>
  <c r="F46" i="23" s="1"/>
  <c r="G31" i="20" a="1"/>
  <c r="G31" i="20" s="1"/>
  <c r="G9" i="20" a="1"/>
  <c r="G9" i="20" s="1"/>
  <c r="G34" i="20" a="1"/>
  <c r="G34" i="20" s="1"/>
  <c r="G7" i="20" a="1"/>
  <c r="G7" i="20" s="1"/>
  <c r="G54" i="20" a="1"/>
  <c r="G54" i="20" s="1"/>
  <c r="G30" i="20" a="1"/>
  <c r="G30" i="20" s="1"/>
  <c r="G48" i="20" a="1"/>
  <c r="G48" i="20" s="1"/>
  <c r="G27" i="20" a="1"/>
  <c r="G27" i="20" s="1"/>
  <c r="G21" i="20" a="1"/>
  <c r="G21" i="20" s="1"/>
  <c r="F37" i="23" a="1"/>
  <c r="F37" i="23" s="1"/>
  <c r="F23" i="23" a="1"/>
  <c r="F23" i="23" s="1"/>
  <c r="L45" i="23" a="1"/>
  <c r="L45" i="23" s="1"/>
  <c r="H47" i="29" s="1"/>
  <c r="L41" i="23" a="1"/>
  <c r="L41" i="23" s="1"/>
  <c r="H43" i="29" s="1"/>
  <c r="L21" i="23" a="1"/>
  <c r="L21" i="23" s="1"/>
  <c r="H23" i="29" s="1"/>
  <c r="L31" i="23" a="1"/>
  <c r="L31" i="23" s="1"/>
  <c r="H33" i="29" s="1"/>
  <c r="L17" i="23" a="1"/>
  <c r="L17" i="23" s="1"/>
  <c r="H19" i="29" s="1"/>
  <c r="L25" i="23" a="1"/>
  <c r="L25" i="23" s="1"/>
  <c r="H27" i="29" s="1"/>
  <c r="L10" i="23" a="1"/>
  <c r="L10" i="23" s="1"/>
  <c r="H12" i="29" s="1"/>
  <c r="L48" i="23" a="1"/>
  <c r="L48" i="23" s="1"/>
  <c r="H50" i="29" s="1"/>
  <c r="L54" i="23" a="1"/>
  <c r="L54" i="23" s="1"/>
  <c r="H56" i="29" s="1"/>
  <c r="L39" i="23" a="1"/>
  <c r="L39" i="23" s="1"/>
  <c r="H41" i="29" s="1"/>
  <c r="L29" i="23" a="1"/>
  <c r="L29" i="23" s="1"/>
  <c r="H31" i="29" s="1"/>
  <c r="L26" i="23" a="1"/>
  <c r="L26" i="23" s="1"/>
  <c r="H28" i="29" s="1"/>
  <c r="L32" i="23" a="1"/>
  <c r="L32" i="23" s="1"/>
  <c r="H34" i="29" s="1"/>
  <c r="L37" i="23" a="1"/>
  <c r="L37" i="23" s="1"/>
  <c r="H39" i="29" s="1"/>
  <c r="L43" i="23" a="1"/>
  <c r="L43" i="23" s="1"/>
  <c r="H45" i="29" s="1"/>
  <c r="F17" i="21" a="1"/>
  <c r="F17" i="21" s="1"/>
  <c r="F43" i="21" a="1"/>
  <c r="F43" i="21" s="1"/>
  <c r="F24" i="21" a="1"/>
  <c r="F24" i="21" s="1"/>
  <c r="F46" i="21" a="1"/>
  <c r="F46" i="21" s="1"/>
  <c r="F37" i="21" a="1"/>
  <c r="F37" i="21" s="1"/>
  <c r="F26" i="21" a="1"/>
  <c r="F26" i="21" s="1"/>
  <c r="F11" i="23" a="1"/>
  <c r="F11" i="23" s="1"/>
  <c r="F18" i="23" a="1"/>
  <c r="F18" i="23" s="1"/>
  <c r="F49" i="23" a="1"/>
  <c r="F49" i="23" s="1"/>
  <c r="F42" i="23" a="1"/>
  <c r="F42" i="23" s="1"/>
  <c r="F43" i="23" a="1"/>
  <c r="F43" i="23" s="1"/>
  <c r="F22" i="23" a="1"/>
  <c r="F22" i="23" s="1"/>
  <c r="F29" i="23" a="1"/>
  <c r="F29" i="23" s="1"/>
  <c r="F8" i="23" a="1"/>
  <c r="F8" i="23" s="1"/>
  <c r="F38" i="23" a="1"/>
  <c r="F38" i="23" s="1"/>
  <c r="F10" i="23" a="1"/>
  <c r="F10" i="23" s="1"/>
  <c r="F53" i="23" a="1"/>
  <c r="F53" i="23" s="1"/>
  <c r="F39" i="23" a="1"/>
  <c r="F39" i="23" s="1"/>
  <c r="F17" i="23" a="1"/>
  <c r="F17" i="23" s="1"/>
  <c r="F35" i="23" a="1"/>
  <c r="F35" i="23" s="1"/>
  <c r="F27" i="23" a="1"/>
  <c r="F27" i="23" s="1"/>
  <c r="F33" i="23" a="1"/>
  <c r="F33" i="23" s="1"/>
  <c r="F19" i="23" a="1"/>
  <c r="F19" i="23" s="1"/>
  <c r="F45" i="23" a="1"/>
  <c r="F45" i="23" s="1"/>
  <c r="F25" i="23" a="1"/>
  <c r="F25" i="23" s="1"/>
  <c r="F9" i="23" a="1"/>
  <c r="F9" i="23" s="1"/>
  <c r="F51" i="23" a="1"/>
  <c r="F51" i="23" s="1"/>
  <c r="F14" i="23" a="1"/>
  <c r="F14" i="23" s="1"/>
  <c r="F40" i="23" a="1"/>
  <c r="F40" i="23" s="1"/>
  <c r="F56" i="23" a="1"/>
  <c r="F56" i="23" s="1"/>
  <c r="F44" i="23" a="1"/>
  <c r="F44" i="23" s="1"/>
  <c r="F21" i="23" a="1"/>
  <c r="F21" i="23" s="1"/>
  <c r="F31" i="23" a="1"/>
  <c r="F31" i="23" s="1"/>
  <c r="F26" i="23" a="1"/>
  <c r="F26" i="23" s="1"/>
  <c r="F20" i="23" a="1"/>
  <c r="F20" i="23" s="1"/>
  <c r="F32" i="23" a="1"/>
  <c r="F32" i="23" s="1"/>
  <c r="F13" i="23" a="1"/>
  <c r="F13" i="23" s="1"/>
  <c r="F55" i="23" a="1"/>
  <c r="F55" i="23" s="1"/>
  <c r="F36" i="23" a="1"/>
  <c r="F36" i="23" s="1"/>
  <c r="F52" i="23" a="1"/>
  <c r="F52" i="23" s="1"/>
  <c r="F12" i="23" a="1"/>
  <c r="F12" i="23" s="1"/>
  <c r="F7" i="23" a="1"/>
  <c r="F7" i="23" s="1"/>
  <c r="F50" i="23" a="1"/>
  <c r="F50" i="23" s="1"/>
  <c r="F48" i="23" a="1"/>
  <c r="F48" i="23" s="1"/>
  <c r="F15" i="23" a="1"/>
  <c r="F15" i="23" s="1"/>
  <c r="F28" i="23" a="1"/>
  <c r="F28" i="23" s="1"/>
  <c r="F54" i="23" a="1"/>
  <c r="F54" i="23" s="1"/>
  <c r="F24" i="23" a="1"/>
  <c r="F24" i="23" s="1"/>
  <c r="F41" i="21" a="1"/>
  <c r="F41" i="21" s="1"/>
  <c r="F25" i="21" a="1"/>
  <c r="F25" i="21" s="1"/>
  <c r="M50" i="21" a="1"/>
  <c r="M50" i="21" s="1"/>
  <c r="E52" i="29" s="1"/>
  <c r="M26" i="21" a="1"/>
  <c r="M26" i="21" s="1"/>
  <c r="E28" i="29" s="1"/>
  <c r="M47" i="21" a="1"/>
  <c r="M47" i="21" s="1"/>
  <c r="E49" i="29" s="1"/>
  <c r="M22" i="21" a="1"/>
  <c r="M22" i="21" s="1"/>
  <c r="E24" i="29" s="1"/>
  <c r="M45" i="21" a="1"/>
  <c r="M45" i="21" s="1"/>
  <c r="E47" i="29" s="1"/>
  <c r="M53" i="21" a="1"/>
  <c r="M53" i="21" s="1"/>
  <c r="E55" i="29" s="1"/>
  <c r="M19" i="21" a="1"/>
  <c r="M19" i="21" s="1"/>
  <c r="E21" i="29" s="1"/>
  <c r="M18" i="21" a="1"/>
  <c r="M18" i="21" s="1"/>
  <c r="E20" i="29" s="1"/>
  <c r="F32" i="21" a="1"/>
  <c r="F32" i="21" s="1"/>
  <c r="F47" i="21" a="1"/>
  <c r="F47" i="21" s="1"/>
  <c r="F21" i="21" a="1"/>
  <c r="F21" i="21" s="1"/>
  <c r="F42" i="21" a="1"/>
  <c r="F42" i="21" s="1"/>
  <c r="F55" i="21" a="1"/>
  <c r="F55" i="21" s="1"/>
  <c r="F8" i="21" a="1"/>
  <c r="F8" i="21" s="1"/>
  <c r="F10" i="21" a="1"/>
  <c r="F10" i="21" s="1"/>
  <c r="F36" i="21" a="1"/>
  <c r="F36" i="21" s="1"/>
  <c r="F7" i="21" a="1"/>
  <c r="F7" i="21" s="1"/>
  <c r="F22" i="21" a="1"/>
  <c r="F22" i="21" s="1"/>
  <c r="F20" i="21" a="1"/>
  <c r="F20" i="21" s="1"/>
  <c r="F44" i="21" a="1"/>
  <c r="F44" i="21" s="1"/>
  <c r="F38" i="21" a="1"/>
  <c r="F38" i="21" s="1"/>
  <c r="F56" i="21" a="1"/>
  <c r="F56" i="21" s="1"/>
  <c r="F18" i="21" a="1"/>
  <c r="F18" i="21" s="1"/>
  <c r="M34" i="21" a="1"/>
  <c r="M34" i="21" s="1"/>
  <c r="E36" i="29" s="1"/>
  <c r="L30" i="23" a="1"/>
  <c r="L30" i="23" s="1"/>
  <c r="H32" i="29" s="1"/>
  <c r="L46" i="23" a="1"/>
  <c r="L46" i="23" s="1"/>
  <c r="H48" i="29" s="1"/>
  <c r="L36" i="23" a="1"/>
  <c r="L36" i="23" s="1"/>
  <c r="H38" i="29" s="1"/>
  <c r="L34" i="23" a="1"/>
  <c r="L34" i="23" s="1"/>
  <c r="H36" i="29" s="1"/>
  <c r="L50" i="23" a="1"/>
  <c r="L50" i="23" s="1"/>
  <c r="H52" i="29" s="1"/>
  <c r="L55" i="23" a="1"/>
  <c r="L55" i="23" s="1"/>
  <c r="H57" i="29" s="1"/>
  <c r="M36" i="21" a="1"/>
  <c r="M36" i="21" s="1"/>
  <c r="E38" i="29" s="1"/>
  <c r="M9" i="21" a="1"/>
  <c r="M9" i="21" s="1"/>
  <c r="E11" i="29" s="1"/>
  <c r="M35" i="21" a="1"/>
  <c r="M35" i="21" s="1"/>
  <c r="E37" i="29" s="1"/>
  <c r="M49" i="21" a="1"/>
  <c r="M49" i="21" s="1"/>
  <c r="E51" i="29" s="1"/>
  <c r="F45" i="21" a="1"/>
  <c r="F45" i="21" s="1"/>
  <c r="M31" i="21" a="1"/>
  <c r="M31" i="21" s="1"/>
  <c r="E33" i="29" s="1"/>
  <c r="M10" i="21" a="1"/>
  <c r="M10" i="21" s="1"/>
  <c r="E12" i="29" s="1"/>
  <c r="M30" i="21" a="1"/>
  <c r="M30" i="21" s="1"/>
  <c r="E32" i="29" s="1"/>
  <c r="M51" i="21" a="1"/>
  <c r="M51" i="21" s="1"/>
  <c r="E53" i="29" s="1"/>
  <c r="M46" i="21" a="1"/>
  <c r="M46" i="21" s="1"/>
  <c r="E48" i="29" s="1"/>
  <c r="M37" i="21" a="1"/>
  <c r="M37" i="21" s="1"/>
  <c r="E39" i="29" s="1"/>
  <c r="M17" i="21" a="1"/>
  <c r="M17" i="21" s="1"/>
  <c r="E19" i="29" s="1"/>
  <c r="M8" i="21" a="1"/>
  <c r="M8" i="21" s="1"/>
  <c r="E10" i="29" s="1"/>
  <c r="M38" i="21" a="1"/>
  <c r="M38" i="21" s="1"/>
  <c r="E40" i="29" s="1"/>
  <c r="M29" i="21" a="1"/>
  <c r="M29" i="21" s="1"/>
  <c r="E31" i="29" s="1"/>
  <c r="M25" i="21" a="1"/>
  <c r="M25" i="21" s="1"/>
  <c r="E27" i="29" s="1"/>
  <c r="M48" i="21" a="1"/>
  <c r="M48" i="21" s="1"/>
  <c r="E50" i="29" s="1"/>
  <c r="M56" i="21" a="1"/>
  <c r="M56" i="21" s="1"/>
  <c r="E58" i="29" s="1"/>
  <c r="M7" i="21" a="1"/>
  <c r="M7" i="21" s="1"/>
  <c r="E9" i="29" s="1"/>
  <c r="M32" i="21" a="1"/>
  <c r="M32" i="21" s="1"/>
  <c r="E34" i="29" s="1"/>
  <c r="M55" i="21" a="1"/>
  <c r="M55" i="21" s="1"/>
  <c r="E57" i="29" s="1"/>
  <c r="M39" i="21" a="1"/>
  <c r="M39" i="21" s="1"/>
  <c r="E41" i="29" s="1"/>
  <c r="M13" i="21" a="1"/>
  <c r="M13" i="21" s="1"/>
  <c r="E15" i="29" s="1"/>
  <c r="M21" i="21" a="1"/>
  <c r="M21" i="21" s="1"/>
  <c r="E23" i="29" s="1"/>
  <c r="M23" i="21" a="1"/>
  <c r="M23" i="21" s="1"/>
  <c r="E25" i="29" s="1"/>
  <c r="M52" i="21" a="1"/>
  <c r="M52" i="21" s="1"/>
  <c r="E54" i="29" s="1"/>
  <c r="M11" i="21" a="1"/>
  <c r="M11" i="21" s="1"/>
  <c r="E13" i="29" s="1"/>
  <c r="M20" i="21" a="1"/>
  <c r="M20" i="21" s="1"/>
  <c r="E22" i="29" s="1"/>
  <c r="M27" i="21" a="1"/>
  <c r="M27" i="21" s="1"/>
  <c r="E29" i="29" s="1"/>
  <c r="M12" i="21" a="1"/>
  <c r="M12" i="21" s="1"/>
  <c r="E14" i="29" s="1"/>
  <c r="M28" i="21" a="1"/>
  <c r="M28" i="21" s="1"/>
  <c r="E30" i="29" s="1"/>
  <c r="M33" i="21" a="1"/>
  <c r="M33" i="21" s="1"/>
  <c r="E35" i="29" s="1"/>
  <c r="F50" i="21" a="1"/>
  <c r="F50" i="21" s="1"/>
  <c r="F31" i="21" a="1"/>
  <c r="F31" i="21" s="1"/>
  <c r="F48" i="21" a="1"/>
  <c r="F48" i="21" s="1"/>
  <c r="F19" i="21" a="1"/>
  <c r="F19" i="21" s="1"/>
  <c r="F13" i="21" a="1"/>
  <c r="F13" i="21" s="1"/>
  <c r="F30" i="21" a="1"/>
  <c r="F30" i="21" s="1"/>
  <c r="F40" i="21" a="1"/>
  <c r="F40" i="21" s="1"/>
  <c r="M44" i="21" a="1"/>
  <c r="M44" i="21" s="1"/>
  <c r="E46" i="29" s="1"/>
  <c r="M16" i="21" a="1"/>
  <c r="M16" i="21" s="1"/>
  <c r="E18" i="29" s="1"/>
  <c r="M43" i="21" a="1"/>
  <c r="M43" i="21" s="1"/>
  <c r="E45" i="29" s="1"/>
  <c r="M42" i="21" a="1"/>
  <c r="M42" i="21" s="1"/>
  <c r="E44" i="29" s="1"/>
  <c r="F28" i="21" a="1"/>
  <c r="F28" i="21" s="1"/>
  <c r="F52" i="21" a="1"/>
  <c r="F52" i="21" s="1"/>
  <c r="M41" i="21" a="1"/>
  <c r="M41" i="21" s="1"/>
  <c r="E43" i="29" s="1"/>
  <c r="F34" i="21" a="1"/>
  <c r="F34" i="21" s="1"/>
  <c r="F14" i="21" a="1"/>
  <c r="F14" i="21" s="1"/>
  <c r="F15" i="21" a="1"/>
  <c r="F15" i="21" s="1"/>
  <c r="F9" i="21" a="1"/>
  <c r="F9" i="21" s="1"/>
  <c r="M14" i="21" a="1"/>
  <c r="M14" i="21" s="1"/>
  <c r="E16" i="29" s="1"/>
  <c r="M15" i="21" a="1"/>
  <c r="M15" i="21" s="1"/>
  <c r="E17" i="29" s="1"/>
  <c r="M40" i="21" a="1"/>
  <c r="M40" i="21" s="1"/>
  <c r="E42" i="29" s="1"/>
  <c r="F23" i="21" a="1"/>
  <c r="F23" i="21" s="1"/>
  <c r="F11" i="21" a="1"/>
  <c r="F11" i="21" s="1"/>
  <c r="M54" i="21" a="1"/>
  <c r="M54" i="21" s="1"/>
  <c r="E56" i="29" s="1"/>
  <c r="F29" i="21" a="1"/>
  <c r="F29" i="21" s="1"/>
  <c r="F27" i="21" a="1"/>
  <c r="F27" i="21" s="1"/>
  <c r="F39" i="21" a="1"/>
  <c r="F39" i="21" s="1"/>
  <c r="F53" i="21" a="1"/>
  <c r="F53" i="21" s="1"/>
  <c r="M58" i="17"/>
  <c r="M59" i="17"/>
  <c r="M59" i="25"/>
  <c r="M58" i="25"/>
  <c r="S15" i="29" a="1"/>
  <c r="S15" i="29" s="1"/>
  <c r="S13" i="29" a="1"/>
  <c r="S13" i="29" s="1"/>
  <c r="M58" i="18"/>
  <c r="M59" i="18"/>
  <c r="S14" i="29" l="1" a="1"/>
  <c r="S14" i="29" s="1"/>
  <c r="S11" i="29" a="1"/>
  <c r="S11" i="29" s="1"/>
  <c r="N40" i="17" a="1"/>
  <c r="N40" i="17" s="1"/>
  <c r="F42" i="29" s="1"/>
  <c r="N38" i="17" a="1"/>
  <c r="N38" i="17" s="1"/>
  <c r="F40" i="29" s="1"/>
  <c r="N22" i="17" a="1"/>
  <c r="N22" i="17" s="1"/>
  <c r="F24" i="29" s="1"/>
  <c r="N16" i="17" a="1"/>
  <c r="N16" i="17" s="1"/>
  <c r="F18" i="29" s="1"/>
  <c r="N39" i="17" a="1"/>
  <c r="N39" i="17" s="1"/>
  <c r="F41" i="29" s="1"/>
  <c r="N37" i="17" a="1"/>
  <c r="N37" i="17" s="1"/>
  <c r="F39" i="29" s="1"/>
  <c r="N17" i="17" a="1"/>
  <c r="N17" i="17" s="1"/>
  <c r="F19" i="29" s="1"/>
  <c r="N27" i="17" a="1"/>
  <c r="N27" i="17" s="1"/>
  <c r="F29" i="29" s="1"/>
  <c r="N20" i="17" a="1"/>
  <c r="N20" i="17" s="1"/>
  <c r="F22" i="29" s="1"/>
  <c r="N41" i="17" a="1"/>
  <c r="N41" i="17" s="1"/>
  <c r="F43" i="29" s="1"/>
  <c r="N19" i="17" a="1"/>
  <c r="N19" i="17" s="1"/>
  <c r="F21" i="29" s="1"/>
  <c r="N48" i="17" a="1"/>
  <c r="N48" i="17" s="1"/>
  <c r="F50" i="29" s="1"/>
  <c r="N28" i="17" a="1"/>
  <c r="N28" i="17" s="1"/>
  <c r="F30" i="29" s="1"/>
  <c r="N46" i="17" a="1"/>
  <c r="N46" i="17" s="1"/>
  <c r="F48" i="29" s="1"/>
  <c r="N25" i="17" a="1"/>
  <c r="N25" i="17" s="1"/>
  <c r="F27" i="29" s="1"/>
  <c r="N36" i="17" a="1"/>
  <c r="N36" i="17" s="1"/>
  <c r="F38" i="29" s="1"/>
  <c r="N55" i="17" a="1"/>
  <c r="N55" i="17" s="1"/>
  <c r="F57" i="29" s="1"/>
  <c r="N53" i="17" a="1"/>
  <c r="N53" i="17" s="1"/>
  <c r="F55" i="29" s="1"/>
  <c r="N44" i="17" a="1"/>
  <c r="N44" i="17" s="1"/>
  <c r="F46" i="29" s="1"/>
  <c r="N33" i="17" a="1"/>
  <c r="N33" i="17" s="1"/>
  <c r="F35" i="29" s="1"/>
  <c r="N18" i="17" a="1"/>
  <c r="N18" i="17" s="1"/>
  <c r="F20" i="29" s="1"/>
  <c r="N29" i="17" a="1"/>
  <c r="N29" i="17" s="1"/>
  <c r="F31" i="29" s="1"/>
  <c r="N23" i="17" a="1"/>
  <c r="N23" i="17" s="1"/>
  <c r="F25" i="29" s="1"/>
  <c r="N42" i="17" a="1"/>
  <c r="N42" i="17" s="1"/>
  <c r="F44" i="29" s="1"/>
  <c r="N13" i="17" a="1"/>
  <c r="N13" i="17" s="1"/>
  <c r="F15" i="29" s="1"/>
  <c r="N52" i="17" a="1"/>
  <c r="N52" i="17" s="1"/>
  <c r="F54" i="29" s="1"/>
  <c r="N21" i="17" a="1"/>
  <c r="N21" i="17" s="1"/>
  <c r="F23" i="29" s="1"/>
  <c r="N32" i="17" a="1"/>
  <c r="N32" i="17" s="1"/>
  <c r="F34" i="29" s="1"/>
  <c r="N31" i="17" a="1"/>
  <c r="N31" i="17" s="1"/>
  <c r="F33" i="29" s="1"/>
  <c r="N30" i="17" a="1"/>
  <c r="N30" i="17" s="1"/>
  <c r="F32" i="29" s="1"/>
  <c r="N45" i="17" a="1"/>
  <c r="N45" i="17" s="1"/>
  <c r="F47" i="29" s="1"/>
  <c r="N12" i="17" a="1"/>
  <c r="N12" i="17" s="1"/>
  <c r="F14" i="29" s="1"/>
  <c r="N50" i="17" a="1"/>
  <c r="N50" i="17" s="1"/>
  <c r="F52" i="29" s="1"/>
  <c r="N56" i="17" a="1"/>
  <c r="N56" i="17" s="1"/>
  <c r="F58" i="29" s="1"/>
  <c r="N8" i="17" a="1"/>
  <c r="N8" i="17" s="1"/>
  <c r="F10" i="29" s="1"/>
  <c r="N35" i="17" a="1"/>
  <c r="N35" i="17" s="1"/>
  <c r="F37" i="29" s="1"/>
  <c r="N10" i="17" a="1"/>
  <c r="N10" i="17" s="1"/>
  <c r="F12" i="29" s="1"/>
  <c r="N14" i="17" a="1"/>
  <c r="N14" i="17" s="1"/>
  <c r="F16" i="29" s="1"/>
  <c r="N34" i="17" a="1"/>
  <c r="N34" i="17" s="1"/>
  <c r="F36" i="29" s="1"/>
  <c r="N15" i="17" a="1"/>
  <c r="N15" i="17" s="1"/>
  <c r="F17" i="29" s="1"/>
  <c r="N9" i="17" a="1"/>
  <c r="N9" i="17" s="1"/>
  <c r="F11" i="29" s="1"/>
  <c r="N11" i="17" a="1"/>
  <c r="N11" i="17" s="1"/>
  <c r="F13" i="29" s="1"/>
  <c r="N24" i="17" a="1"/>
  <c r="N24" i="17" s="1"/>
  <c r="F26" i="29" s="1"/>
  <c r="N51" i="17" a="1"/>
  <c r="N51" i="17" s="1"/>
  <c r="F53" i="29" s="1"/>
  <c r="N26" i="17" a="1"/>
  <c r="N26" i="17" s="1"/>
  <c r="F28" i="29" s="1"/>
  <c r="N47" i="17" a="1"/>
  <c r="N47" i="17" s="1"/>
  <c r="F49" i="29" s="1"/>
  <c r="N7" i="17" a="1"/>
  <c r="N7" i="17" s="1"/>
  <c r="F9" i="29" s="1"/>
  <c r="N49" i="17" a="1"/>
  <c r="N49" i="17" s="1"/>
  <c r="F51" i="29" s="1"/>
  <c r="N54" i="17" a="1"/>
  <c r="N54" i="17" s="1"/>
  <c r="F56" i="29" s="1"/>
  <c r="N43" i="17" a="1"/>
  <c r="N43" i="17" s="1"/>
  <c r="F45" i="29" s="1"/>
  <c r="N16" i="25" a="1"/>
  <c r="N16" i="25" s="1"/>
  <c r="J18" i="29" s="1"/>
  <c r="N34" i="25" a="1"/>
  <c r="N34" i="25" s="1"/>
  <c r="J36" i="29" s="1"/>
  <c r="N50" i="25" a="1"/>
  <c r="N50" i="25" s="1"/>
  <c r="J52" i="29" s="1"/>
  <c r="N31" i="25" a="1"/>
  <c r="N31" i="25" s="1"/>
  <c r="J33" i="29" s="1"/>
  <c r="N7" i="25" a="1"/>
  <c r="N7" i="25" s="1"/>
  <c r="J9" i="29" s="1"/>
  <c r="N17" i="25" a="1"/>
  <c r="N17" i="25" s="1"/>
  <c r="J19" i="29" s="1"/>
  <c r="N39" i="25" a="1"/>
  <c r="N39" i="25" s="1"/>
  <c r="J41" i="29" s="1"/>
  <c r="N22" i="25" a="1"/>
  <c r="N22" i="25" s="1"/>
  <c r="J24" i="29" s="1"/>
  <c r="N9" i="25" a="1"/>
  <c r="N9" i="25" s="1"/>
  <c r="J11" i="29" s="1"/>
  <c r="N44" i="25" a="1"/>
  <c r="N44" i="25" s="1"/>
  <c r="J46" i="29" s="1"/>
  <c r="N14" i="25" a="1"/>
  <c r="N14" i="25" s="1"/>
  <c r="J16" i="29" s="1"/>
  <c r="N29" i="25" a="1"/>
  <c r="N29" i="25" s="1"/>
  <c r="J31" i="29" s="1"/>
  <c r="N27" i="25" a="1"/>
  <c r="N27" i="25" s="1"/>
  <c r="J29" i="29" s="1"/>
  <c r="N20" i="25" a="1"/>
  <c r="N20" i="25" s="1"/>
  <c r="J22" i="29" s="1"/>
  <c r="N38" i="25" a="1"/>
  <c r="N38" i="25" s="1"/>
  <c r="J40" i="29" s="1"/>
  <c r="N40" i="25" a="1"/>
  <c r="N40" i="25" s="1"/>
  <c r="J42" i="29" s="1"/>
  <c r="N46" i="25" a="1"/>
  <c r="N46" i="25" s="1"/>
  <c r="J48" i="29" s="1"/>
  <c r="N11" i="25" a="1"/>
  <c r="N11" i="25" s="1"/>
  <c r="J13" i="29" s="1"/>
  <c r="N28" i="25" a="1"/>
  <c r="N28" i="25" s="1"/>
  <c r="J30" i="29" s="1"/>
  <c r="N43" i="25" a="1"/>
  <c r="N43" i="25" s="1"/>
  <c r="J45" i="29" s="1"/>
  <c r="N48" i="25" a="1"/>
  <c r="N48" i="25" s="1"/>
  <c r="J50" i="29" s="1"/>
  <c r="N33" i="25" a="1"/>
  <c r="N33" i="25" s="1"/>
  <c r="J35" i="29" s="1"/>
  <c r="N45" i="25" a="1"/>
  <c r="N45" i="25" s="1"/>
  <c r="J47" i="29" s="1"/>
  <c r="N36" i="25" a="1"/>
  <c r="N36" i="25" s="1"/>
  <c r="J38" i="29" s="1"/>
  <c r="N53" i="25" a="1"/>
  <c r="N53" i="25" s="1"/>
  <c r="J55" i="29" s="1"/>
  <c r="N12" i="25" a="1"/>
  <c r="N12" i="25" s="1"/>
  <c r="J14" i="29" s="1"/>
  <c r="N10" i="25" a="1"/>
  <c r="N10" i="25" s="1"/>
  <c r="J12" i="29" s="1"/>
  <c r="N18" i="25" a="1"/>
  <c r="N18" i="25" s="1"/>
  <c r="J20" i="29" s="1"/>
  <c r="N24" i="25" a="1"/>
  <c r="N24" i="25" s="1"/>
  <c r="J26" i="29" s="1"/>
  <c r="N23" i="25" a="1"/>
  <c r="N23" i="25" s="1"/>
  <c r="J25" i="29" s="1"/>
  <c r="N32" i="25" a="1"/>
  <c r="N32" i="25" s="1"/>
  <c r="J34" i="29" s="1"/>
  <c r="N25" i="25" a="1"/>
  <c r="N25" i="25" s="1"/>
  <c r="J27" i="29" s="1"/>
  <c r="N8" i="25" a="1"/>
  <c r="N8" i="25" s="1"/>
  <c r="J10" i="29" s="1"/>
  <c r="N41" i="25" a="1"/>
  <c r="N41" i="25" s="1"/>
  <c r="J43" i="29" s="1"/>
  <c r="N52" i="25" a="1"/>
  <c r="N52" i="25" s="1"/>
  <c r="J54" i="29" s="1"/>
  <c r="N51" i="25" a="1"/>
  <c r="N51" i="25" s="1"/>
  <c r="J53" i="29" s="1"/>
  <c r="N15" i="25" a="1"/>
  <c r="N15" i="25" s="1"/>
  <c r="J17" i="29" s="1"/>
  <c r="N47" i="25" a="1"/>
  <c r="N47" i="25" s="1"/>
  <c r="J49" i="29" s="1"/>
  <c r="N35" i="25" a="1"/>
  <c r="N35" i="25" s="1"/>
  <c r="J37" i="29" s="1"/>
  <c r="N13" i="25" a="1"/>
  <c r="N13" i="25" s="1"/>
  <c r="J15" i="29" s="1"/>
  <c r="N37" i="25" a="1"/>
  <c r="N37" i="25" s="1"/>
  <c r="J39" i="29" s="1"/>
  <c r="N21" i="25" a="1"/>
  <c r="N21" i="25" s="1"/>
  <c r="J23" i="29" s="1"/>
  <c r="N42" i="25" a="1"/>
  <c r="N42" i="25" s="1"/>
  <c r="J44" i="29" s="1"/>
  <c r="N26" i="25" a="1"/>
  <c r="N26" i="25" s="1"/>
  <c r="J28" i="29" s="1"/>
  <c r="N49" i="25" a="1"/>
  <c r="N49" i="25" s="1"/>
  <c r="J51" i="29" s="1"/>
  <c r="N56" i="25" a="1"/>
  <c r="N56" i="25" s="1"/>
  <c r="J58" i="29" s="1"/>
  <c r="N30" i="25" a="1"/>
  <c r="N30" i="25" s="1"/>
  <c r="J32" i="29" s="1"/>
  <c r="N55" i="25" a="1"/>
  <c r="N55" i="25" s="1"/>
  <c r="J57" i="29" s="1"/>
  <c r="N54" i="25" a="1"/>
  <c r="N54" i="25" s="1"/>
  <c r="J56" i="29" s="1"/>
  <c r="N19" i="25" a="1"/>
  <c r="N19" i="25" s="1"/>
  <c r="J21" i="29" s="1"/>
  <c r="N9" i="18" a="1"/>
  <c r="N9" i="18" s="1"/>
  <c r="C11" i="29" s="1"/>
  <c r="N12" i="18" a="1"/>
  <c r="N12" i="18" s="1"/>
  <c r="C14" i="29" s="1"/>
  <c r="N7" i="18" a="1"/>
  <c r="N7" i="18" s="1"/>
  <c r="C9" i="29" s="1"/>
  <c r="N41" i="18" a="1"/>
  <c r="N41" i="18" s="1"/>
  <c r="C43" i="29" s="1"/>
  <c r="N29" i="18" a="1"/>
  <c r="N29" i="18" s="1"/>
  <c r="C31" i="29" s="1"/>
  <c r="N19" i="18" a="1"/>
  <c r="N19" i="18" s="1"/>
  <c r="C21" i="29" s="1"/>
  <c r="N25" i="18" a="1"/>
  <c r="N25" i="18" s="1"/>
  <c r="C27" i="29" s="1"/>
  <c r="N24" i="18" a="1"/>
  <c r="N24" i="18" s="1"/>
  <c r="C26" i="29" s="1"/>
  <c r="N55" i="18" a="1"/>
  <c r="N55" i="18" s="1"/>
  <c r="C57" i="29" s="1"/>
  <c r="N8" i="18" a="1"/>
  <c r="N8" i="18" s="1"/>
  <c r="C10" i="29" s="1"/>
  <c r="N10" i="18" a="1"/>
  <c r="N10" i="18" s="1"/>
  <c r="C12" i="29" s="1"/>
  <c r="N34" i="18" a="1"/>
  <c r="N34" i="18" s="1"/>
  <c r="C36" i="29" s="1"/>
  <c r="N44" i="18" a="1"/>
  <c r="N44" i="18" s="1"/>
  <c r="C46" i="29" s="1"/>
  <c r="N38" i="18" a="1"/>
  <c r="N38" i="18" s="1"/>
  <c r="C40" i="29" s="1"/>
  <c r="N23" i="18" a="1"/>
  <c r="N23" i="18" s="1"/>
  <c r="C25" i="29" s="1"/>
  <c r="N11" i="18" a="1"/>
  <c r="N11" i="18" s="1"/>
  <c r="C13" i="29" s="1"/>
  <c r="N20" i="18" a="1"/>
  <c r="N20" i="18" s="1"/>
  <c r="C22" i="29" s="1"/>
  <c r="N50" i="18" a="1"/>
  <c r="N50" i="18" s="1"/>
  <c r="C52" i="29" s="1"/>
  <c r="N17" i="18" a="1"/>
  <c r="N17" i="18" s="1"/>
  <c r="C19" i="29" s="1"/>
  <c r="N42" i="18" a="1"/>
  <c r="N42" i="18" s="1"/>
  <c r="C44" i="29" s="1"/>
  <c r="N36" i="18" a="1"/>
  <c r="N36" i="18" s="1"/>
  <c r="C38" i="29" s="1"/>
  <c r="N18" i="18" a="1"/>
  <c r="N18" i="18" s="1"/>
  <c r="C20" i="29" s="1"/>
  <c r="N35" i="18" a="1"/>
  <c r="N35" i="18" s="1"/>
  <c r="C37" i="29" s="1"/>
  <c r="N39" i="18" a="1"/>
  <c r="N39" i="18" s="1"/>
  <c r="C41" i="29" s="1"/>
  <c r="N22" i="18" a="1"/>
  <c r="N22" i="18" s="1"/>
  <c r="C24" i="29" s="1"/>
  <c r="N31" i="18" a="1"/>
  <c r="N31" i="18" s="1"/>
  <c r="C33" i="29" s="1"/>
  <c r="N32" i="18" a="1"/>
  <c r="N32" i="18" s="1"/>
  <c r="C34" i="29" s="1"/>
  <c r="N45" i="18" a="1"/>
  <c r="N45" i="18" s="1"/>
  <c r="C47" i="29" s="1"/>
  <c r="N30" i="18" a="1"/>
  <c r="N30" i="18" s="1"/>
  <c r="C32" i="29" s="1"/>
  <c r="N40" i="18" a="1"/>
  <c r="N40" i="18" s="1"/>
  <c r="C42" i="29" s="1"/>
  <c r="N54" i="18" a="1"/>
  <c r="N54" i="18" s="1"/>
  <c r="C56" i="29" s="1"/>
  <c r="N43" i="18" a="1"/>
  <c r="N43" i="18" s="1"/>
  <c r="C45" i="29" s="1"/>
  <c r="N27" i="18" a="1"/>
  <c r="N27" i="18" s="1"/>
  <c r="C29" i="29" s="1"/>
  <c r="N52" i="18" a="1"/>
  <c r="N52" i="18" s="1"/>
  <c r="C54" i="29" s="1"/>
  <c r="N37" i="18" a="1"/>
  <c r="N37" i="18" s="1"/>
  <c r="C39" i="29" s="1"/>
  <c r="N28" i="18" a="1"/>
  <c r="N28" i="18" s="1"/>
  <c r="C30" i="29" s="1"/>
  <c r="N21" i="18" a="1"/>
  <c r="N21" i="18" s="1"/>
  <c r="C23" i="29" s="1"/>
  <c r="N49" i="18" a="1"/>
  <c r="N49" i="18" s="1"/>
  <c r="C51" i="29" s="1"/>
  <c r="N56" i="18" a="1"/>
  <c r="N56" i="18" s="1"/>
  <c r="C58" i="29" s="1"/>
  <c r="N53" i="18" a="1"/>
  <c r="N53" i="18" s="1"/>
  <c r="C55" i="29" s="1"/>
  <c r="N33" i="18" a="1"/>
  <c r="N33" i="18" s="1"/>
  <c r="C35" i="29" s="1"/>
  <c r="N13" i="18" a="1"/>
  <c r="N13" i="18" s="1"/>
  <c r="C15" i="29" s="1"/>
  <c r="N46" i="18" a="1"/>
  <c r="N46" i="18" s="1"/>
  <c r="C48" i="29" s="1"/>
  <c r="N51" i="18" a="1"/>
  <c r="N51" i="18" s="1"/>
  <c r="C53" i="29" s="1"/>
  <c r="N14" i="18" a="1"/>
  <c r="N14" i="18" s="1"/>
  <c r="C16" i="29" s="1"/>
  <c r="N47" i="18" a="1"/>
  <c r="N47" i="18" s="1"/>
  <c r="C49" i="29" s="1"/>
  <c r="N16" i="18" a="1"/>
  <c r="N16" i="18" s="1"/>
  <c r="C18" i="29" s="1"/>
  <c r="N15" i="18" a="1"/>
  <c r="N15" i="18" s="1"/>
  <c r="C17" i="29" s="1"/>
  <c r="N26" i="18" a="1"/>
  <c r="N26" i="18" s="1"/>
  <c r="C28" i="29" s="1"/>
  <c r="N48" i="18" a="1"/>
  <c r="N48" i="18" s="1"/>
  <c r="C50" i="29" s="1"/>
  <c r="S9" i="29" l="1" a="1"/>
  <c r="S9" i="29" s="1"/>
  <c r="S10" i="29" a="1"/>
  <c r="S10" i="29" s="1"/>
  <c r="S16" i="29" a="1"/>
  <c r="S16" i="29" s="1"/>
  <c r="S12" i="29" a="1"/>
  <c r="S12" i="29" s="1"/>
  <c r="L23" i="29"/>
  <c r="L39" i="29"/>
  <c r="L47" i="29"/>
  <c r="L52" i="29"/>
  <c r="L57" i="29"/>
  <c r="L15" i="29"/>
  <c r="L12" i="29"/>
  <c r="L13" i="29"/>
  <c r="L21" i="29"/>
  <c r="L54" i="29"/>
  <c r="L33" i="29"/>
  <c r="L9" i="29"/>
  <c r="L28" i="29"/>
  <c r="L27" i="29"/>
  <c r="L44" i="29"/>
  <c r="L14" i="29"/>
  <c r="L51" i="29"/>
  <c r="L16" i="29"/>
  <c r="L31" i="29"/>
  <c r="L53" i="29"/>
  <c r="L38" i="29"/>
  <c r="L46" i="29"/>
  <c r="L48" i="29"/>
  <c r="L50" i="29"/>
  <c r="L30" i="29"/>
  <c r="L34" i="29"/>
  <c r="L43" i="29"/>
  <c r="L20" i="29"/>
  <c r="L36" i="29"/>
  <c r="L22" i="29"/>
  <c r="L41" i="29"/>
  <c r="L29" i="29"/>
  <c r="L24" i="29"/>
  <c r="L32" i="29"/>
  <c r="L35" i="29"/>
  <c r="L17" i="29"/>
  <c r="L26" i="29"/>
  <c r="L11" i="29"/>
  <c r="L18" i="29"/>
  <c r="L37" i="29"/>
  <c r="L25" i="29"/>
  <c r="L19" i="29"/>
  <c r="L10" i="29"/>
  <c r="L55" i="29"/>
  <c r="L45" i="29"/>
  <c r="L58" i="29"/>
  <c r="L56" i="29"/>
  <c r="L49" i="29"/>
  <c r="L42" i="29"/>
  <c r="L40" i="29"/>
  <c r="K11" i="29"/>
  <c r="K51" i="29"/>
  <c r="K42" i="29"/>
  <c r="K20" i="29"/>
  <c r="K40" i="29"/>
  <c r="K27" i="29"/>
  <c r="K46" i="29"/>
  <c r="K21" i="29"/>
  <c r="K36" i="29"/>
  <c r="K31" i="29"/>
  <c r="K16" i="29"/>
  <c r="K53" i="29"/>
  <c r="K30" i="29"/>
  <c r="K47" i="29"/>
  <c r="K44" i="29"/>
  <c r="K48" i="29"/>
  <c r="K39" i="29"/>
  <c r="K34" i="29"/>
  <c r="K19" i="29"/>
  <c r="K12" i="29"/>
  <c r="K43" i="29"/>
  <c r="K49" i="29"/>
  <c r="K38" i="29"/>
  <c r="K15" i="29"/>
  <c r="K52" i="29"/>
  <c r="K10" i="29"/>
  <c r="K9" i="29"/>
  <c r="K32" i="29"/>
  <c r="K50" i="29"/>
  <c r="K54" i="29"/>
  <c r="K28" i="29"/>
  <c r="K35" i="29"/>
  <c r="K29" i="29"/>
  <c r="K24" i="29"/>
  <c r="K22" i="29"/>
  <c r="K57" i="29"/>
  <c r="K14" i="29"/>
  <c r="K23" i="29"/>
  <c r="K17" i="29"/>
  <c r="K55" i="29"/>
  <c r="K45" i="29"/>
  <c r="K41" i="29"/>
  <c r="K13" i="29"/>
  <c r="K26" i="29"/>
  <c r="K33" i="29"/>
  <c r="K18" i="29"/>
  <c r="K58" i="29"/>
  <c r="K56" i="29"/>
  <c r="K37" i="29"/>
  <c r="K25"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tc={34371749-C027-154D-8185-18410BE8BBF7}</author>
    <author>tc={5E35C317-A555-9D48-9A80-27A784AF7DCA}</author>
    <author>tc={0793DD18-7DEF-4330-AFB9-19F65522EA27}</author>
    <author>tc={721208BA-994C-4152-B61B-4558CC853069}</author>
    <author>tc={4E6FD333-D416-4D83-846C-EDC421535738}</author>
    <author>tc={FC9F7769-A365-477B-8964-AE5B245D3010}</author>
    <author>tc={B6F7E8CB-7ABF-45DF-ADC5-33FE70E394DE}</author>
    <author>tc={E9F8EA75-5711-4811-A448-199D22D7C39B}</author>
    <author>tc={05B46D02-5F83-DF4F-8441-0D96146393D8}</author>
    <author>tc={A5C3D83F-1286-1B45-9D0F-FE32CF8FF5D3}</author>
  </authors>
  <commentList>
    <comment ref="CR6" authorId="0" shapeId="0" xr:uid="{34371749-C027-154D-8185-18410BE8BBF7}">
      <text>
        <t>[Threaded comment]
Your version of Excel allows you to read this threaded comment; however, any edits to it will get removed if the file is opened in a newer version of Excel. Learn more: https://go.microsoft.com/fwlink/?linkid=870924
Comment:
    I’m not sure I understand the parenthetical comment here or in columns DC, DE, and DH.
Reply:
    @Kyle Clark-Sutton Basically, those states that have microalgae production values do not overlap with those that have seaweed aquaculture (Alaska, Connecticut, Maine, etc. have seaweed aquaculture whereas California, Florida, etc. have microalgae production). As a result, I didn't think it was fair to rate a state medium if they only had one or the other, because then every state would be either a low or medium. The weighting rule is as follows: (high) - either macroalgae or microalgae production, (medium) no production, but farms present, (low) no production or farms. Do you have a suggestion for how to explain this simply in the sheet?</t>
      </text>
    </comment>
    <comment ref="O7" authorId="1" shapeId="0" xr:uid="{5E35C317-A555-9D48-9A80-27A784AF7DCA}">
      <text>
        <t>[Threaded comment]
Your version of Excel allows you to read this threaded comment; however, any edits to it will get removed if the file is opened in a newer version of Excel. Learn more: https://go.microsoft.com/fwlink/?linkid=870924
Comment:
    @Jane Sadler, if it says yes in these columns, are the details in the Airtable? CC @Isabel Wood
Reply:
    yes, and in the overflow spreadsheet</t>
      </text>
    </comment>
    <comment ref="Q7" authorId="2" shapeId="0" xr:uid="{0793DD18-7DEF-4330-AFB9-19F65522EA27}">
      <text>
        <t>[Threaded comment]
Your version of Excel allows you to read this threaded comment; however, any edits to it will get removed if the file is opened in a newer version of Excel. Learn more: https://go.microsoft.com/fwlink/?linkid=870924
Comment:
    @Isabel Wood two things on this metric: 
-Do we want to add the word “policy?”
-Metadata tab had yes with a route for CDR and yes without a route for CDR, but all the data Is either yes/no. I’m changing the metadata and slide deck to yes/no but let me know if we have additional information and we can switch back
Reply:
    1. Yes, add “policy” 2.  Sounds good to me
Reply:
    @Gareth Westler</t>
      </text>
    </comment>
    <comment ref="Y7" authorId="3" shapeId="0" xr:uid="{721208BA-994C-4152-B61B-4558CC853069}">
      <text>
        <t>[Threaded comment]
Your version of Excel allows you to read this threaded comment; however, any edits to it will get removed if the file is opened in a newer version of Excel. Learn more: https://go.microsoft.com/fwlink/?linkid=870924
Comment:
    @Isabel Wood do we want to add “policy” or “program” to this after “cap and trade”?
Reply:
    Yes! Let’s add program. “Is there a cap and trade program with a CDR offset route?”
Reply:
    @Gareth Westler</t>
      </text>
    </comment>
    <comment ref="AE7" authorId="4" shapeId="0" xr:uid="{4E6FD333-D416-4D83-846C-EDC421535738}">
      <text>
        <t>[Threaded comment]
Your version of Excel allows you to read this threaded comment; however, any edits to it will get removed if the file is opened in a newer version of Excel. Learn more: https://go.microsoft.com/fwlink/?linkid=870924
Comment:
    May be out of date - asking for feedback; if determined useful, will update</t>
      </text>
    </comment>
    <comment ref="AG7" authorId="5" shapeId="0" xr:uid="{FC9F7769-A365-477B-8964-AE5B245D3010}">
      <text>
        <t>[Threaded comment]
Your version of Excel allows you to read this threaded comment; however, any edits to it will get removed if the file is opened in a newer version of Excel. Learn more: https://go.microsoft.com/fwlink/?linkid=870924
Comment:
    May be out of date - asking for feedback; if determined useful, will update</t>
      </text>
    </comment>
    <comment ref="AH7" authorId="6" shapeId="0" xr:uid="{B6F7E8CB-7ABF-45DF-ADC5-33FE70E394DE}">
      <text>
        <t>[Threaded comment]
Your version of Excel allows you to read this threaded comment; however, any edits to it will get removed if the file is opened in a newer version of Excel. Learn more: https://go.microsoft.com/fwlink/?linkid=870924
Comment:
    May be out of date - asking for feedback; if determined useful, will update</t>
      </text>
    </comment>
    <comment ref="BN7" authorId="7" shapeId="0" xr:uid="{E9F8EA75-5711-4811-A448-199D22D7C39B}">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@Kyle Clark-Sutton upon reflection with our conversation with Charm, I think we should only include class 5 primacy. They convert abandoned class 2 wells to class 5, so primacy for class 2 would not be relevant. Plus, I looked at the EPA website, and class 2 is split into three categories: (1) EOR which we probably don't want to incentivize, (2) brine disposal, and (3) liquid hydrocarbon storage. Do you think this makes sense? Maybe we include someone from Vaulted Deep in external review?</t>
      </text>
    </comment>
    <comment ref="DK7" authorId="8" shapeId="0" xr:uid="{05B46D02-5F83-DF4F-8441-0D96146393D8}">
      <text>
        <t>[Threaded comment]
Your version of Excel allows you to read this threaded comment; however, any edits to it will get removed if the file is opened in a newer version of Excel. Learn more: https://go.microsoft.com/fwlink/?linkid=870924
Comment:
    Normalizing installed capacity, actual generation, and planned interconnections to total energy consumption per state</t>
      </text>
    </comment>
    <comment ref="H38" authorId="9" shapeId="0" xr:uid="{A5C3D83F-1286-1B45-9D0F-FE32CF8FF5D3}">
      <text>
        <t>[Threaded comment]
Your version of Excel allows you to read this threaded comment; however, any edits to it will get removed if the file is opened in a newer version of Excel. Learn more: https://go.microsoft.com/fwlink/?linkid=870924
Comment:
    CAP in progress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tc={010A5212-E1C7-4C45-97D4-C8FE55736C22}</author>
  </authors>
  <commentList>
    <comment ref="AL9" authorId="0" shapeId="0" xr:uid="{010A5212-E1C7-4C45-97D4-C8FE55736C22}">
      <text>
        <t xml:space="preserve">[Threaded comment]
Your version of Excel allows you to read this threaded comment; however, any edits to it will get removed if the file is opened in a newer version of Excel. Learn more: https://go.microsoft.com/fwlink/?linkid=870924
Comment:
    This is a four digit rather than 3 digit NAICS code because the 3 digit included animal agriculture which is too big and too irrelevant to this category. It would really skew the state rankings.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<sst xmlns="http://schemas.openxmlformats.org/spreadsheetml/2006/main" count="4381" uniqueCount="934">
  <si>
    <t>State CDR Atlas</t>
  </si>
  <si>
    <t>READ ME &amp; Changelog</t>
  </si>
  <si>
    <t>(Last Updated: 11/5/24)</t>
  </si>
  <si>
    <t>ABOUT THE ATLAS</t>
  </si>
  <si>
    <r>
      <rPr>
        <sz val="11"/>
        <color rgb="FF000000"/>
        <rFont val="Roboto"/>
      </rPr>
      <t xml:space="preserve">The </t>
    </r>
    <r>
      <rPr>
        <i/>
        <sz val="11"/>
        <color rgb="FF000000"/>
        <rFont val="Roboto"/>
      </rPr>
      <t>State</t>
    </r>
    <r>
      <rPr>
        <sz val="11"/>
        <color rgb="FF000000"/>
        <rFont val="Roboto"/>
      </rPr>
      <t xml:space="preserve"> </t>
    </r>
    <r>
      <rPr>
        <i/>
        <sz val="11"/>
        <color rgb="FF000000"/>
        <rFont val="Roboto"/>
      </rPr>
      <t>Carbon Dioxide Removal (CDR) Atlas</t>
    </r>
    <r>
      <rPr>
        <sz val="11"/>
        <color rgb="FF000000"/>
        <rFont val="Roboto"/>
      </rPr>
      <t xml:space="preserve"> is a data atlas intended to aggregate and synthesize key metrics that shed light on how states can build the enabling environment for CDR. 
Metrics in the Atlas fall into 16 different categories covering the policy and regulatory environment, natural resources, and infrastructure. We also bundle metric categories according to relevance for 8 different approaches to carbon removal. See below for a description of metric categories and approaches. 
You can</t>
    </r>
    <r>
      <rPr>
        <sz val="11"/>
        <color rgb="FFFF0000"/>
        <rFont val="Roboto"/>
      </rPr>
      <t xml:space="preserve"> access the interactive version of the Atlas at https://rmi.org/state-cdr-atlas/</t>
    </r>
    <r>
      <rPr>
        <sz val="11"/>
        <color rgb="FF000000"/>
        <rFont val="Roboto"/>
      </rPr>
      <t xml:space="preserve">. This workbook holds the raw data feeding the State CDR Atlas and contains the following tabs:
</t>
    </r>
  </si>
  <si>
    <r>
      <rPr>
        <b/>
        <sz val="11"/>
        <color rgb="FF000000"/>
        <rFont val="Roboto"/>
      </rPr>
      <t>Opportunity Ratings</t>
    </r>
    <r>
      <rPr>
        <sz val="11"/>
        <color rgb="FF000000"/>
        <rFont val="Roboto"/>
      </rPr>
      <t> shed light on the potential for a state to do a certain type of CDR. These scores are based on metrics like natural resources, existing infrastructure, and other factors that already exist in a state.</t>
    </r>
  </si>
  <si>
    <t>- Data Summary: Use this tab to explore some of the workbook data by selecting a state or CDR category to see synthesis data.
- Metric Metadata: This tab contains source and units information for all metrics used in the Atlas
- Metric Categories 1-14: This tab contains the raw data and ratings for the first 14 metric categories listed below. 
- 15. Workforce Calcs &amp; 16. Existing HQs and Projects: These tabs hold metric categories (similar to Metric Categories 1-14) that required a larger amount of space to calculate
- CDR Category Tabs: These tabs aggregate data from the Metric Categories according to CDR approach category.</t>
  </si>
  <si>
    <r>
      <rPr>
        <b/>
        <sz val="11"/>
        <color rgb="FF000000"/>
        <rFont val="Roboto"/>
      </rPr>
      <t>Enabling Policy Ratings</t>
    </r>
    <r>
      <rPr>
        <sz val="11"/>
        <color rgb="FF000000"/>
        <rFont val="Roboto"/>
      </rPr>
      <t xml:space="preserve"> illuminate policy that is currently working for or against CDR deployment in a state. These scores are not related to the potential for a state to do CDR but rather the enabling regulatory and legislative environment.</t>
    </r>
  </si>
  <si>
    <t xml:space="preserve">Please contact Kyle Clark-Sutton (kclarksutton@rmi.org) or Isabel Wood (iwood@rmi.org) for questions and feedback. </t>
  </si>
  <si>
    <t>METRIC CATEGORIES</t>
  </si>
  <si>
    <t>#</t>
  </si>
  <si>
    <t>Opportunity or Enabling Policy?</t>
  </si>
  <si>
    <t>Metric Category</t>
  </si>
  <si>
    <t># of metrics</t>
  </si>
  <si>
    <t>Direct Air Capture</t>
  </si>
  <si>
    <t>Direct Ocean Capture</t>
  </si>
  <si>
    <t>Ocean Geo-chemical CDR</t>
  </si>
  <si>
    <t>Carbon Mineralization</t>
  </si>
  <si>
    <t>Terrestrial Enhanced Weathering (TEW)</t>
  </si>
  <si>
    <t>Ocean Biomass CDR</t>
  </si>
  <si>
    <t>Terrestrial Biomass CDR</t>
  </si>
  <si>
    <t>Bioenergy + CCS</t>
  </si>
  <si>
    <t>Enabling Policy</t>
  </si>
  <si>
    <t>Climate Governance</t>
  </si>
  <si>
    <t>●</t>
  </si>
  <si>
    <t>Supply/Demand Incentives</t>
  </si>
  <si>
    <t>Community Engagement + Environmental Justice Policy</t>
  </si>
  <si>
    <r>
      <t>CO</t>
    </r>
    <r>
      <rPr>
        <vertAlign val="subscript"/>
        <sz val="12"/>
        <color rgb="FF000000"/>
        <rFont val="Roboto"/>
      </rPr>
      <t xml:space="preserve">2 </t>
    </r>
    <r>
      <rPr>
        <sz val="12"/>
        <color rgb="FF000000"/>
        <rFont val="Roboto"/>
      </rPr>
      <t>Regulatory Clarity</t>
    </r>
  </si>
  <si>
    <t>Biomass Injection Well Regulatory Clarity</t>
  </si>
  <si>
    <t>Opportunity</t>
  </si>
  <si>
    <t>Farm Coverage</t>
  </si>
  <si>
    <t>Biomass Availability</t>
  </si>
  <si>
    <t>Coastal Access</t>
  </si>
  <si>
    <t>Biomass Injection Well Access</t>
  </si>
  <si>
    <t>Clean Energy Availability</t>
  </si>
  <si>
    <t>Mineral Feedstock Accessibility</t>
  </si>
  <si>
    <r>
      <t>CO</t>
    </r>
    <r>
      <rPr>
        <vertAlign val="subscript"/>
        <sz val="12"/>
        <color rgb="FF000000"/>
        <rFont val="Roboto"/>
      </rPr>
      <t>2</t>
    </r>
    <r>
      <rPr>
        <sz val="12"/>
        <color rgb="FF000000"/>
        <rFont val="Roboto"/>
      </rPr>
      <t xml:space="preserve"> Infrastructure</t>
    </r>
  </si>
  <si>
    <r>
      <t>CO</t>
    </r>
    <r>
      <rPr>
        <vertAlign val="subscript"/>
        <sz val="12"/>
        <color rgb="FF000000"/>
        <rFont val="Roboto"/>
      </rPr>
      <t>2</t>
    </r>
    <r>
      <rPr>
        <sz val="12"/>
        <color rgb="FF000000"/>
        <rFont val="Roboto"/>
      </rPr>
      <t xml:space="preserve"> Geologic Storage Potential</t>
    </r>
  </si>
  <si>
    <t xml:space="preserve">Industrial Integration </t>
  </si>
  <si>
    <t>Workforce Relevance</t>
  </si>
  <si>
    <t>Varies</t>
  </si>
  <si>
    <t>Existing CDR HQs / projects</t>
  </si>
  <si>
    <t>CDR APPROACH CATEGORIES</t>
  </si>
  <si>
    <t>CDR Approach Category</t>
  </si>
  <si>
    <t>Included Approaches</t>
  </si>
  <si>
    <t>Why is this a category?</t>
  </si>
  <si>
    <t>Direct Air Capture (DAC)</t>
  </si>
  <si>
    <t>All types of DAC</t>
  </si>
  <si>
    <t>Requires clean energy as an input and clear carbon management regulations</t>
  </si>
  <si>
    <t>Direct Ocean Capture (DOC)</t>
  </si>
  <si>
    <r>
      <rPr>
        <sz val="10"/>
        <color rgb="FF000000"/>
        <rFont val="Roboto"/>
      </rPr>
      <t>Electrochemical alkalinity production, CO</t>
    </r>
    <r>
      <rPr>
        <vertAlign val="subscript"/>
        <sz val="12"/>
        <color rgb="FF000000"/>
        <rFont val="Roboto"/>
      </rPr>
      <t>2</t>
    </r>
    <r>
      <rPr>
        <sz val="12"/>
        <color rgb="FF000000"/>
        <rFont val="Roboto"/>
      </rPr>
      <t xml:space="preserve"> stripping</t>
    </r>
  </si>
  <si>
    <t>Requires clean energy, clear carbon management regulations, but also access to the coast and clear regulations for ocean deployment</t>
  </si>
  <si>
    <t>Ocean Geochemical CDR</t>
  </si>
  <si>
    <t>Coastal enhanced weathering, ocean alkalinity enhancement</t>
  </si>
  <si>
    <t>Requires access to the coast, clear regulations for ocean deployment, and an abundant mineral feedstock; note that this category includes ratings for states with shoreline access to the Great Lakes</t>
  </si>
  <si>
    <t>Surficial mineralization</t>
  </si>
  <si>
    <t>Requires an abundant mineral feedstock and existing industry to capitalize on industrial waste</t>
  </si>
  <si>
    <t>Terrestrial enhanced weathering</t>
  </si>
  <si>
    <t>Requires abundant mineral feedstock as well as plenty of the correct land to deploy on</t>
  </si>
  <si>
    <t>Macroalgae and microalgae sinking</t>
  </si>
  <si>
    <t>Requires biomass feedstock, access to the coast, and clear regulations for ocean deployment</t>
  </si>
  <si>
    <t>Biochar, bio-oil, biomass burial, biomass building materials</t>
  </si>
  <si>
    <r>
      <t>Requires biomass feedstock and clear regulations for waste disposal in nonCO</t>
    </r>
    <r>
      <rPr>
        <vertAlign val="subscript"/>
        <sz val="12"/>
        <color rgb="FF000000"/>
        <rFont val="Roboto"/>
      </rPr>
      <t>2</t>
    </r>
    <r>
      <rPr>
        <sz val="12"/>
        <color rgb="FF000000"/>
        <rFont val="Roboto"/>
      </rPr>
      <t xml:space="preserve"> wells</t>
    </r>
  </si>
  <si>
    <t>Bioenergy with carbon capture and storage (BECCS)</t>
  </si>
  <si>
    <t>BECCS to fuels, BECCS to electricity</t>
  </si>
  <si>
    <t>Requires biomass feedstock, clean energy, and clear carbon management regulations</t>
  </si>
  <si>
    <t>Changelog</t>
  </si>
  <si>
    <t xml:space="preserve">Date </t>
  </si>
  <si>
    <t>Description of Changes</t>
  </si>
  <si>
    <t>State CDR Atlas Released</t>
  </si>
  <si>
    <t>Data Summary</t>
  </si>
  <si>
    <t>50 State Opportunity Summary</t>
  </si>
  <si>
    <t>State Summary Tables</t>
  </si>
  <si>
    <t>SELECT STATE &gt;&gt;</t>
  </si>
  <si>
    <t>Arizona</t>
  </si>
  <si>
    <t>State</t>
  </si>
  <si>
    <t>Terrestrial Enhanced Weathering</t>
  </si>
  <si>
    <t>Ocean Biomass CDR*</t>
  </si>
  <si>
    <t>Average</t>
  </si>
  <si>
    <t>Average (rounded)</t>
  </si>
  <si>
    <t>Rating</t>
  </si>
  <si>
    <t>Alabama</t>
  </si>
  <si>
    <t>Climate governance aggregated score</t>
  </si>
  <si>
    <t>Alaska</t>
  </si>
  <si>
    <t>Supply and demand aggregated score</t>
  </si>
  <si>
    <t>Supply &amp; Demand Policy</t>
  </si>
  <si>
    <t>Community engagement and EJ aggregated score</t>
  </si>
  <si>
    <t>Community Engagement &amp; Env. Justice</t>
  </si>
  <si>
    <t>Arkansas</t>
  </si>
  <si>
    <t>CO2 well regulation aggregated score</t>
  </si>
  <si>
    <t>CO2 Regulatory Clarity</t>
  </si>
  <si>
    <t>California</t>
  </si>
  <si>
    <t>Biomass injection well regulations  Aggregated Score</t>
  </si>
  <si>
    <t>Colorado</t>
  </si>
  <si>
    <t>Farm aggregated score</t>
  </si>
  <si>
    <t>Connecticut</t>
  </si>
  <si>
    <t>Residue biomass aggregated score</t>
  </si>
  <si>
    <t>Residue biomass availability</t>
  </si>
  <si>
    <t>Delaware</t>
  </si>
  <si>
    <t>Energy biomass aggregated score</t>
  </si>
  <si>
    <t>Energy biomass availability</t>
  </si>
  <si>
    <t>Florida</t>
  </si>
  <si>
    <t>Marine biomass aggregated score</t>
  </si>
  <si>
    <t>Marine biomass availability</t>
  </si>
  <si>
    <t>Georgia</t>
  </si>
  <si>
    <t>Coastal access aggregated score</t>
  </si>
  <si>
    <t>Hawaii</t>
  </si>
  <si>
    <t>Biomass Injection Well access aggregated score</t>
  </si>
  <si>
    <t>Idaho</t>
  </si>
  <si>
    <t>Clean energy availability aggregated score</t>
  </si>
  <si>
    <t>Illinois</t>
  </si>
  <si>
    <t>Mineral accessibility aggregated score</t>
  </si>
  <si>
    <t>Indiana</t>
  </si>
  <si>
    <t>CO2 infrastructure aggregated score</t>
  </si>
  <si>
    <t>CO2 Infrastructure</t>
  </si>
  <si>
    <t>Iowa</t>
  </si>
  <si>
    <t>CO2 geologic storage aggregated score</t>
  </si>
  <si>
    <t>CO2 Geologic Storage Potential</t>
  </si>
  <si>
    <t>Kansas</t>
  </si>
  <si>
    <t>Industrial integration (mining) aggregated score</t>
  </si>
  <si>
    <t>Industrial facilities - carbon mineralization</t>
  </si>
  <si>
    <t>Kentucky</t>
  </si>
  <si>
    <t>Industrial integration (water) aggregated score</t>
  </si>
  <si>
    <t>Industrial facilities - water treatment</t>
  </si>
  <si>
    <t>Louisiana</t>
  </si>
  <si>
    <t>Maine</t>
  </si>
  <si>
    <t xml:space="preserve">*Workforce and existing HQs/projects ratings vary based on the 8 approach categories and cannot be shown in this summary.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</si>
  <si>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</si>
  <si>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</si>
  <si>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</si>
  <si>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</si>
  <si>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</si>
  <si>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</si>
  <si>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</si>
  <si>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</si>
  <si>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</si>
  <si>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</si>
  <si>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</si>
  <si>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</si>
  <si>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</si>
  <si>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</si>
  <si>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</si>
  <si>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</si>
  <si>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</si>
  <si>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</si>
  <si>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</si>
  <si>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</si>
  <si>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</si>
  <si>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</si>
  <si>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</si>
  <si>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</si>
  <si>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</si>
  <si>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</si>
  <si>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</si>
  <si>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</si>
  <si>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</si>
  <si>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</si>
  <si>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</si>
  <si>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Metric Metadata</t>
  </si>
  <si>
    <t>Metric #</t>
  </si>
  <si>
    <t>Meta Category</t>
  </si>
  <si>
    <t>Metric Long Name</t>
  </si>
  <si>
    <t>Source Name</t>
  </si>
  <si>
    <t>Year</t>
  </si>
  <si>
    <t>Units</t>
  </si>
  <si>
    <t>Source link</t>
  </si>
  <si>
    <t>Notes</t>
  </si>
  <si>
    <t>All CDR</t>
  </si>
  <si>
    <t>Terrestrial biomass storage</t>
  </si>
  <si>
    <t>Ocean biomass storage</t>
  </si>
  <si>
    <t>BECCS</t>
  </si>
  <si>
    <t>TEW</t>
  </si>
  <si>
    <t>Ocean gCDR</t>
  </si>
  <si>
    <t>IWC</t>
  </si>
  <si>
    <t>DAC</t>
  </si>
  <si>
    <t>Policy</t>
  </si>
  <si>
    <t>Does the state have a climate target with political buy-in?</t>
  </si>
  <si>
    <t xml:space="preserve">C2ES </t>
  </si>
  <si>
    <t>None, recommended, executive, statutory</t>
  </si>
  <si>
    <t>https://www.c2es.org/document/greenhouse-gas-emissions-targets/</t>
  </si>
  <si>
    <t xml:space="preserve"> </t>
  </si>
  <si>
    <t>Y</t>
  </si>
  <si>
    <t>Is the state climate target ambitious?</t>
  </si>
  <si>
    <t>% reduction, net zero or not</t>
  </si>
  <si>
    <t>Does the state have an explicit target for removals?</t>
  </si>
  <si>
    <t>RMI research</t>
  </si>
  <si>
    <t>Y/N</t>
  </si>
  <si>
    <t>Is CDR considered in the state's climate action plan?</t>
  </si>
  <si>
    <t>C2ES</t>
  </si>
  <si>
    <t>None, CAP no CDR, CAP yes CDR</t>
  </si>
  <si>
    <t>https://www.c2es.org/document/climate-action-plans/</t>
  </si>
  <si>
    <t>CDR defined in legislation?</t>
  </si>
  <si>
    <t>Is there a Production Tax Credit (PTC) for CDR?</t>
  </si>
  <si>
    <t>Are there grants available for CDR producers?</t>
  </si>
  <si>
    <t>Is there a state buy clean policy with a route for CDR?</t>
  </si>
  <si>
    <t>Is there state procurement of CDR?</t>
  </si>
  <si>
    <t xml:space="preserve">Is there an Investment Tax Credit (ITC) for CDR? </t>
  </si>
  <si>
    <t xml:space="preserve">Is there a Clean Fuel Standard with a CDR credit route? </t>
  </si>
  <si>
    <t>Y w/ route, Y no route, No</t>
  </si>
  <si>
    <t>Is there a cap-and-trade program with a CDR offset route?</t>
  </si>
  <si>
    <t>Environmental review requirement?</t>
  </si>
  <si>
    <t>Y w/ consideration, Y no consideration, No</t>
  </si>
  <si>
    <t>Does environmental review include cumulative burdens, EJ, and/ or env. Burdens?</t>
  </si>
  <si>
    <t>EJ definition?</t>
  </si>
  <si>
    <t>ClimateXChange, Vermont Law School</t>
  </si>
  <si>
    <t>Y, explicit, Y implicit, No</t>
  </si>
  <si>
    <t>https://climate-xchange.org/wp-content/uploads/2018/08/An-Assessment-of-Environmental-Justice-Policy-in-U.S.-Climate-Alliance-States-website.pdf</t>
  </si>
  <si>
    <t>EJ advisory body?</t>
  </si>
  <si>
    <t>Neither, Either an advisory body or dedicated staff, Both</t>
  </si>
  <si>
    <t>EJ government staff?</t>
  </si>
  <si>
    <t>Regulations</t>
  </si>
  <si>
    <t>Pore space rights: Owner type</t>
  </si>
  <si>
    <t>MIT, GPI</t>
  </si>
  <si>
    <t>Mineral, surface or undecided</t>
  </si>
  <si>
    <t>https://sequestration.mit.edu/pdf/US_State_Regulations_Underground_CO2_Storage.pdf</t>
  </si>
  <si>
    <t>Pore Space Unitization?</t>
  </si>
  <si>
    <t>Primacy of minerals with regard CCS</t>
  </si>
  <si>
    <t>Long term liability: Post-closure transfer to state</t>
  </si>
  <si>
    <t>MIT, GPI, Nixon Peabody</t>
  </si>
  <si>
    <t>Long term liability: CO2 trust fund</t>
  </si>
  <si>
    <t>UIC primacy - class 6</t>
  </si>
  <si>
    <t>EPA</t>
  </si>
  <si>
    <t>Y/In process/N</t>
  </si>
  <si>
    <t>https://www.epa.gov/uic/primary-enforcement-authority-underground-injection-control-program-0#completed</t>
  </si>
  <si>
    <t>States participating in PHMSA’s cooperative pipeline safety program</t>
  </si>
  <si>
    <t>PHMSA, Pipeline Safety Trust</t>
  </si>
  <si>
    <t>Certification/Agreement/No</t>
  </si>
  <si>
    <t>https://www.phmsa.dot.gov/sites/phmsa.dot.gov/files/2024-01/2024%20Appendix%20F%20-%20State%20Program%20Certification%20Agreement%20Status.pdf</t>
  </si>
  <si>
    <t>CO2 pipelines: Identified in state statute?</t>
  </si>
  <si>
    <t>RMI research, NARUC, Columbia</t>
  </si>
  <si>
    <t>2023/2024</t>
  </si>
  <si>
    <t>https://pubs.naruc.org/pub/F1EECB6B-CD8A-6AD4-B05B-E7DA0F12672E</t>
  </si>
  <si>
    <t xml:space="preserve">CO2 pipelines: General permitting requirements </t>
  </si>
  <si>
    <t>UIC primacy - class 2</t>
  </si>
  <si>
    <t>UIC primacy - class 5</t>
  </si>
  <si>
    <t>Natural resources</t>
  </si>
  <si>
    <t>Farm Coverage</t>
  </si>
  <si>
    <t>Land in farms (1000 acres)</t>
  </si>
  <si>
    <t>USDA</t>
  </si>
  <si>
    <t>1000 acres</t>
  </si>
  <si>
    <t>https://www.nass.usda.gov/Publications/Todays_Reports/reports/fnlo0222.pdf</t>
  </si>
  <si>
    <t>Land in farms (acres)</t>
  </si>
  <si>
    <t>acres</t>
  </si>
  <si>
    <t>Land in farms (sq miles)</t>
  </si>
  <si>
    <t>sq miles</t>
  </si>
  <si>
    <t xml:space="preserve">Land area (sq mi) - Census Bureau </t>
  </si>
  <si>
    <t>Census</t>
  </si>
  <si>
    <t>https://www.census.gov/geographies/reference-files/2010/geo/state-area.html</t>
  </si>
  <si>
    <t>% farm coverage (2021)</t>
  </si>
  <si>
    <t>% (acres)</t>
  </si>
  <si>
    <t>State receipts for all agricultural commodities (real 2024 dollars, $1000)</t>
  </si>
  <si>
    <t>Real (2024 dollars)</t>
  </si>
  <si>
    <t>https://data.ers.usda.gov/reports.aspx?ID=17844#P6d06a6d63a684be0a9ee091f3fb5f9b7_4_38iT0R0x0T0</t>
  </si>
  <si>
    <t>Average soil pH</t>
  </si>
  <si>
    <t>USGS Science Data Catalog</t>
  </si>
  <si>
    <t>pH</t>
  </si>
  <si>
    <t>https://www.sciencebase.gov/catalog/item/5c1296b5e4b034bf6a85ea18</t>
  </si>
  <si>
    <t>?</t>
  </si>
  <si>
    <t>Wastes (FOG, solid, liquid, etc.) production (dt), near-term scenario</t>
  </si>
  <si>
    <t>Billion-Ton Report</t>
  </si>
  <si>
    <t>Dry tons, near term scenario</t>
  </si>
  <si>
    <t>https://bioenergykdf.ornl.gov/bt23-wastes-download?f%5B0%5D=bt23_subclass_facet%3AFOG&amp;f%5B1%5D=bt23_subclass_facet%3AOther%20solid%20waste&amp;f%5B2%5D=bt23_subclass_facet%3AOther%20wet%20waste&amp;f%5B3%5D=bt23_subclass_facet%3APaper&amp;f%5B4%5D=bt23_wastes_scenario_name%3Anear-term</t>
  </si>
  <si>
    <t>Forestry residue (logging, forest waste, thinnings, etc.) production (dt), near-term scenario</t>
  </si>
  <si>
    <t>https://bioenergykdf.ornl.gov/bt23-forestry-download?f%5B0%5D=bt23_forestry_scenario_name%3Anear-term&amp;f%5B1%5D=subclass%3AFire%20reduction%20thinnings&amp;f%5B2%5D=subclass%3AForest%20processing%20waste&amp;f%5B3%5D=subclass%3ALogging%20residues&amp;f%5B4%5D=subclass%3AOther%20forest%20waste</t>
  </si>
  <si>
    <t>Agricultural residue (corn stover, pruning, etc.) (dt), near-term scenario</t>
  </si>
  <si>
    <t>https://bioenergykdf.ornl.gov/bt23-agricultural-download?f%5B0%5D=bt23_agricultural_scenario_facet%3Anear-term&amp;f%5B1%5D=bt23_agricultural_subclass_facet%3AAg%20processing%20waste&amp;f%5B2%5D=bt23_agricultural_subclass_facet%3AAgricultural%20residues</t>
  </si>
  <si>
    <t>Wildfire risk index score (average)</t>
  </si>
  <si>
    <t>FEMA</t>
  </si>
  <si>
    <t>2023, 2014 model</t>
  </si>
  <si>
    <t>Risk index</t>
  </si>
  <si>
    <t>https://hazards.fema.gov/nri/wildfire</t>
  </si>
  <si>
    <t>Energy crops (herbaceous and woody) (dt), medium-market scenario</t>
  </si>
  <si>
    <t>Dry tons, medium market scenario</t>
  </si>
  <si>
    <t>https://bioenergykdf.ornl.gov/bt23-agricultural-download?f%5B0%5D=bt23_agricultural_scenario_facet%3Amature-market%20medium&amp;f%5B1%5D=bt23_agricultural_subclass_facet%3AEnergy%20crops%2C%20herbaceous&amp;f%5B2%5D=bt23_agricultural_subclass_facet%3AEnergy%20crops%2C%20woody</t>
  </si>
  <si>
    <t>Seaweed farms?</t>
  </si>
  <si>
    <t>Seaweed Hub</t>
  </si>
  <si>
    <t># of farms, active or not</t>
  </si>
  <si>
    <t>https://seaweedhub-extension.media.uconn.edu/wp-content/uploads/sites/3646/2023/04/2023-State-of-the-States_For-Posting_Dec2023.pdf</t>
  </si>
  <si>
    <t>Microalgae production (production, dt)</t>
  </si>
  <si>
    <t>Dry tons, emerging market</t>
  </si>
  <si>
    <t>https://bioenergykdf.ornl.gov/bt23-micro-algae-download</t>
  </si>
  <si>
    <t>Coastal access?</t>
  </si>
  <si>
    <t>NOAA</t>
  </si>
  <si>
    <t>https://coast.noaa.gov/data/docs/states/shorelines.pdf</t>
  </si>
  <si>
    <t>Coastal and territorial water area</t>
  </si>
  <si>
    <t>Census Bureau</t>
  </si>
  <si>
    <t>Sq. miles</t>
  </si>
  <si>
    <t xml:space="preserve">Total area (land and water area) </t>
  </si>
  <si>
    <t>Relevant water areas / total area</t>
  </si>
  <si>
    <t>NOAA, Census Bureau</t>
  </si>
  <si>
    <t>Sq. miles : sq. miles</t>
  </si>
  <si>
    <t>Number of major ports</t>
  </si>
  <si>
    <t>US Army Corps of Engineers, Bureau of Transportation Statistics</t>
  </si>
  <si>
    <t># of ports in top 50</t>
  </si>
  <si>
    <t>https://www.bts.gov/content/tonnage-top-50-us-water-ports-ranked-total-tons</t>
  </si>
  <si>
    <t>Existing infrastructure / industry</t>
  </si>
  <si>
    <t>Presence of class 2 wells</t>
  </si>
  <si>
    <t>EPA UIC Injection Well Inventory</t>
  </si>
  <si>
    <t># of wells</t>
  </si>
  <si>
    <t>https://www.epa.gov/uic/uic-injection-well-inventory</t>
  </si>
  <si>
    <t>Presence of class 5 wells</t>
  </si>
  <si>
    <t>Orphaned Wells</t>
  </si>
  <si>
    <t>Environmental Defense Fund</t>
  </si>
  <si>
    <t>https://www.edf.org/orphanwellmap</t>
  </si>
  <si>
    <t>NOT A STANDALONE METRIC - FOR CLEAN ENERGY NORMALIZATION - (2022 total statewide energy consumption in MWh)</t>
  </si>
  <si>
    <t>Energy Information Administration</t>
  </si>
  <si>
    <t>MWh</t>
  </si>
  <si>
    <t>https://www.eia.gov/state/seds/data.php?incfile=/state/seds/sep_fuel/html/fuel_te.html&amp;sid=US</t>
  </si>
  <si>
    <t>NOT A STANDALONE ORIGINAL METRIC - FOR CLEAN ENERGY NORMALIZATION - (2022 total statewide energy consumption in MW)</t>
  </si>
  <si>
    <t>MW</t>
  </si>
  <si>
    <t>Installed Renewable Generation Capacity (MW)</t>
  </si>
  <si>
    <t>https://atlas.eia.gov/datasets/eia::power-plants/explore?location=29.302275%2C69.985445%2C3.00</t>
  </si>
  <si>
    <t>Percentage installed renewables</t>
  </si>
  <si>
    <t>EIA Energy Atlas</t>
  </si>
  <si>
    <t>% (megawatts)</t>
  </si>
  <si>
    <t>RMI calculations</t>
  </si>
  <si>
    <t>Clean energy availability</t>
  </si>
  <si>
    <t>Renewable Net Generation (Actuals) - thousand MWh</t>
  </si>
  <si>
    <t>EIA Electricity Data Browser</t>
  </si>
  <si>
    <t>thousand megawatthours</t>
  </si>
  <si>
    <t>https://www.eia.gov/electricity/data/browser/#/topic/0?agg=1,0,2&amp;fuel=02&amp;geo=vvvvvvvvvvvvo&amp;sec=o3g&amp;linechart=ELEC.GEN.AOR-US-99.M~ELEC.GEN.AOR-US-1.M~ELEC.GEN.AOR-US-94.M~ELEC.GEN.AOR-US-96.M~ELEC.GEN.AOR-US-97.M&amp;columnchart=ELEC.GEN.AOR-US-99.M~ELEC.GEN.AOR-US-1.M~ELEC.GEN.AOR-US-94.M~ELEC.GEN.AOR-US-96.M~ELEC.GEN.AOR-US-97.M&amp;map=ELEC.GEN.AOR-US-99.M&amp;freq=M&amp;start=200101&amp;end=202407&amp;ctype=linechart&amp;ltype=pin&amp;rtype=s&amp;maptype=0&amp;rse=0&amp;pin=</t>
  </si>
  <si>
    <t>Percentage generation in renewables</t>
  </si>
  <si>
    <t>% (thousand megawatthours)</t>
  </si>
  <si>
    <t>Planned Renewable Interconnections (MW)</t>
  </si>
  <si>
    <t>Lawrence Berkeley National Lab</t>
  </si>
  <si>
    <t>megawatts</t>
  </si>
  <si>
    <t>https://emp.lbl.gov/queues</t>
  </si>
  <si>
    <t>Increase in planned renewables (%) (assuming no new nonrenewable production)</t>
  </si>
  <si>
    <t>%</t>
  </si>
  <si>
    <t>Calculated using planned renewable inerconnection, total statewide energy consumption, and percent installed renewables</t>
  </si>
  <si>
    <t>Renewable Interconnection Queue Approval Pace (months)</t>
  </si>
  <si>
    <t>months</t>
  </si>
  <si>
    <t>Renewable Generation Potential (MWh)</t>
  </si>
  <si>
    <t>NREL SLOPE</t>
  </si>
  <si>
    <t>megawatt hours</t>
  </si>
  <si>
    <t>https://maps.nrel.gov/slope/data-viewer?filters=%5B%5D&amp;layer=energy-generation.utility-pv&amp;year=2020&amp;res=state</t>
  </si>
  <si>
    <t>Energy Burden (%)</t>
  </si>
  <si>
    <t>DOE LEAD Tool</t>
  </si>
  <si>
    <t>https://www.energy.gov/scep/slsc/lead-tool</t>
  </si>
  <si>
    <t>Basalt found (as commodity, ore, or gangue; no past producers included)</t>
  </si>
  <si>
    <t>USGS</t>
  </si>
  <si>
    <t># of mines / prospects</t>
  </si>
  <si>
    <t>Basalt_materials_USGS.xlsx</t>
  </si>
  <si>
    <t>Past mines not included</t>
  </si>
  <si>
    <t>Basalt mined (as commodity, ore, or gangue; no past producers included)</t>
  </si>
  <si>
    <t>Wollastonite found (as commodity, ore, or gangue; no past producers included)</t>
  </si>
  <si>
    <t>Wollastonite_materials_USGS.xlsx</t>
  </si>
  <si>
    <t>Wollastonite mined (as commodity, ore, or gangue; no past producers included)</t>
  </si>
  <si>
    <t>Olivine found (as commodity, ore, or gangue; no past producers included)</t>
  </si>
  <si>
    <t>Olivine_materials_USGS.xlsx</t>
  </si>
  <si>
    <t>Olivine mined (as commodity, ore, or gangue; no past producers included)</t>
  </si>
  <si>
    <t>CO2 infrastructure</t>
  </si>
  <si>
    <t>CCUS Facilities</t>
  </si>
  <si>
    <t>CATF CCUS Tracker</t>
  </si>
  <si>
    <t>Number of facilities (per state)</t>
  </si>
  <si>
    <t>https://www.catf.us/ccsmapus/</t>
  </si>
  <si>
    <t>CO2 pipelines</t>
  </si>
  <si>
    <t>PHMSA</t>
  </si>
  <si>
    <t>Miles (inter and intrastate)</t>
  </si>
  <si>
    <t>Class VI wells</t>
  </si>
  <si>
    <t>number of wells with EPA permit</t>
  </si>
  <si>
    <t>CO2 geologic storage</t>
  </si>
  <si>
    <t>Total Storage Resource (Oil &amp; Gas Reservoirs, Coal Storage, &amp; Saline Storage) billion metric tons</t>
  </si>
  <si>
    <t>NETL Carbon Storage Atlas, 5th Edition</t>
  </si>
  <si>
    <t>Billion tons of storage</t>
  </si>
  <si>
    <t>https://www.netl.doe.gov/sites/default/files/2018-10/ATLAS-V-2015.pdf</t>
  </si>
  <si>
    <t>Page 110</t>
  </si>
  <si>
    <t>Ultra Mafic storage</t>
  </si>
  <si>
    <t>USGS, Carbon Dioxide Mineralization Feasibility in the United States</t>
  </si>
  <si>
    <t>N/A (relative polygon area)</t>
  </si>
  <si>
    <t>https://www.sciencebase.gov/catalog/item/60ab9b4ad34ea221ce51d85c</t>
  </si>
  <si>
    <t>Had to remove some stastistically insignificant data</t>
  </si>
  <si>
    <t>Mafic storage</t>
  </si>
  <si>
    <t>Industrial Facilities - for Carbon Mineralization</t>
  </si>
  <si>
    <t>Value of nonfuel mineral production (% of US total)</t>
  </si>
  <si>
    <t>% of US total value</t>
  </si>
  <si>
    <t>https://pubs.usgs.gov/periodicals/mcs2023/mcs2023.pdf</t>
  </si>
  <si>
    <t>Cement Production</t>
  </si>
  <si>
    <t>EPA GHGRP</t>
  </si>
  <si>
    <t># of facilities (per state)</t>
  </si>
  <si>
    <t>https://www.epa.gov/ghgreporting/find-and-use-ghgrp-data</t>
  </si>
  <si>
    <t>Industrial Facilities - Water Treatment</t>
  </si>
  <si>
    <t>Municipal desalination plants</t>
  </si>
  <si>
    <t>Mike Mickley, PhD</t>
  </si>
  <si>
    <t># of municiapl desalination faciltiies</t>
  </si>
  <si>
    <t>https://www.multi-statesalinitycoalition.com/wp-content/uploads/2020-Mickley.pdf</t>
  </si>
  <si>
    <t>Industrial wastewater treatment facilities</t>
  </si>
  <si>
    <t>Workforce</t>
  </si>
  <si>
    <t>Relevant workforce</t>
  </si>
  <si>
    <t>BLS, RMI research</t>
  </si>
  <si>
    <t>Number of jobs</t>
  </si>
  <si>
    <t>https://data.bls.gov/cew/apps/data_views/data_views.htm#tab=Tables</t>
  </si>
  <si>
    <t>Existing CDR HQs/ Projects</t>
  </si>
  <si>
    <t>CDR.fyi</t>
  </si>
  <si>
    <t># of projects</t>
  </si>
  <si>
    <t>https://www.cdr.fyi/carbon-removal-map</t>
  </si>
  <si>
    <t>Metric Categories</t>
  </si>
  <si>
    <t>1. Climate Governance</t>
  </si>
  <si>
    <t>2. Supply/Demand Incentives</t>
  </si>
  <si>
    <t>3. Community Engagement + Environmental Justice Policy</t>
  </si>
  <si>
    <t>4. CO2 Regulatory Clarity</t>
  </si>
  <si>
    <t>5. Biomass Injection Well Regulatory Clarity</t>
  </si>
  <si>
    <t>6. Farm Coverage</t>
  </si>
  <si>
    <t>7. Biomass Availability</t>
  </si>
  <si>
    <t>8. Coastal Access</t>
  </si>
  <si>
    <t>9. Biomass Injection Well Access</t>
  </si>
  <si>
    <t>10. Clean Energy Availability</t>
  </si>
  <si>
    <t>11. Mineral Feedstock Accessibility</t>
  </si>
  <si>
    <t>12. CO2 Infrastructure</t>
  </si>
  <si>
    <t>13. CO2 Geologic Storage Potential</t>
  </si>
  <si>
    <t>14. Industrial Facilities - for Carbon Mineralization</t>
  </si>
  <si>
    <t>14. Industrial Facilities - Water Treatment</t>
  </si>
  <si>
    <t>Sub-Category</t>
  </si>
  <si>
    <t>State Climate Targets</t>
  </si>
  <si>
    <t>Consideration of CDR/Negative Emissions</t>
  </si>
  <si>
    <t>Supply</t>
  </si>
  <si>
    <t>Demand</t>
  </si>
  <si>
    <t>Environmental review</t>
  </si>
  <si>
    <t>EJ policy</t>
  </si>
  <si>
    <t>Pore Space Regulation</t>
  </si>
  <si>
    <t>Long Term liability</t>
  </si>
  <si>
    <t>UIC Primacy</t>
  </si>
  <si>
    <t>CO2 regulation composite score</t>
  </si>
  <si>
    <t>Primacy</t>
  </si>
  <si>
    <t>Farm coverage</t>
  </si>
  <si>
    <t>Agricultural industry</t>
  </si>
  <si>
    <t>Soil pH</t>
  </si>
  <si>
    <t>Waste biomass</t>
  </si>
  <si>
    <t>Marine biomass</t>
  </si>
  <si>
    <t>How much coastal access?</t>
  </si>
  <si>
    <t>Class 2 wells</t>
  </si>
  <si>
    <t>Class 5 wells</t>
  </si>
  <si>
    <t>Clean Energy Data: For all metrics, 1=low, 2=medium, 3=high</t>
  </si>
  <si>
    <t>Basalt mineral metrics</t>
  </si>
  <si>
    <t>Wollastonite mineral metrics</t>
  </si>
  <si>
    <t>Olivine mineral metrics</t>
  </si>
  <si>
    <t>Relevant CO2 infrastructure</t>
  </si>
  <si>
    <t>Conventional storage</t>
  </si>
  <si>
    <t>In-situ mineralization</t>
  </si>
  <si>
    <t>Mineral production</t>
  </si>
  <si>
    <t>Weighting</t>
  </si>
  <si>
    <t>100% (states don't overlap with microalgae)</t>
  </si>
  <si>
    <t>100% (states don't overlap with macroalgae)</t>
  </si>
  <si>
    <t>1.1 Does the state have a climate target with political buy-in?</t>
  </si>
  <si>
    <t>1.2 Is the state climate target ambitious?</t>
  </si>
  <si>
    <t>1.3 Does the state have an explicit target for removals?</t>
  </si>
  <si>
    <t>1.4 Is CDR considered in the state's climate action plan?</t>
  </si>
  <si>
    <t>1.5 CDR defined in legislation?</t>
  </si>
  <si>
    <t>Climate Governance Aggregated score</t>
  </si>
  <si>
    <t>2.1 Is there a Production Tax Credit (PTC) for CDR?</t>
  </si>
  <si>
    <t>2.2 Are there grants available for CDR producers?</t>
  </si>
  <si>
    <t>2.3 Is there a state buy clean policy with a route for CDR?</t>
  </si>
  <si>
    <t>2.4 Is there state procurement of CDR?</t>
  </si>
  <si>
    <t xml:space="preserve">2.5 Is there an Investment Tax Credit (ITC) for CDR? </t>
  </si>
  <si>
    <t xml:space="preserve">2.6 Is there a Clean Fuel Standard with a CDR credit route? </t>
  </si>
  <si>
    <t>2.7 Is there a cap-and-trade program with a CDR offset route?</t>
  </si>
  <si>
    <t xml:space="preserve">Rating </t>
  </si>
  <si>
    <t>3.1 Environmental review requirement?</t>
  </si>
  <si>
    <t>3.1 Does environmental review include cumulative burdens, EJ, and/or env. burdens?</t>
  </si>
  <si>
    <t>3.2 EJ definition?</t>
  </si>
  <si>
    <t>3.3 EJ advisory body?</t>
  </si>
  <si>
    <t>3.3 EJ government staff?</t>
  </si>
  <si>
    <t>4.1 Pore space rights: Owner type</t>
  </si>
  <si>
    <t>Score</t>
  </si>
  <si>
    <t>4.2 Pore Space Unitization?</t>
  </si>
  <si>
    <t>4.3 Primacy of minerals with regard CCS</t>
  </si>
  <si>
    <t>Aggregated Score</t>
  </si>
  <si>
    <t>4.4 Long term liability: Post-closure transfer to state</t>
  </si>
  <si>
    <t xml:space="preserve">Score </t>
  </si>
  <si>
    <t>4.5 Long term liability: CO2 trust fund</t>
  </si>
  <si>
    <t>4.6 UIC primacy - class 6</t>
  </si>
  <si>
    <t>4.7 States participating in PHMSA’s cooperative pipeline safety program</t>
  </si>
  <si>
    <t>4.8 CO2 pipelines: Identified in state statute?</t>
  </si>
  <si>
    <t xml:space="preserve">4.9 CO2 pipelines: General permitting requirements </t>
  </si>
  <si>
    <t>CO2 Well Regulation Aggregated Score</t>
  </si>
  <si>
    <t>5.1 UIC primacy - class 2</t>
  </si>
  <si>
    <t>5.2 UIC primacy - class 5</t>
  </si>
  <si>
    <t>6.1 Land in farms (1000 acres)</t>
  </si>
  <si>
    <t>6.1 Land in farms (acres)</t>
  </si>
  <si>
    <t>6.1 Land in farms (sq miles)</t>
  </si>
  <si>
    <t xml:space="preserve">6.1 Land area (sq mi) - Census Bureau </t>
  </si>
  <si>
    <t>6.1 % farm coverage (2021)</t>
  </si>
  <si>
    <t>Rating (&gt;44 = high, 26-44 = mdium, &lt;26 = low)</t>
  </si>
  <si>
    <t>6.2 State receipts for all agricultural commodities (real 2024 dollars, $1000)</t>
  </si>
  <si>
    <t>Rating (&gt;12 B = high, 4-12 B = medium, &lt;4B = low)</t>
  </si>
  <si>
    <t>6.3 Average soil pH</t>
  </si>
  <si>
    <t>7.1 Wastes (FOG, solid, liquid, etc.) production (dt), near-term scenario</t>
  </si>
  <si>
    <t>Rating (&gt;4.2M = high, 1.7M-4.2M = medium, &lt;1.7M = low)</t>
  </si>
  <si>
    <t>7.2 Forestry residue (logging, forest waste, thinnings, etc.) production (dt), near-term scenario</t>
  </si>
  <si>
    <t>Rating (&gt;600k = high 120k-600k = medium, &lt;120k = low)</t>
  </si>
  <si>
    <t>7.3 Agricultural residue (corn stover, pruning, etc.) (dt), near-term scenario</t>
  </si>
  <si>
    <t>Rating(&gt;1.7M= high, 300k-1.7M = medium, &lt;300k = low)</t>
  </si>
  <si>
    <t>7.4 Wildfire risk index score (average)</t>
  </si>
  <si>
    <t>7.5 Energy crops (herbaceous and woody) (dt), medium-market scenario</t>
  </si>
  <si>
    <t>7.6 Seaweed farms?</t>
  </si>
  <si>
    <t>7.7 Microalgae production (production, dt)</t>
  </si>
  <si>
    <t>8.1 Coastal access?</t>
  </si>
  <si>
    <t>8.1 Coastal and territorial water area</t>
  </si>
  <si>
    <t>8.1 Total area (land and water area)</t>
  </si>
  <si>
    <t>8.1 Relevant water areas / total area</t>
  </si>
  <si>
    <t>8.2 Number of major ports</t>
  </si>
  <si>
    <t>Rating of major ports</t>
  </si>
  <si>
    <t>9.1 Presence of class 2 wells</t>
  </si>
  <si>
    <t>9.2 Presence of class 5 wells</t>
  </si>
  <si>
    <t>9.3 Orphaned Wells</t>
  </si>
  <si>
    <t>Biomass injection well access aggregated score</t>
  </si>
  <si>
    <r>
      <rPr>
        <sz val="11"/>
        <color rgb="FF000000"/>
        <rFont val="Roboto"/>
      </rPr>
      <t xml:space="preserve">10.1 NOT A STANDALONE METRIC - FOR CLEAN ENERGY NORMALIZATION - </t>
    </r>
    <r>
      <rPr>
        <i/>
        <sz val="11"/>
        <color rgb="FF000000"/>
        <rFont val="Roboto"/>
      </rPr>
      <t>(2022 total statewide energy consumption in MWh)</t>
    </r>
  </si>
  <si>
    <r>
      <t xml:space="preserve">10.1 NOT A STANDALONE ORIGINAL METRIC - FOR CLEAN ENERGY NORMALIZATION - </t>
    </r>
    <r>
      <rPr>
        <i/>
        <sz val="11"/>
        <color rgb="FF000000"/>
        <rFont val="Roboto"/>
      </rPr>
      <t>(2022 total statewide energy consumption in MW)</t>
    </r>
  </si>
  <si>
    <t>10.1 Installed Renewable Generation Capacity (MW)</t>
  </si>
  <si>
    <t>10.1 Percentage installed renewables</t>
  </si>
  <si>
    <r>
      <t>10.2 Renewable Net Generation (Actuals) -</t>
    </r>
    <r>
      <rPr>
        <u/>
        <sz val="11"/>
        <color theme="1"/>
        <rFont val="Roboto"/>
      </rPr>
      <t xml:space="preserve"> thousand</t>
    </r>
    <r>
      <rPr>
        <sz val="11"/>
        <color theme="1"/>
        <rFont val="Roboto"/>
      </rPr>
      <t xml:space="preserve"> MWh</t>
    </r>
  </si>
  <si>
    <t>10.2 Percentage generation in renewables</t>
  </si>
  <si>
    <t>10.3 Planned Renewable Interconnections (MW)</t>
  </si>
  <si>
    <t>10.3 Increase in planned renewables (%) (assuming no new nonrenewable production)</t>
  </si>
  <si>
    <t>10.4 Renewable Interconnection Queue Approval Pace (months)</t>
  </si>
  <si>
    <t>10.5 Renewable Generation Potential (MWh)</t>
  </si>
  <si>
    <t>10.6 Energy Burden (%)</t>
  </si>
  <si>
    <t>Rail Infrastructure - originated carloads per year</t>
  </si>
  <si>
    <t>Rail Infrastructure - terminated carloads per year</t>
  </si>
  <si>
    <t>Rail infrastructure - miles of freight rail</t>
  </si>
  <si>
    <t>11.1 Basalt found (as commodity, ore, or gangue; no past producers included)</t>
  </si>
  <si>
    <t>11.1 Basalt mined (as commodity, ore, or gangue; no past producers included)</t>
  </si>
  <si>
    <t>Sum</t>
  </si>
  <si>
    <t>Rating (sum of mined and found is 0 = low, is 1 = medium, is &gt;1 = high)</t>
  </si>
  <si>
    <t>11.2 Wollastonite found (as commodity, ore, or gangue; no past producers included)</t>
  </si>
  <si>
    <t>11.2 Wollastonite mined (as commodity, ore, or gangue; no past producers included)</t>
  </si>
  <si>
    <t>sum</t>
  </si>
  <si>
    <t>Rating (found and mined is 0= 1, is &gt;5 =3, is 1-5 = 2)</t>
  </si>
  <si>
    <t>11.3 Olivine found (as commodity, ore, or gangue; no past producers included)</t>
  </si>
  <si>
    <t>11.3 Olivine mined (as commodity, ore, or gangue; no past producers included)</t>
  </si>
  <si>
    <t>12.1 CCUS facilities</t>
  </si>
  <si>
    <t>12.2 CO2 pipelines</t>
  </si>
  <si>
    <t>12.3 Class VI Wells</t>
  </si>
  <si>
    <t>13.1 Total Storage Resource (Oil &amp; Gas Reservoirs, Coal Storage, &amp; Saline Storage) billion metric tons</t>
  </si>
  <si>
    <t>13.2 Ultra Mafic Storage</t>
  </si>
  <si>
    <t>13.3 Mafic Storage</t>
  </si>
  <si>
    <t>14.1 Value of nonfuel mineral production (% of US total)</t>
  </si>
  <si>
    <t>14.2 Cement Production</t>
  </si>
  <si>
    <t>14.3 Municipal desalination plants</t>
  </si>
  <si>
    <t>14.3 Industrial wastewater treatment facilities</t>
  </si>
  <si>
    <t>Total</t>
  </si>
  <si>
    <t>None</t>
  </si>
  <si>
    <t>NA</t>
  </si>
  <si>
    <t>No</t>
  </si>
  <si>
    <t>Undecided</t>
  </si>
  <si>
    <t>N</t>
  </si>
  <si>
    <t>Certification</t>
  </si>
  <si>
    <t>25-30</t>
  </si>
  <si>
    <t>In Process</t>
  </si>
  <si>
    <t>Active</t>
  </si>
  <si>
    <t>no data</t>
  </si>
  <si>
    <t>n/a</t>
  </si>
  <si>
    <t>CAP no CDR</t>
  </si>
  <si>
    <t>CAP yes CDR</t>
  </si>
  <si>
    <t>Statutory and exec target</t>
  </si>
  <si>
    <t>Reduce 40% by 2030, 85% by 2045, net-zero by 2045</t>
  </si>
  <si>
    <t>Yes</t>
  </si>
  <si>
    <t>No, but SB 308 introduced</t>
  </si>
  <si>
    <t>CFS with DAC pathway</t>
  </si>
  <si>
    <t>Yes (Cap and Trade), no CDR offset route</t>
  </si>
  <si>
    <t>California Environmental Quality Act (CEQA): NEPA-CEQA Handbook</t>
  </si>
  <si>
    <t>Yes, explicit</t>
  </si>
  <si>
    <t>Surface</t>
  </si>
  <si>
    <t>30-35</t>
  </si>
  <si>
    <t>Statutory target</t>
  </si>
  <si>
    <t>Reduce 50% by 2030, 100% by 2050</t>
  </si>
  <si>
    <t>Yes, Colorado Industrial Tax Credit Offering</t>
  </si>
  <si>
    <t xml:space="preserve">No </t>
  </si>
  <si>
    <t>Yes, implicit</t>
  </si>
  <si>
    <t>Reduce 45% by 2030, 80% by 2050</t>
  </si>
  <si>
    <t>Yes cap and trade (RGGI), no CDR offset route</t>
  </si>
  <si>
    <t>Connecticut Environmental Policy Act (CEPA)</t>
  </si>
  <si>
    <t>Y, separate bill</t>
  </si>
  <si>
    <t>20-25</t>
  </si>
  <si>
    <t>Reduce 50% by 2030, net-zero by 2050</t>
  </si>
  <si>
    <t>45-50</t>
  </si>
  <si>
    <t>Executive target</t>
  </si>
  <si>
    <t>Reduce 80% by 2050</t>
  </si>
  <si>
    <t>Florida Environmental Protection Act</t>
  </si>
  <si>
    <t>Georgia Environmental Policy Act (GEPA)</t>
  </si>
  <si>
    <t>Reduce 50% by 2030, net-zero by 2045</t>
  </si>
  <si>
    <t>No, but SB 2451 introduced</t>
  </si>
  <si>
    <t>Hawaii Environmental Policy Act (HEPA)</t>
  </si>
  <si>
    <t>Idaho Environmental Protection and Health Act</t>
  </si>
  <si>
    <t>15-20</t>
  </si>
  <si>
    <t>Illinois Environmental Protection Act</t>
  </si>
  <si>
    <t>Indiana Environmental Policy Act (IEPA)</t>
  </si>
  <si>
    <t>35-40</t>
  </si>
  <si>
    <t>Recommended target</t>
  </si>
  <si>
    <t>Reduce 20% by 2030</t>
  </si>
  <si>
    <t>40-45</t>
  </si>
  <si>
    <t>Reduce NET 40-50% 2030, net-zero by 2050</t>
  </si>
  <si>
    <t>Reduce 45% by 2030, 80% by 2050, net zero by 2050</t>
  </si>
  <si>
    <t>Reduce 60% by 2031, net-zero by 2045</t>
  </si>
  <si>
    <t>Maryland Environmental Policy Act (MEPA)</t>
  </si>
  <si>
    <t>Reduce 50% by 2030, reduce 85% by 2050, net-zero by 2050</t>
  </si>
  <si>
    <t>No, but S 2096 introduced</t>
  </si>
  <si>
    <t>Massachusetts Environmental Policy Act (MEPA)</t>
  </si>
  <si>
    <t>Reduce 26-28% by 2025, net-zero by 2050, maintain negative after</t>
  </si>
  <si>
    <t>Reduce 30% by 2025, 80% by 2050</t>
  </si>
  <si>
    <t>Minnesota Environmental Policy Act (MEPA)</t>
  </si>
  <si>
    <t>Recommended</t>
  </si>
  <si>
    <t>Net-zero by 2045/50</t>
  </si>
  <si>
    <t>Montana Environmental Policy Act (MEPA)</t>
  </si>
  <si>
    <t>Reduce 45% by 2030, "reach zero" in 2050</t>
  </si>
  <si>
    <t>Reduce 20% by 2025, 80% by 2050</t>
  </si>
  <si>
    <t>Reduce 50% by 2030, 80% by 2050</t>
  </si>
  <si>
    <t>New Jersey Executive Order 215 (EO 215)</t>
  </si>
  <si>
    <t>Reduce 45% by 2030</t>
  </si>
  <si>
    <t>CFS, TBD on CDR</t>
  </si>
  <si>
    <t>Reduce 40% by 2030, 85% by 2050, net-zero 2050</t>
  </si>
  <si>
    <t>No, but S8171 proposed</t>
  </si>
  <si>
    <t>New York State Environmental Quality Review Act (SEQRA)</t>
  </si>
  <si>
    <t>Permitted</t>
  </si>
  <si>
    <t>North Carolina State Environmental Policy Act (SEPA)</t>
  </si>
  <si>
    <t>Reduce 45% by 2035, 80% by 2050</t>
  </si>
  <si>
    <t>CFS, no CDR</t>
  </si>
  <si>
    <t>Yes (Climate Protection Program) unclear on CDR or not, in the middle of rulemaking</t>
  </si>
  <si>
    <t>Reduce 26% by 2025, 80% by 2050</t>
  </si>
  <si>
    <t>Reduce 45% by 2030, 80% by 2040, net-zero 2050</t>
  </si>
  <si>
    <t>South Dakota Environmental Policy Act (SDEPA)</t>
  </si>
  <si>
    <t>Reduce 40% by 2030, 80% by 2050</t>
  </si>
  <si>
    <t>50-55</t>
  </si>
  <si>
    <t>Net-zero by 2045</t>
  </si>
  <si>
    <t>Virginia Environmental Impact Report Procedure (VAEIR)</t>
  </si>
  <si>
    <t>Reduce 45% by 2030, 95% by 2050, net-zero by 2050</t>
  </si>
  <si>
    <t>Yes (Cap and Invest), no CDR route</t>
  </si>
  <si>
    <t>Washington State Environmental Policy Act (SEPA)</t>
  </si>
  <si>
    <t>Wisconsin Environmental Policy Act (WEPA)</t>
  </si>
  <si>
    <t>Wyoming Environmental Quality Act</t>
  </si>
  <si>
    <t>CALCULATION AREA (INTERNAL USE ONLY)</t>
  </si>
  <si>
    <t>T1</t>
  </si>
  <si>
    <t>T2</t>
  </si>
  <si>
    <t>15. Workforce Calculations</t>
  </si>
  <si>
    <t>SOURCES</t>
  </si>
  <si>
    <t>UNITS</t>
  </si>
  <si>
    <t># of jobs</t>
  </si>
  <si>
    <t>Terrestrial sCDR (DAC)</t>
  </si>
  <si>
    <t>Ocean sCDR (DOC)</t>
  </si>
  <si>
    <t>Ocean gCDR (OAE/CEW)</t>
  </si>
  <si>
    <t>Carbon mineralization (surficial / ESM)</t>
  </si>
  <si>
    <t>Terrestrial gCDR (TEW)</t>
  </si>
  <si>
    <t>Ocean bCDR (Macro/microalgae sinking)</t>
  </si>
  <si>
    <t>Terrestrial bCDR</t>
  </si>
  <si>
    <t>Industrial bCDR (BECCS)</t>
  </si>
  <si>
    <t>NAICS description</t>
  </si>
  <si>
    <t>Machinery manufacturing</t>
  </si>
  <si>
    <t>Chemicals manufacturing</t>
  </si>
  <si>
    <t>Support activities for mining</t>
  </si>
  <si>
    <t>Utilities</t>
  </si>
  <si>
    <t>Electrical equipment</t>
  </si>
  <si>
    <t>O&amp;G</t>
  </si>
  <si>
    <t>DAC workforce rating</t>
  </si>
  <si>
    <t>DOC workforce rating</t>
  </si>
  <si>
    <t>Mining (non-oil and gas)</t>
  </si>
  <si>
    <t>Nonmetallic mineral product manufacturing</t>
  </si>
  <si>
    <t>Water transportation</t>
  </si>
  <si>
    <t>Ocean gCDR workforce rating</t>
  </si>
  <si>
    <t>Carbon min workforce rating</t>
  </si>
  <si>
    <t>Support activities for agriculture and forestry</t>
  </si>
  <si>
    <t>Terrestrial enhanced weathering (TEW) workforce rating</t>
  </si>
  <si>
    <t>Aquaculture</t>
  </si>
  <si>
    <t>Ocean biomass workforce rating</t>
  </si>
  <si>
    <t>Construction of buildings</t>
  </si>
  <si>
    <t>Wood product manufacturing</t>
  </si>
  <si>
    <t>Heavy and civil engineer construction</t>
  </si>
  <si>
    <t>Solid landfills</t>
  </si>
  <si>
    <t>Forestry and Logging</t>
  </si>
  <si>
    <t>Terrestrial biomass workforce rating</t>
  </si>
  <si>
    <t>BECCS workforce rating</t>
  </si>
  <si>
    <t>Average workforce rating</t>
  </si>
  <si>
    <t>NAICS codes</t>
  </si>
  <si>
    <t>Calculations (Edit with caution)</t>
  </si>
  <si>
    <t>33rd percentile</t>
  </si>
  <si>
    <t>66th percentile</t>
  </si>
  <si>
    <t>16. Existing CDR Headquarters and Projects</t>
  </si>
  <si>
    <t>RMI Applied Innovation Roadmap</t>
  </si>
  <si>
    <t>https://erw.info/, https://daccoalition.org/global-dac-deployments/</t>
  </si>
  <si>
    <t>Ocean Geochemical Projects</t>
  </si>
  <si>
    <t>Carbon mineralization</t>
  </si>
  <si>
    <t>Ocean Biomass</t>
  </si>
  <si>
    <t>DAC projects</t>
  </si>
  <si>
    <t>DAC projects rating</t>
  </si>
  <si>
    <t>DOC projects</t>
  </si>
  <si>
    <t>DOC projects rating</t>
  </si>
  <si>
    <t>Ocean gCDR projects</t>
  </si>
  <si>
    <t>Ocean gCDR projects rating</t>
  </si>
  <si>
    <t>Carbon min projects</t>
  </si>
  <si>
    <t>Carbon min projects rating</t>
  </si>
  <si>
    <t>Terrestrial enhanced weathering (TEW) projects</t>
  </si>
  <si>
    <t>Terrestrial enhanced weathering (TEW) projects rating</t>
  </si>
  <si>
    <t>Ocean biomass projects</t>
  </si>
  <si>
    <t>Ocean biomass projects rating</t>
  </si>
  <si>
    <t>Terrestrial biomass projects</t>
  </si>
  <si>
    <t>Terrestrial biomass projects rating</t>
  </si>
  <si>
    <t>BECCS projects</t>
  </si>
  <si>
    <t>BECCS projects rating</t>
  </si>
  <si>
    <t>Average Rating</t>
  </si>
  <si>
    <r>
      <t xml:space="preserve">Pathway Rating: </t>
    </r>
    <r>
      <rPr>
        <sz val="16"/>
        <color theme="0"/>
        <rFont val="Roboto"/>
      </rPr>
      <t>Direct Air Capture</t>
    </r>
  </si>
  <si>
    <t>READINESS SCORING</t>
  </si>
  <si>
    <t>POTENTIAL SCORING</t>
  </si>
  <si>
    <t>Final enabling aggregated score</t>
  </si>
  <si>
    <t>Final enabling score (rounded)</t>
  </si>
  <si>
    <t>Final opportunity aggregated score</t>
  </si>
  <si>
    <t>Final opportunity score (rounded)</t>
  </si>
  <si>
    <r>
      <rPr>
        <b/>
        <sz val="16"/>
        <color rgb="FFFFFFFF"/>
        <rFont val="Roboto"/>
      </rPr>
      <t xml:space="preserve">Pathway Rating: </t>
    </r>
    <r>
      <rPr>
        <sz val="16"/>
        <color rgb="FFFFFFFF"/>
        <rFont val="Roboto"/>
      </rPr>
      <t>Direct Ocean Capture</t>
    </r>
  </si>
  <si>
    <r>
      <rPr>
        <b/>
        <sz val="16"/>
        <color rgb="FFFFFFFF"/>
        <rFont val="Roboto"/>
      </rPr>
      <t xml:space="preserve">Pathway Rating: </t>
    </r>
    <r>
      <rPr>
        <sz val="16"/>
        <color rgb="FFFFFFFF"/>
        <rFont val="Roboto"/>
      </rPr>
      <t>Ocean Geochemical CDR</t>
    </r>
  </si>
  <si>
    <t>ENABLING ENVIRONMENT RATING</t>
  </si>
  <si>
    <t>OPPORTUNITY RATING</t>
  </si>
  <si>
    <r>
      <t xml:space="preserve">Pathway Rating: </t>
    </r>
    <r>
      <rPr>
        <sz val="16"/>
        <color rgb="FFFFFFFF"/>
        <rFont val="Roboto"/>
      </rPr>
      <t>Carbon Mineralization</t>
    </r>
  </si>
  <si>
    <r>
      <t xml:space="preserve">Pathway Rating: Terrestrial </t>
    </r>
    <r>
      <rPr>
        <sz val="16"/>
        <color rgb="FFFFFFFF"/>
        <rFont val="Roboto"/>
      </rPr>
      <t>Enhanced Weathering (TEW)</t>
    </r>
  </si>
  <si>
    <t>Terrestrial Enhanced weathering (TEW) workforce rating</t>
  </si>
  <si>
    <r>
      <rPr>
        <b/>
        <sz val="16"/>
        <color rgb="FFFFFFFF"/>
        <rFont val="Roboto"/>
      </rPr>
      <t xml:space="preserve">Pathway Rating: </t>
    </r>
    <r>
      <rPr>
        <sz val="16"/>
        <color rgb="FFFFFFFF"/>
        <rFont val="Roboto"/>
      </rPr>
      <t>Ocean Biomass CDR</t>
    </r>
  </si>
  <si>
    <r>
      <rPr>
        <b/>
        <sz val="16"/>
        <color rgb="FFFFFFFF"/>
        <rFont val="Roboto"/>
      </rPr>
      <t xml:space="preserve">Pathway Rating: </t>
    </r>
    <r>
      <rPr>
        <sz val="16"/>
        <color rgb="FFFFFFFF"/>
        <rFont val="Roboto"/>
      </rPr>
      <t>Terrestrial Biomass CDR</t>
    </r>
  </si>
  <si>
    <r>
      <rPr>
        <b/>
        <sz val="16"/>
        <color rgb="FFFFFFFF"/>
        <rFont val="Roboto"/>
      </rPr>
      <t xml:space="preserve">Pathway Rating: </t>
    </r>
    <r>
      <rPr>
        <sz val="16"/>
        <color rgb="FFFFFFFF"/>
        <rFont val="Roboto"/>
      </rPr>
      <t>Bioenergy + CCS</t>
    </r>
  </si>
  <si>
    <t>State Resources</t>
  </si>
  <si>
    <t>Resource Area</t>
  </si>
  <si>
    <t>Name</t>
  </si>
  <si>
    <t>Link(s)</t>
  </si>
  <si>
    <t>U.S. State Climate Action Plans</t>
  </si>
  <si>
    <t>The Clean Arizona Plan: Priority Climate Action Plan</t>
  </si>
  <si>
    <t xml:space="preserve">https://www.epa.gov/system/files/documents/2024-03/the-clean-arizona-plan.pdf
</t>
  </si>
  <si>
    <t xml:space="preserve">https://www.c2es.org/wp-content/uploads/2018/11/AZ_2006_Action_Plan.pdf </t>
  </si>
  <si>
    <t>Arkansas Governor's Commission on Global Warming</t>
  </si>
  <si>
    <t>https://www.c2es.org/wp-content/uploads/2018/11/AR_2008_Action_Plan.pdf</t>
  </si>
  <si>
    <t>CDR Broadly</t>
  </si>
  <si>
    <t>Getting to Neutral: Options for Negative Carbon Emissions in California</t>
  </si>
  <si>
    <t>getting_to_neutral.pdf (llnl.gov)</t>
  </si>
  <si>
    <t>GHG State Statutory and Executive Target</t>
  </si>
  <si>
    <t>The California Climate Crisis Act (AB 1279)</t>
  </si>
  <si>
    <t>https://leginfo.legislature.ca.gov/faces/billTextClient.xhtml?bill_id=202120220AB1279</t>
  </si>
  <si>
    <t>2022 Scoping Plan for Achieving Carbon Neutrality</t>
  </si>
  <si>
    <t>https://ww2.arb.ca.gov/sites/default/files/2023-04/2022-sp-es.pdf</t>
  </si>
  <si>
    <t>U.S. State Carbon Pricing</t>
  </si>
  <si>
    <t>California Cap-and-Trade Program</t>
  </si>
  <si>
    <t>https://ww2.arb.ca.gov/our-work/programs/cap-and-trade-program</t>
  </si>
  <si>
    <t>U.S. State Low Carbon Fuel Standard</t>
  </si>
  <si>
    <t>SB-32 California Global Warming Solutions Act of 2006: emissions limit.</t>
  </si>
  <si>
    <t>https://leginfo.legislature.ca.gov/faces/billNavClient.xhtml?bill_id=201520160SB32</t>
  </si>
  <si>
    <t>SB-27 Carbon sequestration: state goals: natural and working lands: registry of projects</t>
  </si>
  <si>
    <t>https://leginfo.legislature.ca.gov/faces/billTextClient.xhtml?bill_id=202120220SB27</t>
  </si>
  <si>
    <t>SB-905 Carbon sequestration: Carbon Capture, Removal, Utilization, and Storage Program.</t>
  </si>
  <si>
    <t>https://leginfo.legislature.ca.gov/faces/billTextClient.xhtml?bill_id=202120220SB905</t>
  </si>
  <si>
    <t>GHG State Statutory Target</t>
  </si>
  <si>
    <t>Senate Bill 23-016</t>
  </si>
  <si>
    <t>https://leg.colorado.gov/sites/default/files/documents/2023A/bills/2023a_016_enr.pdf</t>
  </si>
  <si>
    <t>Colorado Greenhouse Gas Pollution Reduction Roadmap 2.0</t>
  </si>
  <si>
    <t>https://energyoffice.colorado.gov/climate-energy/ghg-pollution-reduction-roadmap-20</t>
  </si>
  <si>
    <t>CDR</t>
  </si>
  <si>
    <t>HB23-1272</t>
  </si>
  <si>
    <t>https://leg.colorado.gov/sites/default/files/2023a_1272_signed.pdf</t>
  </si>
  <si>
    <t>An Act Concerning Climate Change Mitigation</t>
  </si>
  <si>
    <t>AN ACT CONCERNING CLIMATE CHANGE MITIGATION.</t>
  </si>
  <si>
    <t>Taking Action on Climate Change and Building a More Resilient Connecticut for All</t>
  </si>
  <si>
    <t>https://portal.ct.gov/-/media/deep/climatechange/gc3/gc3_phase1_report_jan2021.pdf</t>
  </si>
  <si>
    <t>Regional Greenhouse Gas Initiative</t>
  </si>
  <si>
    <t>https://www.rggi.org/</t>
  </si>
  <si>
    <t>Delaware House Bill 99</t>
  </si>
  <si>
    <t>Engrossment (delaware.gov)</t>
  </si>
  <si>
    <t>Delaware's Climate Action Plan</t>
  </si>
  <si>
    <t>https://dnrec.delaware.gov/climate-plan/</t>
  </si>
  <si>
    <t>GHG State Executive Target</t>
  </si>
  <si>
    <t>Establishing Immediate Actions to Reduce Greenhouse Gas Emissions within Florida</t>
  </si>
  <si>
    <t>Microsoft Word - Executive Order 07-127 --Final-- 07.13.2007.doc (ucf.edu)</t>
  </si>
  <si>
    <t>Florida's Energy &amp; Climate Action Plan</t>
  </si>
  <si>
    <t>https://www.c2es.org/wp-content/uploads/2018/11/FL_2008_Action_Plan.pdf</t>
  </si>
  <si>
    <t>Act 238 of the 2022 Legislature</t>
  </si>
  <si>
    <t>https://health.hawaii.gov/cab/files/2023/05/SLH2022_Act238.pdf</t>
  </si>
  <si>
    <t>Hawai'i 2050 Sustainability Plan: Charting a Course for the Decade of Action</t>
  </si>
  <si>
    <t>https://hawaii2050.hawaii.gov/wp-content/uploads/2021/07/FINAL-Hawaii-2050-Sustainability-Plan-web-1.pdf</t>
  </si>
  <si>
    <t>U.S. State Alternative Fuel Standard</t>
  </si>
  <si>
    <t>SB 2957, SB 2563</t>
  </si>
  <si>
    <t>2006, 2010</t>
  </si>
  <si>
    <t xml:space="preserve">https://www.capitol.hawaii.gov/sessions/session2010/bills/SB2563_CD1_.pdf
</t>
  </si>
  <si>
    <t xml:space="preserve">https://www.capitol.hawaii.gov/sessions/session2006/bills/SB2957_cd1_.htm </t>
  </si>
  <si>
    <t>Climate and Equitable Jobs Act</t>
  </si>
  <si>
    <t>https://www.ilga.gov/legislation/102/SB/10200SB2408lv.htm</t>
  </si>
  <si>
    <t>Iowa Climate Change Advisory Council Final Report</t>
  </si>
  <si>
    <t>https://www.c2es.org/wp-content/uploads/2018/11/IA_2008_Action_Plan.pdf</t>
  </si>
  <si>
    <t>GHG State Recommended Target</t>
  </si>
  <si>
    <t>Final Report of the Kentucky Climate Action Plan Council</t>
  </si>
  <si>
    <t>https://uccrnna.org/wp-content/uploads/2017/06/Kentucky_2011_Climate-Action-Plan-Council-Final-Report.pdf</t>
  </si>
  <si>
    <t>https://www.c2es.org/wp-content/uploads/2018/11/KY_2011_Action_Plan.pdf</t>
  </si>
  <si>
    <t>Executive Order No. JBE 2020-18 -- Climate Initiatives Task Force</t>
  </si>
  <si>
    <t>JBE-2020-18-Climate-Initiatives-Task-Force.pdf (louisiana.gov)</t>
  </si>
  <si>
    <t>Louisiana Climate Action Plan</t>
  </si>
  <si>
    <t>https://gov.louisiana.gov/assets/docs/CCI-Task-force/CAP/Climate_Action_Plan_FINAL_3.pdf</t>
  </si>
  <si>
    <t>Act No. 313 (HB 685)</t>
  </si>
  <si>
    <t>https://www.legis.la.gov/legis/ViewDocument.aspx?d=399857</t>
  </si>
  <si>
    <t>An Order to Strengthen Maine's Economy and Achieve Carbon Neutrality by 2045</t>
  </si>
  <si>
    <t>Executive Order 9-23-2019_0.pdf (maine.gov)</t>
  </si>
  <si>
    <t>An Act To Promote Clean Energy Jobs and To Establish the Maine Climate Council</t>
  </si>
  <si>
    <t>SP0550, LD 1679, item 2, ‘An Act To Promote Clean Energy Jobs and To Establish the Maine Climate Council’</t>
  </si>
  <si>
    <t>Maine Won't Wait</t>
  </si>
  <si>
    <t>https://www.maine.gov/climateplan/sites/maine.gov.climateplan/files/inline-files/MaineWontWait_December2020_printable_12.1.20.pdf</t>
  </si>
  <si>
    <t>Clean Energy and Climate Plan for 2050</t>
  </si>
  <si>
    <t>https://www.mass.gov/doc/2050-clean-energy-and-climate-plan/download</t>
  </si>
  <si>
    <t>Climate Solutions Now Act of 2022</t>
  </si>
  <si>
    <t>2022 Regular Session - Senate Bill 528 Chapter (maryland.gov)</t>
  </si>
  <si>
    <t>The Greenhouse Gas Emissions Reduction Act: 2030 GGRA Plan</t>
  </si>
  <si>
    <t>https://mde.maryland.gov/programs/air/ClimateChange/Documents/2030%20GGRA%20Plan/THE%202030%20GGRA%20PLAN.pdf</t>
  </si>
  <si>
    <t>An Act Creating a Next-Generation Roadmap for Massachusetts Climate Policy</t>
  </si>
  <si>
    <t>Session Law - Acts of 2021 Chapter 8 (malegislature.gov)</t>
  </si>
  <si>
    <t>MI Healthy Climate Plan</t>
  </si>
  <si>
    <t xml:space="preserve">https://www.michigan.gov/whitmer/news/state-orders-and-directives/2020/09/23/executive-directive-2020-10
</t>
  </si>
  <si>
    <t xml:space="preserve">https://www.michigan.gov/egle/about/organization/climate-and-energy/mi-healthy-climate-plan#:~:text=The%20objectives,sustainable%20Michigan%20for%20all%20Michiganders. </t>
  </si>
  <si>
    <t>Executive Directive 2019 - 12</t>
  </si>
  <si>
    <t>Executive Directive 2019 - 12 (michigan.gov)</t>
  </si>
  <si>
    <t>https://www.michigan.gov/egle/-/media/Project/Websites/egle/Documents/Offices/OCE/MI-Healthy-Climate-Plan.pdf?rev=d13f4adc2b1d45909bd708cafccbfffa</t>
  </si>
  <si>
    <t>216H.02 Greenhouse Gas Emissions Control</t>
  </si>
  <si>
    <t>Sec. 216H.02 MN Statutes</t>
  </si>
  <si>
    <t>Minnesota's Climate Action Framework</t>
  </si>
  <si>
    <t>https://climate.state.mn.us/sites/climate-action/files/Climate%20Action%20Framework.pdf</t>
  </si>
  <si>
    <t>HF 976</t>
  </si>
  <si>
    <t>https://www.revisor.mn.gov/laws/2013/0/114/</t>
  </si>
  <si>
    <t>The Missouri Renewable Fuel Standard Act</t>
  </si>
  <si>
    <t>https://agriculture.mo.gov/weights/fuel/renewablefuelstandard.php</t>
  </si>
  <si>
    <t>Montana Climate Solutions Plan</t>
  </si>
  <si>
    <t>https://deq.mt.gov/files/DEQAdmin/Climate/2020-09-09_MontanaClimateSolutions_Final.pdf</t>
  </si>
  <si>
    <t>Net-Zero Nevada: From Pledge to Action</t>
  </si>
  <si>
    <t>Net-Zero Nevada: From Pledge to Action - Kleinman Center for Energy Policy (upenn.edu)</t>
  </si>
  <si>
    <t>Nevada Senate Bill 254</t>
  </si>
  <si>
    <t>SB254 | Nevada 2019-2020 | AN ACT relating to greenhouse gas emissions; requiring the State Department of Conservation and Natural Resources to issue an annual report concerning greenhouse gas emissions in this State; and providing other matters properly relating thereto. | TrackBill</t>
  </si>
  <si>
    <t>Nevada's State Climate Strategy</t>
  </si>
  <si>
    <t>https://www.leg.state.nv.us/App/NELIS/REL/81st2021/ExhibitDocument/OpenExhibitDocument?exhibitId=47121&amp;fileDownloadName=Presentation_Nevada%27s%20State%20Climate%20Strategy_Bradley%20Crowell_%20Kristen%20Averyt_David%20Bobzien.pdf</t>
  </si>
  <si>
    <t>The New Hampshire Climate Action Plan</t>
  </si>
  <si>
    <t>https://www.des.nh.gov/sites/g/files/ehbemt341/files/documents/r-ard-09-1.pdf</t>
  </si>
  <si>
    <t>https://www.c2es.org/wp-content/uploads/2018/11/NH_2009_Action_Plan.pdf</t>
  </si>
  <si>
    <t>An Act concerning the reduction of greenhouse gases and amending P.L.2007, c.112.</t>
  </si>
  <si>
    <t>P.L. 2019, c.197 (S3207 2R) (njleg.gov)</t>
  </si>
  <si>
    <t>Executive Order No. 247</t>
  </si>
  <si>
    <t>Microsoft Word - EO-274 (d31hzlhk6di2h5.cloudfront.net)</t>
  </si>
  <si>
    <t>New Jersey's Global Warming Response Act 80x50 Report</t>
  </si>
  <si>
    <t>https://dep.nj.gov/wp-content/uploads/climatechange/nj-gwra-80x50-report-2020.pdf</t>
  </si>
  <si>
    <t>Executive Order on Addressing Climate Change and Energy Waste Prevention</t>
  </si>
  <si>
    <t>EO_2019-003.pdf (state.nm.us)</t>
  </si>
  <si>
    <t>Priority Climate Action Plan</t>
  </si>
  <si>
    <t>https://www.epa.gov/system/files/documents/2024-03/new-mexico-priority-climate-action-plan.pdf</t>
  </si>
  <si>
    <t>Senate Bill S6599</t>
  </si>
  <si>
    <t>s6599</t>
  </si>
  <si>
    <t>New York State Climate Action Council Scoping Plan</t>
  </si>
  <si>
    <t>https://climate.ny.gov/resources/scoping-plan/</t>
  </si>
  <si>
    <t>North Carolina's Transformation to a Clean, Equitable Economy</t>
  </si>
  <si>
    <t>open (nc.gov)</t>
  </si>
  <si>
    <t>North Carolina Clean Energy Plan: Transitioning to a 21st Century Electricity System</t>
  </si>
  <si>
    <t>https://files.nc.gov/ncdeq/climate-change/clean-energy-plan/NC_Clean_Energy_Plan_OCT_2019_.pdf</t>
  </si>
  <si>
    <t>Executive Order 20-04</t>
  </si>
  <si>
    <t>https://www.oregon.gov/gov/eo/eo_20-04.pdf</t>
  </si>
  <si>
    <t>Oregon Climate Action Plan (Executive Order 20-04)</t>
  </si>
  <si>
    <t>https://oeconline.org/oregon-climate-action-plan/</t>
  </si>
  <si>
    <t>U.S. State Low Carbon and Alternative Fuel Standard</t>
  </si>
  <si>
    <t>Oregon Clean Fuels Program, Oregon Renewable Fuels</t>
  </si>
  <si>
    <t>https://www.oregon.gov/deq/ghgp/cfp/pages/default.aspx</t>
  </si>
  <si>
    <t xml:space="preserve">https://www.oregon.gov/energy/energy-oregon/Pages/Renewable-Fuels.aspx </t>
  </si>
  <si>
    <t>Commonwealth Leadership in Addressing Climate Change and Promoting Energy Conservation and Sustainable Governance</t>
  </si>
  <si>
    <t>https://www.oa.pa.gov/Policies/eo/Documents/2019-01.pdf</t>
  </si>
  <si>
    <t>Pennsylvania Climate Action Plan</t>
  </si>
  <si>
    <t>https://greenport.pa.gov/elibrary//GetDocument?docId=3925177&amp;DocName=2021%20PENNSYLVANIA%20CLIMATE%20ACTION%20PLAN.PDF</t>
  </si>
  <si>
    <t>Biofuel Development and In-State Production Incentive Act</t>
  </si>
  <si>
    <t>https://www.legis.state.pa.us/cfdocs/legis/li/uconsCheck.cfm?yr=2008&amp;sessInd=0&amp;act=78</t>
  </si>
  <si>
    <t>Title 42 State Affairs and Government Chapter 6.2 2021 Act on Climate</t>
  </si>
  <si>
    <t>webserver.rilin.state.ri.us/Statutes/TITLE42/42-6.2/42-6.2-2.HTM</t>
  </si>
  <si>
    <t>Rhode Island 2022 Climate Update</t>
  </si>
  <si>
    <t>https://climatechange.ri.gov/act-climate/2025-climate-update#:~:text=The%202025%20Climate%20Action%20Strategy,Reduction%20Grant%20(CPRG)%20process</t>
  </si>
  <si>
    <t>South Carolina Climate, Energy, and Commerce Committee Final Report</t>
  </si>
  <si>
    <t>https://www.c2es.org/wp-content/uploads/2018/11/SC_2008_Action_Plan.pdf</t>
  </si>
  <si>
    <t>Don't Mess with Texas: Getting the Lone Star State to Net-Zero by 2050</t>
  </si>
  <si>
    <t>https://cockrell.utexas.edu/images/pdfs/UT_Texas_Net_Zero_by_2050_April2022_Full_Report.pdf</t>
  </si>
  <si>
    <t>Act No. 153 (H.688)</t>
  </si>
  <si>
    <t>AutoFill Template (vermont.gov)</t>
  </si>
  <si>
    <t>Initial Vermont Climate Action Plan</t>
  </si>
  <si>
    <t>https://outside.vermont.gov/agency/anr/climatecouncil/Shared%20Documents/Initial%20Climate%20Action%20Plan%20-%20Final%20-%2012-1-21.pdf</t>
  </si>
  <si>
    <t>Virginia Senate Bill 94</t>
  </si>
  <si>
    <t>Bill Tracking - 2020 session &gt; Legislation (virginia.gov)</t>
  </si>
  <si>
    <t>Final Report: A Climate Change Action Plan</t>
  </si>
  <si>
    <t>https://rga.lis.virginia.gov/Published/2009/RD19/PDF</t>
  </si>
  <si>
    <t>Greenhouse gas emissions reductions -- Reporting requirements</t>
  </si>
  <si>
    <t>RCW 70A.45.020: Greenhouse gas emissions reductions—Reporting requirements. (wa.gov)</t>
  </si>
  <si>
    <t>Carbon Emissions Reduction Taskforce Report to the Washington State Governor's Office</t>
  </si>
  <si>
    <t>https://www.c2es.org/wp-content/uploads/2018/11/WA_2014_Action_Plan.pdf</t>
  </si>
  <si>
    <t>Washington Cap-and-Invest Program</t>
  </si>
  <si>
    <t>https://lawfilesext.leg.wa.gov/biennium/2021-22/Pdf/Bills/Senate%20Passed%20Legislature/5126-S2.PL.pdf#page=1</t>
  </si>
  <si>
    <t xml:space="preserve">https://ecology.wa.gov/air-climate/climate-commitment-act/cap-and-invest </t>
  </si>
  <si>
    <t>SB 6508</t>
  </si>
  <si>
    <t>https://lawfilesext.leg.wa.gov/biennium/2005-06/Pdf/Bills/Session%20Laws/Senate/6508-S.SL.pdf</t>
  </si>
  <si>
    <t>Carbon Dioxide Removal and West Virginia: A Science &amp; Technology Perspective</t>
  </si>
  <si>
    <t>Carbon Dioxide Removal (CDR) | Bridge Initiative for S&amp;T Policy, Leadership, &amp; Communications | West Virginia University (wvu.edu)</t>
  </si>
  <si>
    <t>Governor's Task Force on Climate Change Report</t>
  </si>
  <si>
    <t>https://climatechange.wi.gov/Documents/Final%20Report/GovernorsTaskForceonClimateChangeReport-LowRes.pdf</t>
  </si>
  <si>
    <t xml:space="preserve">MOU: Regional Carbon Dioxide (CO2) Transport Infrastructure Action Plan </t>
  </si>
  <si>
    <t xml:space="preserve">https://carboncaptureready.betterenergy.org/wp-content/uploads/2020/11/Final-MOU-on-CO2-Transport-Infrastructure-10-1-2020_signatures.pdf </t>
  </si>
  <si>
    <t>SB19</t>
  </si>
  <si>
    <t>https://legiscan.com/OK/text/SB19/2023</t>
  </si>
  <si>
    <t>Tribal carbon offset assistance program grants</t>
  </si>
  <si>
    <t>https://ecology.wa.gov/about-us/payments-contracts-grants/grants-loans/find-a-grant-or-loan/tribal-carbon-offset-assistance-program</t>
  </si>
  <si>
    <t>Approach Resources</t>
  </si>
  <si>
    <t>Approach</t>
  </si>
  <si>
    <t>Source</t>
  </si>
  <si>
    <t>Link</t>
  </si>
  <si>
    <t>Applied Innovation Roadmap</t>
  </si>
  <si>
    <t>The Applied Innovation Roadmap for CDR - RMI</t>
  </si>
  <si>
    <t>Roads to Removal: Options for Carbon Dioxide Removal in the United States</t>
  </si>
  <si>
    <t>https://roads2removal.org/</t>
  </si>
  <si>
    <t>An Atlas of Direct Air Capture</t>
  </si>
  <si>
    <t>https://betterenergy.org/blog/explore-gpis-direct-air-capture-atlas/</t>
  </si>
  <si>
    <t>Global DAC Deployments</t>
  </si>
  <si>
    <t>https://daccoalition.org/global-dac-deployments/</t>
  </si>
  <si>
    <t>Direct Air Capture Deployment and Economic Opportunity: State-by-State</t>
  </si>
  <si>
    <t>https://rhg.com/research/direct-air-capture-deployment-and-economic-opportunity-state-by-state/</t>
  </si>
  <si>
    <t>A roadmap for achieving scalable, safe, and low-cost direct air carbon capture and storage</t>
  </si>
  <si>
    <t>https://pubs.rsc.org/en/content/articlehtml/2023/ee/d3ee01008b</t>
  </si>
  <si>
    <t>Regional implications of carbon dioxide removal in meeting net zero targets for the United States</t>
  </si>
  <si>
    <t>https://iopscience.iop.org/article/10.1088/1748-9326/aced18</t>
  </si>
  <si>
    <t>Removing Carbon Dioxide Through Ocean Alkalinity Enhancement: Legal Challenges and Opportunities</t>
  </si>
  <si>
    <t>https://blogs.law.columbia.edu/climatechange/2021/08/30/removing-carbon-dioxide-through-ocean-alkalinity-enhancement-legal-challenges-and-opportunities/</t>
  </si>
  <si>
    <t>Geochemical Negative Emissions Technologies: Part II. Roadmap</t>
  </si>
  <si>
    <t>https://www.frontiersin.org/journals/climate/articles/10.3389/fclim.2022.945332/full</t>
  </si>
  <si>
    <t>5 Things to Know About Carbon Mineralization</t>
  </si>
  <si>
    <t>https://www.wri.org/insights/carbon-mineralization-carbon-removal</t>
  </si>
  <si>
    <t>Cascade Climate ERW Policy Priorities</t>
  </si>
  <si>
    <t>https://cascadeclimate.org/blog/policy</t>
  </si>
  <si>
    <t>Removing Carbon Dioxide Through Artificial Upwelling and Downwelling: Legal Challenges and Opportunities</t>
  </si>
  <si>
    <t>https://blogs.law.columbia.edu/climatechange/2022/05/10/removing-carbon-dioxide-through-artificial-upwelling-and-downwelling-legal-challenges-and-opportunities/</t>
  </si>
  <si>
    <t>Removing Carbon Dioxide Through Seaweed Cultivation: Legal Challenges and Opportunities</t>
  </si>
  <si>
    <t>https://blogs.law.columbia.edu/climatechange/2021/09/07/removing-carbon-dioxide-through-seaweed-cultivation-legal-challenges-and-opportunities/</t>
  </si>
  <si>
    <t>Removing Carbon Dioxide Through Ocean Fertilization: Legal Challenges and Opportunities</t>
  </si>
  <si>
    <t>https://blogs.law.columbia.edu/climatechange/2022/07/14/removing-carbon-dioxide-through-ocean-fertilization-legal-challenges-and-opportunities/</t>
  </si>
  <si>
    <t>Surveying the BECCS Landscape</t>
  </si>
  <si>
    <t>https://efifoundation.org/wp-content/uploads/sites/3/2022/03/Surveying-the-BECCS-Landscape_ExecutiveSummary_2022.pdf</t>
  </si>
  <si>
    <t>STATES</t>
  </si>
  <si>
    <t>APPROACH CATEGORIES</t>
  </si>
  <si>
    <t>Climate governance</t>
  </si>
  <si>
    <t>Forest &amp; Farm Coverage</t>
  </si>
  <si>
    <t>CO2 geologic Storage Potential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</si>
</sst>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
    <numFmt numFmtId="167" formatCode="0.0000%"/>
    <numFmt numFmtId="168" formatCode="0.000"/>
    <numFmt numFmtId="169" formatCode="0.0"/>
  </numFmts>
  <fonts count="37">
    <font>
      <sz val="11"/>
      <color theme="1"/>
      <name val="Calibri"/>
      <family val="2"/>
      <scheme val="minor"/>
    </font>
    <font>
      <u/>
      <sz val="11"/>
      <color theme="10"/>
      <name val="Calibri"/>
      <family val="2"/>
      <scheme val="minor"/>
    </font>
    <font>
      <b/>
      <sz val="11"/>
      <color theme="1"/>
      <name val="Calibri"/>
      <family val="2"/>
      <scheme val="minor"/>
    </font>
    <font>
      <sz val="11"/>
      <color theme="1"/>
      <name val="Calibri"/>
      <family val="2"/>
      <scheme val="minor"/>
    </font>
    <font>
      <sz val="8"/>
      <name val="Calibri"/>
      <family val="2"/>
      <scheme val="minor"/>
    </font>
    <font>
      <b/>
      <sz val="16"/>
      <color theme="0"/>
      <name val="Roboto"/>
    </font>
    <font>
      <sz val="11"/>
      <color theme="0"/>
      <name val="Roboto"/>
    </font>
    <font>
      <b/>
      <sz val="10"/>
      <color rgb="FF45CFCC"/>
      <name val="Roboto"/>
    </font>
    <font>
      <sz val="11"/>
      <color theme="1"/>
      <name val="Roboto"/>
    </font>
    <font>
      <b/>
      <sz val="18"/>
      <color theme="1"/>
      <name val="Roboto"/>
    </font>
    <font>
      <b/>
      <sz val="11"/>
      <color theme="1"/>
      <name val="Roboto"/>
    </font>
    <font>
      <sz val="11"/>
      <name val="Roboto"/>
    </font>
    <font>
      <u/>
      <sz val="11"/>
      <color theme="10"/>
      <name val="Roboto"/>
    </font>
    <font>
      <sz val="11"/>
      <color rgb="FF000000"/>
      <name val="Roboto"/>
    </font>
    <font>
      <b/>
      <sz val="14"/>
      <color theme="0"/>
      <name val="Roboto"/>
    </font>
    <font>
      <b/>
      <sz val="11"/>
      <color theme="0"/>
      <name val="Roboto"/>
    </font>
    <font>
      <b/>
      <sz val="11"/>
      <color rgb="FF000000"/>
      <name val="Roboto"/>
    </font>
    <font>
      <b/>
      <sz val="11"/>
      <color rgb="FFFF0000"/>
      <name val="Roboto"/>
    </font>
    <font>
      <b/>
      <i/>
      <sz val="11"/>
      <color theme="1"/>
      <name val="Roboto"/>
    </font>
    <font>
      <sz val="12"/>
      <color rgb="FF000000"/>
      <name val="Roboto"/>
    </font>
    <font>
      <sz val="10"/>
      <color rgb="FF000000"/>
      <name val="Roboto"/>
    </font>
    <font>
      <sz val="14"/>
      <color theme="1"/>
      <name val="Roboto"/>
    </font>
    <font>
      <b/>
      <sz val="14"/>
      <color theme="1"/>
      <name val="Roboto"/>
    </font>
    <font>
      <u/>
      <sz val="11"/>
      <color theme="1"/>
      <name val="Roboto"/>
    </font>
    <font>
      <sz val="16"/>
      <color theme="0"/>
      <name val="Roboto"/>
    </font>
    <font>
      <sz val="12"/>
      <color rgb="FF000000"/>
      <name val="Aptos Narrow"/>
      <family val="2"/>
    </font>
    <font>
      <i/>
      <sz val="11"/>
      <color rgb="FF000000"/>
      <name val="Roboto"/>
    </font>
    <font>
      <i/>
      <sz val="10"/>
      <color theme="0"/>
      <name val="Roboto"/>
    </font>
    <font>
      <sz val="18"/>
      <name val="Arial"/>
      <family val="2"/>
    </font>
    <font>
      <sz val="16"/>
      <color rgb="FF003B63"/>
      <name val="Arial"/>
      <family val="2"/>
    </font>
    <font>
      <b/>
      <sz val="16"/>
      <color rgb="FFFFFFFF"/>
      <name val="Roboto"/>
    </font>
    <font>
      <sz val="16"/>
      <color rgb="FFFFFFFF"/>
      <name val="Roboto"/>
    </font>
    <font>
      <b/>
      <sz val="12"/>
      <color rgb="FFFFFFFF"/>
      <name val="Roboto"/>
    </font>
    <font>
      <vertAlign val="subscript"/>
      <sz val="12"/>
      <color rgb="FF000000"/>
      <name val="Roboto"/>
    </font>
    <font>
      <sz val="11"/>
      <color theme="0"/>
      <name val="Calibri"/>
      <family val="2"/>
      <scheme val="minor"/>
    </font>
    <font>
      <sz val="11"/>
      <color rgb="FF242424"/>
      <name val="Roboto"/>
    </font>
    <font>
      <sz val="11"/>
      <color rgb="FFFF0000"/>
      <name val="Roboto"/>
    </font>
  </fonts>
  <fills count="54">
    <fill>
      <patternFill patternType="none"/>
    </fill>
    <fill>
      <patternFill patternType="gray125"/>
    </fill>
    <fill>
      <patternFill patternType="solid">
        <fgColor theme="4" tint="0.59999389629810485"/>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3"/>
        <bgColor indexed="64"/>
      </patternFill>
    </fill>
    <fill>
      <patternFill patternType="solid">
        <fgColor rgb="FFBCB5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0000"/>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4" tint="-0.49998474074526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7" tint="-0.49998474074526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521B93"/>
        <bgColor indexed="64"/>
      </patternFill>
    </fill>
    <fill>
      <patternFill patternType="solid">
        <fgColor rgb="FFFFFFFF"/>
        <bgColor indexed="64"/>
      </patternFill>
    </fill>
    <fill>
      <patternFill patternType="solid">
        <fgColor rgb="FF9767FF"/>
        <bgColor indexed="64"/>
      </patternFill>
    </fill>
    <fill>
      <patternFill patternType="solid">
        <fgColor rgb="FF00B0F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7030A0"/>
        <bgColor indexed="64"/>
      </patternFill>
    </fill>
    <fill>
      <patternFill patternType="solid">
        <fgColor theme="0" tint="-4.9989318521683403E-2"/>
        <bgColor indexed="64"/>
      </patternFill>
    </fill>
    <fill>
      <patternFill patternType="solid">
        <fgColor rgb="FF003B63"/>
        <bgColor indexed="64"/>
      </patternFill>
    </fill>
    <fill>
      <patternFill patternType="solid">
        <fgColor theme="8" tint="0.39997558519241921"/>
        <bgColor indexed="64"/>
      </patternFill>
    </fill>
    <fill>
      <patternFill patternType="solid">
        <fgColor rgb="FFEDEDED"/>
        <bgColor indexed="64"/>
      </patternFill>
    </fill>
    <fill>
      <patternFill patternType="solid">
        <fgColor rgb="FF7F7F7F"/>
        <bgColor indexed="64"/>
      </patternFill>
    </fill>
    <fill>
      <patternFill patternType="solid">
        <fgColor rgb="FF0989B1"/>
        <bgColor indexed="64"/>
      </patternFill>
    </fill>
    <fill>
      <patternFill patternType="solid">
        <fgColor rgb="FFCCDAE4"/>
        <bgColor indexed="64"/>
      </patternFill>
    </fill>
    <fill>
      <patternFill patternType="solid">
        <fgColor rgb="FFE7EDF2"/>
        <bgColor indexed="64"/>
      </patternFill>
    </fill>
    <fill>
      <patternFill patternType="solid">
        <fgColor rgb="FFE7EEF3"/>
        <bgColor indexed="64"/>
      </patternFill>
    </fill>
    <fill>
      <patternFill patternType="solid">
        <fgColor rgb="FFCDDBE4"/>
        <bgColor indexed="64"/>
      </patternFill>
    </fill>
    <fill>
      <patternFill patternType="solid">
        <fgColor rgb="FFEB9896"/>
        <bgColor indexed="64"/>
      </patternFill>
    </fill>
    <fill>
      <patternFill patternType="solid">
        <fgColor theme="2" tint="-9.9978637043366805E-2"/>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rgb="FF000000"/>
      </right>
      <top/>
      <bottom/>
      <diagonal/>
    </border>
    <border>
      <left/>
      <right/>
      <top/>
      <bottom style="medium">
        <color rgb="FF000000"/>
      </bottom>
      <diagonal/>
    </border>
    <border>
      <left/>
      <right/>
      <top/>
      <bottom style="thick">
        <color rgb="FF45CFCC"/>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rgb="FF000000"/>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indexed="64"/>
      </bottom>
      <diagonal/>
    </border>
    <border>
      <left style="thin">
        <color indexed="64"/>
      </left>
      <right style="thin">
        <color indexed="64"/>
      </right>
      <top/>
      <bottom style="medium">
        <color rgb="FF000000"/>
      </bottom>
      <diagonal/>
    </border>
    <border>
      <left/>
      <right style="thin">
        <color rgb="FF000000"/>
      </right>
      <top/>
      <bottom style="thick">
        <color rgb="FF45CFCC"/>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thick">
        <color rgb="FFFFFFFF"/>
      </top>
      <bottom style="medium">
        <color rgb="FFFFFFFF"/>
      </bottom>
      <diagonal/>
    </border>
    <border>
      <left/>
      <right style="medium">
        <color rgb="FFFFFFFF"/>
      </right>
      <top style="thick">
        <color rgb="FFFFFFFF"/>
      </top>
      <bottom style="medium">
        <color rgb="FFFFFFFF"/>
      </bottom>
      <diagonal/>
    </border>
    <border>
      <left style="medium">
        <color rgb="FFFFFFFF"/>
      </left>
      <right/>
      <top/>
      <bottom style="thick">
        <color rgb="FFFFFFFF"/>
      </bottom>
      <diagonal/>
    </border>
    <border>
      <left/>
      <right style="medium">
        <color rgb="FFFFFFFF"/>
      </right>
      <top/>
      <bottom style="thick">
        <color rgb="FFFFFFFF"/>
      </bottom>
      <diagonal/>
    </border>
    <border>
      <left style="medium">
        <color rgb="FFFFFFFF"/>
      </left>
      <right/>
      <top/>
      <bottom/>
      <diagonal/>
    </border>
    <border>
      <left/>
      <right/>
      <top style="medium">
        <color rgb="FFFFFFFF"/>
      </top>
      <bottom style="medium">
        <color rgb="FFFFFFFF"/>
      </bottom>
      <diagonal/>
    </border>
    <border>
      <left/>
      <right/>
      <top style="thick">
        <color rgb="FFFFFFFF"/>
      </top>
      <bottom style="medium">
        <color rgb="FFFFFFFF"/>
      </bottom>
      <diagonal/>
    </border>
    <border>
      <left/>
      <right/>
      <top/>
      <bottom style="thick">
        <color rgb="FFFFFFFF"/>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rgb="FF000000"/>
      </top>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bottom style="thin">
        <color indexed="64"/>
      </bottom>
      <diagonal/>
    </border>
    <border>
      <left style="thin">
        <color indexed="64"/>
      </left>
      <right/>
      <top style="medium">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0" fontId="1"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cellStyleXfs>
  <cellXfs count="581">
    <xf numFmtId="0" fontId="0" fillId="0" borderId="0" xfId="0"/>
    <xf numFmtId="0" fontId="5" fillId="42" borderId="0" xfId="0" applyFont="1" applyFill="1" applyAlignment="1">
      <alignment vertical="top"/>
    </xf>
    <xf numFmtId="0" fontId="7" fillId="42" borderId="0" xfId="0" applyFont="1" applyFill="1"/>
    <xf numFmtId="0" fontId="5" fillId="42" borderId="15" xfId="0" applyFont="1" applyFill="1" applyBorder="1" applyAlignment="1">
      <alignment vertical="top"/>
    </xf>
    <xf numFmtId="0" fontId="8" fillId="42" borderId="0" xfId="0" applyFont="1" applyFill="1"/>
    <xf numFmtId="0" fontId="8" fillId="42" borderId="15" xfId="0" applyFont="1" applyFill="1" applyBorder="1"/>
    <xf numFmtId="0" fontId="8" fillId="0" borderId="0" xfId="0" applyFont="1"/>
    <xf numFmtId="0" fontId="9" fillId="0" borderId="0" xfId="0" applyFont="1"/>
    <xf numFmtId="0" fontId="10" fillId="0" borderId="0" xfId="0" applyFont="1"/>
    <xf numFmtId="0" fontId="10" fillId="42" borderId="0" xfId="0" applyFont="1" applyFill="1"/>
    <xf numFmtId="0" fontId="8" fillId="0" borderId="0" xfId="0" applyFont="1" applyAlignment="1">
      <alignment vertical="center"/>
    </xf>
    <xf numFmtId="0" fontId="11" fillId="0" borderId="0" xfId="0" applyFont="1"/>
    <xf numFmtId="0" fontId="8" fillId="0" borderId="0" xfId="0" applyFont="1" applyAlignment="1">
      <alignment vertical="center" wrapText="1"/>
    </xf>
    <xf numFmtId="0" fontId="8" fillId="0" borderId="0" xfId="0" applyFont="1" applyAlignment="1">
      <alignment wrapText="1"/>
    </xf>
    <xf numFmtId="0" fontId="8" fillId="10" borderId="0" xfId="0" applyFont="1" applyFill="1"/>
    <xf numFmtId="0" fontId="10" fillId="9" borderId="3" xfId="0" applyFont="1" applyFill="1" applyBorder="1" applyAlignment="1">
      <alignment wrapText="1"/>
    </xf>
    <xf numFmtId="0" fontId="8" fillId="0" borderId="4" xfId="0" applyFont="1" applyBorder="1" applyAlignment="1">
      <alignment wrapText="1"/>
    </xf>
    <xf numFmtId="2" fontId="8" fillId="0" borderId="0" xfId="0" applyNumberFormat="1" applyFont="1"/>
    <xf numFmtId="3" fontId="8" fillId="0" borderId="0" xfId="0" applyNumberFormat="1" applyFont="1" applyAlignment="1">
      <alignment wrapText="1"/>
    </xf>
    <xf numFmtId="0" fontId="8" fillId="0" borderId="13" xfId="0" applyFont="1" applyBorder="1"/>
    <xf numFmtId="2" fontId="8" fillId="0" borderId="0" xfId="0" applyNumberFormat="1" applyFont="1" applyAlignment="1">
      <alignment wrapText="1"/>
    </xf>
    <xf numFmtId="0" fontId="10" fillId="8" borderId="4" xfId="0" applyFont="1" applyFill="1" applyBorder="1" applyAlignment="1">
      <alignment wrapText="1"/>
    </xf>
    <xf numFmtId="0" fontId="15" fillId="15" borderId="4" xfId="0" applyFont="1" applyFill="1" applyBorder="1" applyAlignment="1">
      <alignment horizontal="center" wrapText="1"/>
    </xf>
    <xf numFmtId="0" fontId="6" fillId="22" borderId="0" xfId="0" applyFont="1" applyFill="1" applyAlignment="1">
      <alignment wrapText="1"/>
    </xf>
    <xf numFmtId="10" fontId="15" fillId="15" borderId="0" xfId="3" applyNumberFormat="1" applyFont="1" applyFill="1" applyBorder="1" applyAlignment="1">
      <alignment horizontal="center" wrapText="1"/>
    </xf>
    <xf numFmtId="10" fontId="15" fillId="15" borderId="0" xfId="3" applyNumberFormat="1" applyFont="1" applyFill="1" applyAlignment="1">
      <alignment horizontal="center" wrapText="1"/>
    </xf>
    <xf numFmtId="10" fontId="15" fillId="15" borderId="0" xfId="0" applyNumberFormat="1" applyFont="1" applyFill="1" applyAlignment="1">
      <alignment horizontal="center" wrapText="1"/>
    </xf>
    <xf numFmtId="10" fontId="15" fillId="15" borderId="4" xfId="0" applyNumberFormat="1" applyFont="1" applyFill="1" applyBorder="1" applyAlignment="1">
      <alignment horizontal="center" wrapText="1"/>
    </xf>
    <xf numFmtId="10" fontId="15" fillId="22" borderId="0" xfId="0" applyNumberFormat="1" applyFont="1" applyFill="1" applyAlignment="1">
      <alignment horizontal="center" wrapText="1"/>
    </xf>
    <xf numFmtId="10" fontId="6" fillId="22" borderId="0" xfId="0" applyNumberFormat="1" applyFont="1" applyFill="1" applyAlignment="1">
      <alignment wrapText="1"/>
    </xf>
    <xf numFmtId="0" fontId="10" fillId="9" borderId="8" xfId="0" applyFont="1" applyFill="1" applyBorder="1" applyAlignment="1">
      <alignment horizontal="center" vertical="center" wrapText="1"/>
    </xf>
    <xf numFmtId="0" fontId="15" fillId="15" borderId="3" xfId="0" applyFont="1" applyFill="1" applyBorder="1" applyAlignment="1">
      <alignment wrapText="1"/>
    </xf>
    <xf numFmtId="0" fontId="15" fillId="15" borderId="8" xfId="0" applyFont="1" applyFill="1" applyBorder="1" applyAlignment="1">
      <alignment wrapText="1"/>
    </xf>
    <xf numFmtId="0" fontId="15" fillId="22" borderId="3" xfId="0" applyFont="1" applyFill="1" applyBorder="1" applyAlignment="1">
      <alignment wrapText="1"/>
    </xf>
    <xf numFmtId="0" fontId="8" fillId="9" borderId="3" xfId="0" applyFont="1" applyFill="1" applyBorder="1" applyAlignment="1">
      <alignment wrapText="1"/>
    </xf>
    <xf numFmtId="2" fontId="6" fillId="15" borderId="0" xfId="0" applyNumberFormat="1" applyFont="1" applyFill="1" applyAlignment="1">
      <alignment wrapText="1"/>
    </xf>
    <xf numFmtId="2" fontId="6" fillId="15" borderId="4" xfId="0" applyNumberFormat="1" applyFont="1" applyFill="1" applyBorder="1" applyAlignment="1">
      <alignment wrapText="1"/>
    </xf>
    <xf numFmtId="2" fontId="6" fillId="22" borderId="0" xfId="0" applyNumberFormat="1" applyFont="1" applyFill="1" applyAlignment="1">
      <alignment wrapText="1"/>
    </xf>
    <xf numFmtId="0" fontId="10" fillId="0" borderId="1" xfId="0" applyFont="1" applyBorder="1" applyAlignment="1">
      <alignment wrapText="1"/>
    </xf>
    <xf numFmtId="0" fontId="8" fillId="0" borderId="1" xfId="0" applyFont="1" applyBorder="1" applyAlignment="1">
      <alignment wrapText="1"/>
    </xf>
    <xf numFmtId="0" fontId="8" fillId="0" borderId="1" xfId="0" applyFont="1" applyBorder="1" applyAlignment="1">
      <alignment vertical="center" wrapText="1"/>
    </xf>
    <xf numFmtId="0" fontId="16" fillId="9" borderId="3" xfId="0" applyFont="1" applyFill="1" applyBorder="1" applyAlignment="1">
      <alignment wrapText="1"/>
    </xf>
    <xf numFmtId="3" fontId="8" fillId="0" borderId="0" xfId="0" applyNumberFormat="1" applyFont="1"/>
    <xf numFmtId="0" fontId="10" fillId="42" borderId="15" xfId="0" applyFont="1" applyFill="1" applyBorder="1"/>
    <xf numFmtId="0" fontId="8" fillId="0" borderId="1" xfId="0" applyFont="1" applyBorder="1"/>
    <xf numFmtId="0" fontId="8" fillId="6" borderId="1" xfId="0" applyFont="1" applyFill="1" applyBorder="1"/>
    <xf numFmtId="0" fontId="8" fillId="5" borderId="1" xfId="0" applyFont="1" applyFill="1" applyBorder="1"/>
    <xf numFmtId="0" fontId="8" fillId="38" borderId="1" xfId="0" applyFont="1" applyFill="1" applyBorder="1"/>
    <xf numFmtId="0" fontId="13" fillId="0" borderId="1" xfId="0" applyFont="1" applyBorder="1"/>
    <xf numFmtId="0" fontId="13" fillId="39" borderId="1" xfId="0" applyFont="1" applyFill="1" applyBorder="1"/>
    <xf numFmtId="0" fontId="8" fillId="39" borderId="1" xfId="0" applyFont="1" applyFill="1" applyBorder="1"/>
    <xf numFmtId="0" fontId="8" fillId="5" borderId="1" xfId="0" applyFont="1" applyFill="1" applyBorder="1" applyAlignment="1">
      <alignment wrapText="1"/>
    </xf>
    <xf numFmtId="0" fontId="8" fillId="38" borderId="1" xfId="0" applyFont="1" applyFill="1" applyBorder="1" applyAlignment="1">
      <alignment wrapText="1"/>
    </xf>
    <xf numFmtId="0" fontId="8" fillId="6" borderId="1" xfId="0" applyFont="1" applyFill="1" applyBorder="1" applyAlignment="1">
      <alignment wrapText="1"/>
    </xf>
    <xf numFmtId="0" fontId="10" fillId="41" borderId="0" xfId="0" applyFont="1" applyFill="1"/>
    <xf numFmtId="0" fontId="8" fillId="41" borderId="0" xfId="0" applyFont="1" applyFill="1"/>
    <xf numFmtId="3" fontId="8" fillId="41" borderId="0" xfId="0" applyNumberFormat="1" applyFont="1" applyFill="1"/>
    <xf numFmtId="0" fontId="10" fillId="0" borderId="1" xfId="0" applyFont="1" applyBorder="1"/>
    <xf numFmtId="0" fontId="16" fillId="6" borderId="1" xfId="0" applyFont="1" applyFill="1" applyBorder="1"/>
    <xf numFmtId="0" fontId="17" fillId="6" borderId="1" xfId="0" applyFont="1" applyFill="1" applyBorder="1"/>
    <xf numFmtId="0" fontId="10" fillId="6" borderId="1" xfId="0" applyFont="1" applyFill="1" applyBorder="1"/>
    <xf numFmtId="0" fontId="8" fillId="0" borderId="10" xfId="0" applyFont="1" applyBorder="1"/>
    <xf numFmtId="0" fontId="8" fillId="5" borderId="10" xfId="0" applyFont="1" applyFill="1" applyBorder="1"/>
    <xf numFmtId="0" fontId="8" fillId="38" borderId="10" xfId="0" applyFont="1" applyFill="1" applyBorder="1"/>
    <xf numFmtId="0" fontId="8" fillId="6" borderId="10" xfId="0" applyFont="1" applyFill="1" applyBorder="1"/>
    <xf numFmtId="0" fontId="8" fillId="0" borderId="10" xfId="0" applyFont="1" applyBorder="1" applyAlignment="1">
      <alignment wrapText="1"/>
    </xf>
    <xf numFmtId="0" fontId="13" fillId="0" borderId="10" xfId="0" applyFont="1" applyBorder="1"/>
    <xf numFmtId="0" fontId="8" fillId="5" borderId="16" xfId="0" applyFont="1" applyFill="1" applyBorder="1"/>
    <xf numFmtId="0" fontId="8" fillId="38" borderId="16" xfId="0" applyFont="1" applyFill="1" applyBorder="1"/>
    <xf numFmtId="0" fontId="8" fillId="6" borderId="16" xfId="0" applyFont="1" applyFill="1" applyBorder="1"/>
    <xf numFmtId="0" fontId="8" fillId="41" borderId="16" xfId="0" applyFont="1" applyFill="1" applyBorder="1"/>
    <xf numFmtId="0" fontId="8" fillId="41" borderId="1" xfId="0" applyFont="1" applyFill="1" applyBorder="1" applyAlignment="1">
      <alignment wrapText="1"/>
    </xf>
    <xf numFmtId="0" fontId="6" fillId="20" borderId="1" xfId="0" applyFont="1" applyFill="1" applyBorder="1"/>
    <xf numFmtId="2" fontId="6" fillId="33" borderId="1" xfId="0" applyNumberFormat="1" applyFont="1" applyFill="1" applyBorder="1"/>
    <xf numFmtId="0" fontId="13" fillId="0" borderId="1" xfId="0" applyFont="1" applyBorder="1" applyAlignment="1">
      <alignment horizontal="center"/>
    </xf>
    <xf numFmtId="43" fontId="13" fillId="0" borderId="1" xfId="2" applyFont="1" applyBorder="1" applyAlignment="1">
      <alignment horizontal="center"/>
    </xf>
    <xf numFmtId="0" fontId="8" fillId="0" borderId="1" xfId="0" applyFont="1" applyBorder="1" applyAlignment="1">
      <alignment horizontal="center"/>
    </xf>
    <xf numFmtId="43" fontId="8" fillId="0" borderId="1" xfId="0" applyNumberFormat="1" applyFont="1" applyBorder="1" applyAlignment="1">
      <alignment horizontal="center"/>
    </xf>
    <xf numFmtId="43" fontId="6" fillId="19" borderId="1" xfId="0" applyNumberFormat="1" applyFont="1" applyFill="1" applyBorder="1" applyAlignment="1">
      <alignment horizontal="center"/>
    </xf>
    <xf numFmtId="43" fontId="6" fillId="20" borderId="1" xfId="0" applyNumberFormat="1" applyFont="1" applyFill="1" applyBorder="1" applyAlignment="1">
      <alignment horizontal="center"/>
    </xf>
    <xf numFmtId="2" fontId="8" fillId="0" borderId="1" xfId="0" applyNumberFormat="1" applyFont="1" applyBorder="1"/>
    <xf numFmtId="4" fontId="8" fillId="0" borderId="1" xfId="0" applyNumberFormat="1" applyFont="1" applyBorder="1"/>
    <xf numFmtId="3" fontId="8" fillId="0" borderId="1" xfId="0" applyNumberFormat="1" applyFont="1" applyBorder="1"/>
    <xf numFmtId="1" fontId="6" fillId="20" borderId="1" xfId="0" applyNumberFormat="1" applyFont="1" applyFill="1" applyBorder="1"/>
    <xf numFmtId="3" fontId="8" fillId="0" borderId="1" xfId="0" applyNumberFormat="1" applyFont="1" applyBorder="1" applyAlignment="1">
      <alignment wrapText="1"/>
    </xf>
    <xf numFmtId="0" fontId="13" fillId="0" borderId="1" xfId="0" applyFont="1" applyBorder="1" applyAlignment="1">
      <alignment wrapText="1"/>
    </xf>
    <xf numFmtId="0" fontId="19" fillId="0" borderId="1" xfId="0" applyFont="1" applyBorder="1"/>
    <xf numFmtId="3" fontId="19" fillId="0" borderId="1" xfId="0" applyNumberFormat="1" applyFont="1" applyBorder="1" applyAlignment="1">
      <alignment horizontal="center"/>
    </xf>
    <xf numFmtId="164" fontId="8" fillId="0" borderId="1" xfId="2" applyNumberFormat="1" applyFont="1" applyBorder="1"/>
    <xf numFmtId="166" fontId="8" fillId="0" borderId="1" xfId="3" applyNumberFormat="1" applyFont="1" applyBorder="1"/>
    <xf numFmtId="167" fontId="8" fillId="0" borderId="1" xfId="3" applyNumberFormat="1" applyFont="1" applyBorder="1"/>
    <xf numFmtId="164" fontId="8" fillId="0" borderId="1" xfId="0" applyNumberFormat="1" applyFont="1" applyBorder="1"/>
    <xf numFmtId="9" fontId="8" fillId="0" borderId="1" xfId="3" applyFont="1" applyBorder="1"/>
    <xf numFmtId="0" fontId="20" fillId="0" borderId="1" xfId="0" applyFont="1" applyBorder="1"/>
    <xf numFmtId="0" fontId="8" fillId="21" borderId="1" xfId="0" applyFont="1" applyFill="1" applyBorder="1"/>
    <xf numFmtId="3" fontId="8" fillId="0" borderId="1" xfId="0" applyNumberFormat="1" applyFont="1" applyBorder="1" applyAlignment="1">
      <alignment horizontal="right"/>
    </xf>
    <xf numFmtId="165" fontId="8" fillId="25" borderId="1" xfId="0" applyNumberFormat="1" applyFont="1" applyFill="1" applyBorder="1"/>
    <xf numFmtId="2" fontId="6" fillId="28" borderId="1" xfId="0" applyNumberFormat="1" applyFont="1" applyFill="1" applyBorder="1"/>
    <xf numFmtId="1" fontId="8" fillId="0" borderId="1" xfId="0" applyNumberFormat="1" applyFont="1" applyBorder="1"/>
    <xf numFmtId="0" fontId="6" fillId="40" borderId="1" xfId="0" applyFont="1" applyFill="1" applyBorder="1"/>
    <xf numFmtId="0" fontId="0" fillId="0" borderId="1" xfId="0" applyBorder="1"/>
    <xf numFmtId="3" fontId="19" fillId="0" borderId="1" xfId="0" applyNumberFormat="1" applyFont="1" applyBorder="1"/>
    <xf numFmtId="0" fontId="8" fillId="0" borderId="1" xfId="0" applyFont="1" applyBorder="1" applyAlignment="1">
      <alignment horizontal="right"/>
    </xf>
    <xf numFmtId="0" fontId="12" fillId="34" borderId="1" xfId="1" applyFont="1" applyFill="1" applyBorder="1" applyAlignment="1">
      <alignment wrapText="1"/>
    </xf>
    <xf numFmtId="0" fontId="12" fillId="0" borderId="1" xfId="1" applyFont="1" applyBorder="1"/>
    <xf numFmtId="0" fontId="8" fillId="0" borderId="1" xfId="0" applyFont="1" applyBorder="1" applyAlignment="1">
      <alignment vertical="center"/>
    </xf>
    <xf numFmtId="0" fontId="12" fillId="0" borderId="1" xfId="1" applyFont="1" applyBorder="1" applyAlignment="1">
      <alignment wrapText="1"/>
    </xf>
    <xf numFmtId="3" fontId="13" fillId="0" borderId="1" xfId="0" applyNumberFormat="1" applyFont="1" applyBorder="1"/>
    <xf numFmtId="11" fontId="8" fillId="0" borderId="1" xfId="0" applyNumberFormat="1" applyFont="1" applyBorder="1"/>
    <xf numFmtId="0" fontId="8" fillId="0" borderId="1" xfId="0" applyFont="1" applyBorder="1" applyAlignment="1">
      <alignment horizontal="center" wrapText="1"/>
    </xf>
    <xf numFmtId="0" fontId="22" fillId="0" borderId="1" xfId="0" applyFont="1" applyBorder="1" applyAlignment="1">
      <alignment horizontal="right" vertical="center"/>
    </xf>
    <xf numFmtId="0" fontId="21" fillId="0" borderId="1" xfId="0" applyFont="1" applyBorder="1" applyAlignment="1">
      <alignment horizontal="left" vertical="center"/>
    </xf>
    <xf numFmtId="0" fontId="10" fillId="0" borderId="1" xfId="0" applyFont="1" applyBorder="1" applyAlignment="1">
      <alignment horizontal="right" vertical="center"/>
    </xf>
    <xf numFmtId="0" fontId="10" fillId="10" borderId="1" xfId="0" applyFont="1" applyFill="1" applyBorder="1" applyAlignment="1">
      <alignment horizontal="left" vertical="center"/>
    </xf>
    <xf numFmtId="0" fontId="10" fillId="21" borderId="1" xfId="0" applyFont="1" applyFill="1" applyBorder="1" applyAlignment="1">
      <alignment horizontal="left" vertical="center"/>
    </xf>
    <xf numFmtId="0" fontId="10" fillId="12" borderId="1" xfId="0" applyFont="1" applyFill="1" applyBorder="1" applyAlignment="1">
      <alignment horizontal="left" vertical="center"/>
    </xf>
    <xf numFmtId="0" fontId="10" fillId="20" borderId="1" xfId="0" applyFont="1" applyFill="1" applyBorder="1" applyAlignment="1">
      <alignment horizontal="left" vertical="center"/>
    </xf>
    <xf numFmtId="0" fontId="10" fillId="11" borderId="1" xfId="0" applyFont="1" applyFill="1" applyBorder="1" applyAlignment="1">
      <alignment horizontal="left" vertical="center"/>
    </xf>
    <xf numFmtId="0" fontId="15" fillId="33" borderId="1" xfId="0" applyFont="1" applyFill="1" applyBorder="1" applyAlignment="1">
      <alignment horizontal="left" vertical="center"/>
    </xf>
    <xf numFmtId="0" fontId="10" fillId="19" borderId="1" xfId="0" applyFont="1" applyFill="1" applyBorder="1" applyAlignment="1">
      <alignment horizontal="left" vertical="center"/>
    </xf>
    <xf numFmtId="0" fontId="10" fillId="36" borderId="1" xfId="0" applyFont="1" applyFill="1" applyBorder="1" applyAlignment="1">
      <alignment horizontal="left" vertical="center"/>
    </xf>
    <xf numFmtId="0" fontId="15" fillId="22" borderId="1" xfId="0" applyFont="1" applyFill="1" applyBorder="1" applyAlignment="1">
      <alignment horizontal="left" vertical="center"/>
    </xf>
    <xf numFmtId="0" fontId="15" fillId="20" borderId="1" xfId="0" applyFont="1" applyFill="1" applyBorder="1" applyAlignment="1">
      <alignment horizontal="left" vertical="center"/>
    </xf>
    <xf numFmtId="0" fontId="10" fillId="5" borderId="1" xfId="0" applyFont="1" applyFill="1" applyBorder="1" applyAlignment="1">
      <alignment horizontal="left" vertical="center"/>
    </xf>
    <xf numFmtId="0" fontId="16" fillId="37" borderId="1" xfId="0" applyFont="1" applyFill="1" applyBorder="1" applyAlignment="1">
      <alignment horizontal="left" vertical="center"/>
    </xf>
    <xf numFmtId="0" fontId="15" fillId="25" borderId="1" xfId="0" applyFont="1" applyFill="1" applyBorder="1" applyAlignment="1">
      <alignment horizontal="left" vertical="center"/>
    </xf>
    <xf numFmtId="0" fontId="10" fillId="0" borderId="1" xfId="0" applyFont="1" applyBorder="1" applyAlignment="1">
      <alignment horizontal="left" vertical="center"/>
    </xf>
    <xf numFmtId="0" fontId="10" fillId="25" borderId="1" xfId="0" applyFont="1" applyFill="1" applyBorder="1" applyAlignment="1">
      <alignment horizontal="left" vertical="center"/>
    </xf>
    <xf numFmtId="0" fontId="10" fillId="29" borderId="1" xfId="0" applyFont="1" applyFill="1" applyBorder="1" applyAlignment="1">
      <alignment horizontal="left" vertical="center"/>
    </xf>
    <xf numFmtId="0" fontId="15" fillId="28" borderId="1" xfId="0" applyFont="1" applyFill="1" applyBorder="1" applyAlignment="1">
      <alignment horizontal="left" vertical="center"/>
    </xf>
    <xf numFmtId="0" fontId="15" fillId="40" borderId="1" xfId="0" applyFont="1" applyFill="1" applyBorder="1" applyAlignment="1">
      <alignment horizontal="left" vertical="center"/>
    </xf>
    <xf numFmtId="10" fontId="10" fillId="0" borderId="1" xfId="0" applyNumberFormat="1" applyFont="1" applyBorder="1" applyAlignment="1">
      <alignment horizontal="right" vertical="center"/>
    </xf>
    <xf numFmtId="10" fontId="10" fillId="23" borderId="1" xfId="0" applyNumberFormat="1" applyFont="1" applyFill="1" applyBorder="1" applyAlignment="1">
      <alignment horizontal="center" vertical="center"/>
    </xf>
    <xf numFmtId="10" fontId="10" fillId="24" borderId="1" xfId="0" applyNumberFormat="1" applyFont="1" applyFill="1" applyBorder="1" applyAlignment="1">
      <alignment horizontal="center" vertical="center"/>
    </xf>
    <xf numFmtId="10" fontId="10" fillId="10" borderId="1" xfId="0" applyNumberFormat="1" applyFont="1" applyFill="1" applyBorder="1" applyAlignment="1">
      <alignment horizontal="center" vertical="center"/>
    </xf>
    <xf numFmtId="10" fontId="10" fillId="21" borderId="1" xfId="0" applyNumberFormat="1" applyFont="1" applyFill="1" applyBorder="1" applyAlignment="1">
      <alignment horizontal="center" vertical="center"/>
    </xf>
    <xf numFmtId="10" fontId="10" fillId="21" borderId="1" xfId="3" applyNumberFormat="1" applyFont="1" applyFill="1" applyBorder="1" applyAlignment="1">
      <alignment horizontal="center" vertical="center"/>
    </xf>
    <xf numFmtId="10" fontId="10" fillId="12" borderId="1" xfId="0" applyNumberFormat="1" applyFont="1" applyFill="1" applyBorder="1" applyAlignment="1">
      <alignment horizontal="center" vertical="center"/>
    </xf>
    <xf numFmtId="10" fontId="10" fillId="12" borderId="1" xfId="3" applyNumberFormat="1" applyFont="1" applyFill="1" applyBorder="1" applyAlignment="1">
      <alignment horizontal="center" vertical="center"/>
    </xf>
    <xf numFmtId="10" fontId="10" fillId="12" borderId="1" xfId="0" applyNumberFormat="1" applyFont="1" applyFill="1" applyBorder="1" applyAlignment="1">
      <alignment horizontal="center" vertical="center" wrapText="1"/>
    </xf>
    <xf numFmtId="10" fontId="10" fillId="20" borderId="1" xfId="0" applyNumberFormat="1" applyFont="1" applyFill="1" applyBorder="1" applyAlignment="1">
      <alignment horizontal="center" vertical="center"/>
    </xf>
    <xf numFmtId="10" fontId="10" fillId="35" borderId="1" xfId="0" applyNumberFormat="1" applyFont="1" applyFill="1" applyBorder="1" applyAlignment="1">
      <alignment horizontal="center" vertical="center" wrapText="1"/>
    </xf>
    <xf numFmtId="10" fontId="10" fillId="11" borderId="1" xfId="0" applyNumberFormat="1" applyFont="1" applyFill="1" applyBorder="1" applyAlignment="1">
      <alignment horizontal="center" vertical="center"/>
    </xf>
    <xf numFmtId="10" fontId="15" fillId="33" borderId="1" xfId="0" applyNumberFormat="1" applyFont="1" applyFill="1" applyBorder="1" applyAlignment="1">
      <alignment horizontal="center" vertical="center"/>
    </xf>
    <xf numFmtId="10" fontId="6" fillId="31" borderId="1" xfId="0" applyNumberFormat="1" applyFont="1" applyFill="1" applyBorder="1" applyAlignment="1">
      <alignment horizontal="center" vertical="center"/>
    </xf>
    <xf numFmtId="10" fontId="6" fillId="31" borderId="1" xfId="0" applyNumberFormat="1" applyFont="1" applyFill="1" applyBorder="1" applyAlignment="1">
      <alignment horizontal="center" vertical="center" wrapText="1"/>
    </xf>
    <xf numFmtId="10" fontId="6" fillId="31" borderId="1" xfId="2" applyNumberFormat="1" applyFont="1" applyFill="1" applyBorder="1" applyAlignment="1">
      <alignment horizontal="center" vertical="center"/>
    </xf>
    <xf numFmtId="10" fontId="8" fillId="32" borderId="1" xfId="0" applyNumberFormat="1" applyFont="1" applyFill="1" applyBorder="1" applyAlignment="1">
      <alignment horizontal="center" vertical="center"/>
    </xf>
    <xf numFmtId="10" fontId="8" fillId="7" borderId="1" xfId="0" applyNumberFormat="1" applyFont="1" applyFill="1" applyBorder="1" applyAlignment="1">
      <alignment horizontal="center" vertical="center"/>
    </xf>
    <xf numFmtId="10" fontId="8" fillId="9" borderId="1" xfId="0" applyNumberFormat="1" applyFont="1" applyFill="1" applyBorder="1" applyAlignment="1">
      <alignment horizontal="center" vertical="center" wrapText="1"/>
    </xf>
    <xf numFmtId="10" fontId="15" fillId="19" borderId="1" xfId="0" applyNumberFormat="1" applyFont="1" applyFill="1" applyBorder="1" applyAlignment="1">
      <alignment horizontal="center" vertical="center" wrapText="1"/>
    </xf>
    <xf numFmtId="10" fontId="16" fillId="12" borderId="1" xfId="0" applyNumberFormat="1" applyFont="1" applyFill="1" applyBorder="1" applyAlignment="1">
      <alignment horizontal="center" vertical="center" wrapText="1"/>
    </xf>
    <xf numFmtId="10" fontId="15" fillId="20" borderId="1" xfId="0" applyNumberFormat="1" applyFont="1" applyFill="1" applyBorder="1" applyAlignment="1">
      <alignment horizontal="center" vertical="center" wrapText="1"/>
    </xf>
    <xf numFmtId="10" fontId="8" fillId="36" borderId="1" xfId="0" applyNumberFormat="1" applyFont="1" applyFill="1" applyBorder="1" applyAlignment="1">
      <alignment horizontal="center" vertical="center"/>
    </xf>
    <xf numFmtId="10" fontId="8" fillId="4" borderId="1" xfId="0" applyNumberFormat="1" applyFont="1" applyFill="1" applyBorder="1" applyAlignment="1">
      <alignment horizontal="center" vertical="center"/>
    </xf>
    <xf numFmtId="10" fontId="8" fillId="2" borderId="1" xfId="0" applyNumberFormat="1" applyFont="1" applyFill="1" applyBorder="1" applyAlignment="1">
      <alignment horizontal="center" vertical="center"/>
    </xf>
    <xf numFmtId="10" fontId="8" fillId="8" borderId="1" xfId="0" applyNumberFormat="1" applyFont="1" applyFill="1" applyBorder="1" applyAlignment="1">
      <alignment horizontal="center" vertical="center"/>
    </xf>
    <xf numFmtId="10" fontId="6" fillId="22" borderId="1" xfId="0" applyNumberFormat="1" applyFont="1" applyFill="1" applyBorder="1" applyAlignment="1">
      <alignment horizontal="center" vertical="center"/>
    </xf>
    <xf numFmtId="10" fontId="8" fillId="12" borderId="1" xfId="0" applyNumberFormat="1" applyFont="1" applyFill="1" applyBorder="1" applyAlignment="1">
      <alignment horizontal="center" vertical="center"/>
    </xf>
    <xf numFmtId="10" fontId="6" fillId="20" borderId="1" xfId="0" applyNumberFormat="1" applyFont="1" applyFill="1" applyBorder="1" applyAlignment="1">
      <alignment horizontal="center" vertical="center"/>
    </xf>
    <xf numFmtId="10" fontId="8" fillId="13" borderId="1" xfId="0" applyNumberFormat="1" applyFont="1" applyFill="1" applyBorder="1" applyAlignment="1">
      <alignment horizontal="center" vertical="center"/>
    </xf>
    <xf numFmtId="10" fontId="13" fillId="13" borderId="1" xfId="0" applyNumberFormat="1" applyFont="1" applyFill="1" applyBorder="1" applyAlignment="1">
      <alignment horizontal="center" vertical="center"/>
    </xf>
    <xf numFmtId="10" fontId="8" fillId="5" borderId="1" xfId="0" applyNumberFormat="1" applyFont="1" applyFill="1" applyBorder="1" applyAlignment="1">
      <alignment horizontal="center" vertical="center"/>
    </xf>
    <xf numFmtId="10" fontId="8" fillId="5" borderId="1" xfId="0" applyNumberFormat="1" applyFont="1" applyFill="1" applyBorder="1" applyAlignment="1">
      <alignment horizontal="center" vertical="center" wrapText="1"/>
    </xf>
    <xf numFmtId="10" fontId="8" fillId="37" borderId="1" xfId="0" applyNumberFormat="1" applyFont="1" applyFill="1" applyBorder="1" applyAlignment="1">
      <alignment horizontal="center" vertical="center"/>
    </xf>
    <xf numFmtId="10" fontId="13" fillId="37" borderId="1" xfId="0" applyNumberFormat="1" applyFont="1" applyFill="1" applyBorder="1" applyAlignment="1">
      <alignment horizontal="center" vertical="center"/>
    </xf>
    <xf numFmtId="10" fontId="8" fillId="26" borderId="1" xfId="0" applyNumberFormat="1" applyFont="1" applyFill="1" applyBorder="1" applyAlignment="1">
      <alignment horizontal="center" vertical="center"/>
    </xf>
    <xf numFmtId="10" fontId="8" fillId="27" borderId="1" xfId="0" applyNumberFormat="1" applyFont="1" applyFill="1" applyBorder="1" applyAlignment="1">
      <alignment horizontal="center" vertical="center"/>
    </xf>
    <xf numFmtId="10" fontId="6" fillId="25" borderId="1" xfId="0" applyNumberFormat="1" applyFont="1" applyFill="1" applyBorder="1" applyAlignment="1">
      <alignment horizontal="center" vertical="center"/>
    </xf>
    <xf numFmtId="10" fontId="8" fillId="0" borderId="1" xfId="0" applyNumberFormat="1" applyFont="1" applyBorder="1" applyAlignment="1">
      <alignment horizontal="center" vertical="center"/>
    </xf>
    <xf numFmtId="10" fontId="11" fillId="5" borderId="1" xfId="3" applyNumberFormat="1" applyFont="1" applyFill="1" applyBorder="1" applyAlignment="1">
      <alignment horizontal="center" vertical="center"/>
    </xf>
    <xf numFmtId="10" fontId="8" fillId="21" borderId="1" xfId="0" applyNumberFormat="1" applyFont="1" applyFill="1" applyBorder="1" applyAlignment="1">
      <alignment horizontal="center" vertical="center"/>
    </xf>
    <xf numFmtId="10" fontId="8" fillId="16" borderId="1" xfId="0" applyNumberFormat="1" applyFont="1" applyFill="1" applyBorder="1" applyAlignment="1">
      <alignment horizontal="center" vertical="center"/>
    </xf>
    <xf numFmtId="10" fontId="8" fillId="25" borderId="1" xfId="0" applyNumberFormat="1" applyFont="1" applyFill="1" applyBorder="1" applyAlignment="1">
      <alignment horizontal="center" vertical="center"/>
    </xf>
    <xf numFmtId="10" fontId="8" fillId="29" borderId="1" xfId="0" applyNumberFormat="1" applyFont="1" applyFill="1" applyBorder="1" applyAlignment="1">
      <alignment horizontal="center" vertical="center"/>
    </xf>
    <xf numFmtId="10" fontId="8" fillId="30" borderId="1" xfId="0" applyNumberFormat="1" applyFont="1" applyFill="1" applyBorder="1" applyAlignment="1">
      <alignment horizontal="center" vertical="center"/>
    </xf>
    <xf numFmtId="10" fontId="6" fillId="28" borderId="1" xfId="0" applyNumberFormat="1" applyFont="1" applyFill="1" applyBorder="1" applyAlignment="1">
      <alignment horizontal="center" vertical="center"/>
    </xf>
    <xf numFmtId="10" fontId="8" fillId="11" borderId="1" xfId="0" applyNumberFormat="1" applyFont="1" applyFill="1" applyBorder="1" applyAlignment="1">
      <alignment horizontal="center" vertical="center"/>
    </xf>
    <xf numFmtId="10" fontId="6" fillId="40" borderId="1" xfId="0" applyNumberFormat="1" applyFont="1" applyFill="1" applyBorder="1" applyAlignment="1">
      <alignment horizontal="center" vertical="center"/>
    </xf>
    <xf numFmtId="10" fontId="6" fillId="43" borderId="1" xfId="0" applyNumberFormat="1" applyFont="1" applyFill="1" applyBorder="1" applyAlignment="1">
      <alignment horizontal="center" vertical="center"/>
    </xf>
    <xf numFmtId="0" fontId="13" fillId="41" borderId="0" xfId="0" applyFont="1" applyFill="1"/>
    <xf numFmtId="0" fontId="6" fillId="41" borderId="0" xfId="0" applyFont="1" applyFill="1"/>
    <xf numFmtId="2" fontId="8" fillId="41" borderId="0" xfId="0" applyNumberFormat="1" applyFont="1" applyFill="1"/>
    <xf numFmtId="0" fontId="18" fillId="41" borderId="0" xfId="0" applyFont="1" applyFill="1"/>
    <xf numFmtId="167" fontId="18" fillId="41" borderId="0" xfId="3" applyNumberFormat="1" applyFont="1" applyFill="1" applyBorder="1"/>
    <xf numFmtId="164" fontId="18" fillId="41" borderId="0" xfId="2" applyNumberFormat="1" applyFont="1" applyFill="1" applyBorder="1"/>
    <xf numFmtId="164" fontId="18" fillId="41" borderId="0" xfId="0" applyNumberFormat="1" applyFont="1" applyFill="1"/>
    <xf numFmtId="164" fontId="8" fillId="41" borderId="0" xfId="2" applyNumberFormat="1" applyFont="1" applyFill="1" applyBorder="1"/>
    <xf numFmtId="167" fontId="8" fillId="41" borderId="0" xfId="3" applyNumberFormat="1" applyFont="1" applyFill="1" applyBorder="1"/>
    <xf numFmtId="9" fontId="8" fillId="41" borderId="0" xfId="3" applyFont="1" applyFill="1" applyBorder="1"/>
    <xf numFmtId="164" fontId="8" fillId="41" borderId="0" xfId="0" applyNumberFormat="1" applyFont="1" applyFill="1"/>
    <xf numFmtId="166" fontId="8" fillId="41" borderId="0" xfId="3" applyNumberFormat="1" applyFont="1" applyFill="1" applyBorder="1"/>
    <xf numFmtId="0" fontId="10" fillId="0" borderId="10" xfId="0" applyFont="1" applyBorder="1" applyAlignment="1">
      <alignment wrapText="1"/>
    </xf>
    <xf numFmtId="0" fontId="6" fillId="10" borderId="10" xfId="0" applyFont="1" applyFill="1" applyBorder="1"/>
    <xf numFmtId="0" fontId="6" fillId="20" borderId="10" xfId="0" applyFont="1" applyFill="1" applyBorder="1"/>
    <xf numFmtId="0" fontId="13" fillId="0" borderId="10" xfId="0" applyFont="1" applyBorder="1" applyAlignment="1">
      <alignment horizontal="center"/>
    </xf>
    <xf numFmtId="43" fontId="13" fillId="0" borderId="10" xfId="2" applyFont="1" applyBorder="1" applyAlignment="1">
      <alignment horizontal="center"/>
    </xf>
    <xf numFmtId="0" fontId="8" fillId="0" borderId="10" xfId="0" applyFont="1" applyBorder="1" applyAlignment="1">
      <alignment horizontal="center"/>
    </xf>
    <xf numFmtId="43" fontId="8" fillId="0" borderId="10" xfId="0" applyNumberFormat="1" applyFont="1" applyBorder="1" applyAlignment="1">
      <alignment horizontal="center"/>
    </xf>
    <xf numFmtId="43" fontId="6" fillId="19" borderId="10" xfId="0" applyNumberFormat="1" applyFont="1" applyFill="1" applyBorder="1" applyAlignment="1">
      <alignment horizontal="center"/>
    </xf>
    <xf numFmtId="43" fontId="6" fillId="20" borderId="10" xfId="0" applyNumberFormat="1" applyFont="1" applyFill="1" applyBorder="1" applyAlignment="1">
      <alignment horizontal="center"/>
    </xf>
    <xf numFmtId="0" fontId="6" fillId="36" borderId="10" xfId="0" applyFont="1" applyFill="1" applyBorder="1" applyAlignment="1">
      <alignment wrapText="1"/>
    </xf>
    <xf numFmtId="2" fontId="8" fillId="0" borderId="10" xfId="0" applyNumberFormat="1" applyFont="1" applyBorder="1"/>
    <xf numFmtId="4" fontId="8" fillId="0" borderId="10" xfId="0" applyNumberFormat="1" applyFont="1" applyBorder="1"/>
    <xf numFmtId="3" fontId="8" fillId="0" borderId="10" xfId="0" applyNumberFormat="1" applyFont="1" applyBorder="1"/>
    <xf numFmtId="1" fontId="6" fillId="20" borderId="10" xfId="0" applyNumberFormat="1" applyFont="1" applyFill="1" applyBorder="1"/>
    <xf numFmtId="3" fontId="8" fillId="0" borderId="10" xfId="0" applyNumberFormat="1" applyFont="1" applyBorder="1" applyAlignment="1">
      <alignment wrapText="1"/>
    </xf>
    <xf numFmtId="0" fontId="13" fillId="0" borderId="10" xfId="0" applyFont="1" applyBorder="1" applyAlignment="1">
      <alignment wrapText="1"/>
    </xf>
    <xf numFmtId="0" fontId="19" fillId="0" borderId="10" xfId="0" applyFont="1" applyBorder="1"/>
    <xf numFmtId="3" fontId="19" fillId="0" borderId="10" xfId="0" applyNumberFormat="1" applyFont="1" applyBorder="1" applyAlignment="1">
      <alignment horizontal="center"/>
    </xf>
    <xf numFmtId="164" fontId="8" fillId="0" borderId="10" xfId="2" applyNumberFormat="1" applyFont="1" applyBorder="1"/>
    <xf numFmtId="166" fontId="8" fillId="0" borderId="10" xfId="3" applyNumberFormat="1" applyFont="1" applyBorder="1"/>
    <xf numFmtId="167" fontId="8" fillId="0" borderId="10" xfId="3" applyNumberFormat="1" applyFont="1" applyBorder="1"/>
    <xf numFmtId="164" fontId="8" fillId="0" borderId="10" xfId="0" applyNumberFormat="1" applyFont="1" applyBorder="1"/>
    <xf numFmtId="9" fontId="8" fillId="0" borderId="10" xfId="3" applyFont="1" applyBorder="1"/>
    <xf numFmtId="0" fontId="20" fillId="0" borderId="10" xfId="0" applyFont="1" applyBorder="1"/>
    <xf numFmtId="0" fontId="8" fillId="21" borderId="10" xfId="0" applyFont="1" applyFill="1" applyBorder="1"/>
    <xf numFmtId="3" fontId="8" fillId="0" borderId="10" xfId="0" applyNumberFormat="1" applyFont="1" applyBorder="1" applyAlignment="1">
      <alignment horizontal="right"/>
    </xf>
    <xf numFmtId="165" fontId="8" fillId="25" borderId="10" xfId="0" applyNumberFormat="1" applyFont="1" applyFill="1" applyBorder="1"/>
    <xf numFmtId="2" fontId="6" fillId="28" borderId="10" xfId="0" applyNumberFormat="1" applyFont="1" applyFill="1" applyBorder="1"/>
    <xf numFmtId="1" fontId="8" fillId="0" borderId="10" xfId="0" applyNumberFormat="1" applyFont="1" applyBorder="1" applyAlignment="1">
      <alignment horizontal="right"/>
    </xf>
    <xf numFmtId="1" fontId="8" fillId="0" borderId="10" xfId="0" applyNumberFormat="1" applyFont="1" applyBorder="1"/>
    <xf numFmtId="0" fontId="6" fillId="40" borderId="10" xfId="0" applyFont="1" applyFill="1" applyBorder="1"/>
    <xf numFmtId="0" fontId="0" fillId="0" borderId="10" xfId="0" applyBorder="1"/>
    <xf numFmtId="0" fontId="8" fillId="9" borderId="16" xfId="0" applyFont="1" applyFill="1" applyBorder="1" applyAlignment="1">
      <alignment horizontal="left" wrapText="1"/>
    </xf>
    <xf numFmtId="0" fontId="6" fillId="10" borderId="16" xfId="0" applyFont="1" applyFill="1" applyBorder="1" applyAlignment="1">
      <alignment horizontal="left" wrapText="1"/>
    </xf>
    <xf numFmtId="0" fontId="6" fillId="20" borderId="16" xfId="0" applyFont="1" applyFill="1" applyBorder="1" applyAlignment="1">
      <alignment horizontal="left" wrapText="1"/>
    </xf>
    <xf numFmtId="0" fontId="11" fillId="9" borderId="16" xfId="0" applyFont="1" applyFill="1" applyBorder="1" applyAlignment="1">
      <alignment horizontal="left" wrapText="1"/>
    </xf>
    <xf numFmtId="0" fontId="6" fillId="33" borderId="16" xfId="0" applyFont="1" applyFill="1" applyBorder="1" applyAlignment="1">
      <alignment horizontal="left" wrapText="1"/>
    </xf>
    <xf numFmtId="43" fontId="6" fillId="3" borderId="16" xfId="2" applyFont="1" applyFill="1" applyBorder="1" applyAlignment="1">
      <alignment horizontal="left" wrapText="1"/>
    </xf>
    <xf numFmtId="0" fontId="8" fillId="18" borderId="16" xfId="0" applyFont="1" applyFill="1" applyBorder="1" applyAlignment="1">
      <alignment horizontal="left" wrapText="1"/>
    </xf>
    <xf numFmtId="0" fontId="6" fillId="3" borderId="16" xfId="0" applyFont="1" applyFill="1" applyBorder="1" applyAlignment="1">
      <alignment horizontal="left" wrapText="1"/>
    </xf>
    <xf numFmtId="9" fontId="6" fillId="19" borderId="16" xfId="0" applyNumberFormat="1" applyFont="1" applyFill="1" applyBorder="1" applyAlignment="1">
      <alignment horizontal="left" wrapText="1"/>
    </xf>
    <xf numFmtId="9" fontId="13" fillId="9" borderId="16" xfId="0" applyNumberFormat="1" applyFont="1" applyFill="1" applyBorder="1" applyAlignment="1">
      <alignment horizontal="left" wrapText="1"/>
    </xf>
    <xf numFmtId="9" fontId="6" fillId="20" borderId="16" xfId="0" applyNumberFormat="1" applyFont="1" applyFill="1" applyBorder="1" applyAlignment="1">
      <alignment horizontal="left" wrapText="1"/>
    </xf>
    <xf numFmtId="0" fontId="6" fillId="36" borderId="16" xfId="0" applyFont="1" applyFill="1" applyBorder="1" applyAlignment="1">
      <alignment horizontal="left" wrapText="1"/>
    </xf>
    <xf numFmtId="2" fontId="12" fillId="9" borderId="16" xfId="1" applyNumberFormat="1" applyFont="1" applyFill="1" applyBorder="1" applyAlignment="1">
      <alignment horizontal="left" wrapText="1"/>
    </xf>
    <xf numFmtId="0" fontId="6" fillId="22" borderId="16" xfId="0" applyFont="1" applyFill="1" applyBorder="1" applyAlignment="1">
      <alignment horizontal="left" wrapText="1"/>
    </xf>
    <xf numFmtId="0" fontId="13" fillId="9" borderId="16" xfId="0" applyFont="1" applyFill="1" applyBorder="1" applyAlignment="1">
      <alignment horizontal="left" wrapText="1"/>
    </xf>
    <xf numFmtId="0" fontId="12" fillId="9" borderId="16" xfId="1" applyFont="1" applyFill="1" applyBorder="1" applyAlignment="1">
      <alignment horizontal="left" wrapText="1"/>
    </xf>
    <xf numFmtId="0" fontId="6" fillId="25" borderId="16" xfId="0" applyFont="1" applyFill="1" applyBorder="1" applyAlignment="1">
      <alignment horizontal="left" wrapText="1"/>
    </xf>
    <xf numFmtId="0" fontId="8" fillId="21" borderId="16" xfId="0" applyFont="1" applyFill="1" applyBorder="1" applyAlignment="1">
      <alignment horizontal="left" wrapText="1"/>
    </xf>
    <xf numFmtId="0" fontId="11" fillId="17" borderId="16" xfId="0" applyFont="1" applyFill="1" applyBorder="1" applyAlignment="1">
      <alignment horizontal="left" wrapText="1"/>
    </xf>
    <xf numFmtId="0" fontId="6" fillId="28" borderId="16" xfId="0" applyFont="1" applyFill="1" applyBorder="1" applyAlignment="1">
      <alignment horizontal="left" wrapText="1"/>
    </xf>
    <xf numFmtId="0" fontId="8" fillId="41" borderId="16" xfId="0" applyFont="1" applyFill="1" applyBorder="1" applyAlignment="1">
      <alignment horizontal="left" wrapText="1"/>
    </xf>
    <xf numFmtId="0" fontId="6" fillId="40" borderId="16" xfId="0" applyFont="1" applyFill="1" applyBorder="1" applyAlignment="1">
      <alignment horizontal="left" wrapText="1"/>
    </xf>
    <xf numFmtId="0" fontId="8" fillId="44" borderId="16" xfId="0" applyFont="1" applyFill="1" applyBorder="1" applyAlignment="1">
      <alignment horizontal="left" wrapText="1"/>
    </xf>
    <xf numFmtId="0" fontId="8" fillId="0" borderId="19" xfId="0" applyFont="1" applyBorder="1"/>
    <xf numFmtId="0" fontId="1" fillId="0" borderId="0" xfId="1" applyBorder="1"/>
    <xf numFmtId="0" fontId="8" fillId="9" borderId="16" xfId="0" applyFont="1" applyFill="1" applyBorder="1" applyAlignment="1">
      <alignment horizontal="center" vertical="center" wrapText="1"/>
    </xf>
    <xf numFmtId="10" fontId="15" fillId="22" borderId="0" xfId="0" applyNumberFormat="1" applyFont="1" applyFill="1" applyAlignment="1">
      <alignment wrapText="1"/>
    </xf>
    <xf numFmtId="0" fontId="8" fillId="41" borderId="11" xfId="0" applyFont="1" applyFill="1" applyBorder="1" applyAlignment="1">
      <alignment horizontal="left" wrapText="1"/>
    </xf>
    <xf numFmtId="164" fontId="25" fillId="0" borderId="1" xfId="0" applyNumberFormat="1" applyFont="1" applyBorder="1"/>
    <xf numFmtId="164" fontId="0" fillId="0" borderId="1" xfId="0" applyNumberFormat="1" applyBorder="1"/>
    <xf numFmtId="0" fontId="18" fillId="41" borderId="0" xfId="3" applyNumberFormat="1" applyFont="1" applyFill="1" applyBorder="1"/>
    <xf numFmtId="0" fontId="8" fillId="0" borderId="0" xfId="0" applyFont="1" applyAlignment="1">
      <alignment horizontal="left" indent="1"/>
    </xf>
    <xf numFmtId="0" fontId="5" fillId="45" borderId="0" xfId="0" applyFont="1" applyFill="1" applyAlignment="1">
      <alignment vertical="center"/>
    </xf>
    <xf numFmtId="0" fontId="8" fillId="45" borderId="0" xfId="0" applyFont="1" applyFill="1"/>
    <xf numFmtId="0" fontId="10" fillId="41" borderId="16" xfId="0" applyFont="1" applyFill="1" applyBorder="1" applyAlignment="1">
      <alignment vertical="center"/>
    </xf>
    <xf numFmtId="0" fontId="8" fillId="0" borderId="10" xfId="0" applyFont="1" applyBorder="1" applyAlignment="1">
      <alignment vertical="center"/>
    </xf>
    <xf numFmtId="14" fontId="8" fillId="0" borderId="10" xfId="0" applyNumberFormat="1" applyFont="1" applyBorder="1" applyAlignment="1">
      <alignment vertical="center"/>
    </xf>
    <xf numFmtId="0" fontId="29" fillId="48" borderId="25" xfId="0" applyFont="1" applyFill="1" applyBorder="1" applyAlignment="1">
      <alignment horizontal="center" vertical="center" wrapText="1" readingOrder="1"/>
    </xf>
    <xf numFmtId="0" fontId="29" fillId="47" borderId="25" xfId="0" applyFont="1" applyFill="1" applyBorder="1" applyAlignment="1">
      <alignment horizontal="center" vertical="center" wrapText="1" readingOrder="1"/>
    </xf>
    <xf numFmtId="0" fontId="28" fillId="48" borderId="25" xfId="0" applyFont="1" applyFill="1" applyBorder="1" applyAlignment="1">
      <alignment horizontal="center" vertical="center" wrapText="1"/>
    </xf>
    <xf numFmtId="0" fontId="28" fillId="47" borderId="25" xfId="0" applyFont="1" applyFill="1" applyBorder="1" applyAlignment="1">
      <alignment horizontal="center" vertical="center" wrapText="1"/>
    </xf>
    <xf numFmtId="0" fontId="6" fillId="46" borderId="0" xfId="0" applyFont="1" applyFill="1" applyAlignment="1">
      <alignment vertical="center"/>
    </xf>
    <xf numFmtId="0" fontId="14" fillId="46" borderId="0" xfId="0" applyFont="1" applyFill="1" applyAlignment="1">
      <alignment horizontal="left" vertical="center" indent="1"/>
    </xf>
    <xf numFmtId="0" fontId="8" fillId="42" borderId="0" xfId="0" applyFont="1" applyFill="1" applyAlignment="1">
      <alignment vertical="top"/>
    </xf>
    <xf numFmtId="0" fontId="27" fillId="42" borderId="0" xfId="0" applyFont="1" applyFill="1" applyAlignment="1">
      <alignment vertical="top"/>
    </xf>
    <xf numFmtId="0" fontId="8" fillId="0" borderId="0" xfId="0" applyFont="1" applyAlignment="1">
      <alignment vertical="top" wrapText="1"/>
    </xf>
    <xf numFmtId="0" fontId="11" fillId="0" borderId="1" xfId="0" applyFont="1" applyBorder="1"/>
    <xf numFmtId="0" fontId="11" fillId="0" borderId="10" xfId="0" applyFont="1" applyBorder="1"/>
    <xf numFmtId="0" fontId="8" fillId="0" borderId="10" xfId="0" applyFont="1" applyBorder="1" applyAlignment="1">
      <alignment vertical="center" wrapText="1"/>
    </xf>
    <xf numFmtId="0" fontId="12" fillId="0" borderId="10" xfId="1" applyFont="1" applyBorder="1"/>
    <xf numFmtId="0" fontId="10" fillId="9" borderId="16" xfId="0" applyFont="1" applyFill="1" applyBorder="1"/>
    <xf numFmtId="0" fontId="8" fillId="0" borderId="16" xfId="0" applyFont="1" applyBorder="1"/>
    <xf numFmtId="0" fontId="8" fillId="0" borderId="16" xfId="0" applyFont="1" applyBorder="1" applyAlignment="1">
      <alignment vertical="center"/>
    </xf>
    <xf numFmtId="0" fontId="8" fillId="16" borderId="16" xfId="0" applyFont="1" applyFill="1" applyBorder="1"/>
    <xf numFmtId="0" fontId="11" fillId="0" borderId="16" xfId="0" applyFont="1" applyBorder="1"/>
    <xf numFmtId="0" fontId="8" fillId="0" borderId="16" xfId="0" applyFont="1" applyBorder="1" applyAlignment="1">
      <alignment vertical="center" wrapText="1"/>
    </xf>
    <xf numFmtId="0" fontId="12" fillId="0" borderId="16" xfId="1" applyFont="1" applyBorder="1"/>
    <xf numFmtId="0" fontId="8" fillId="0" borderId="9" xfId="0" applyFont="1" applyBorder="1"/>
    <xf numFmtId="0" fontId="8" fillId="0" borderId="9" xfId="0" applyFont="1" applyBorder="1" applyAlignment="1">
      <alignment vertical="center"/>
    </xf>
    <xf numFmtId="0" fontId="11" fillId="0" borderId="9" xfId="0" applyFont="1" applyBorder="1"/>
    <xf numFmtId="0" fontId="11" fillId="0" borderId="11" xfId="0" applyFont="1" applyBorder="1"/>
    <xf numFmtId="0" fontId="8" fillId="0" borderId="26" xfId="0" applyFont="1" applyBorder="1"/>
    <xf numFmtId="0" fontId="8" fillId="0" borderId="26" xfId="0" applyFont="1" applyBorder="1" applyAlignment="1">
      <alignment vertical="center"/>
    </xf>
    <xf numFmtId="0" fontId="11" fillId="0" borderId="26" xfId="0" applyFont="1" applyBorder="1"/>
    <xf numFmtId="0" fontId="8" fillId="0" borderId="14" xfId="0" applyFont="1" applyBorder="1"/>
    <xf numFmtId="0" fontId="8" fillId="0" borderId="27" xfId="0" applyFont="1" applyBorder="1"/>
    <xf numFmtId="0" fontId="8" fillId="0" borderId="28" xfId="0" applyFont="1" applyBorder="1"/>
    <xf numFmtId="0" fontId="11" fillId="0" borderId="7" xfId="0" applyFont="1" applyBorder="1"/>
    <xf numFmtId="0" fontId="8" fillId="0" borderId="28" xfId="0" applyFont="1" applyBorder="1" applyAlignment="1">
      <alignment vertical="center"/>
    </xf>
    <xf numFmtId="0" fontId="8" fillId="0" borderId="28" xfId="0" applyFont="1" applyBorder="1" applyAlignment="1">
      <alignment vertical="center" wrapText="1"/>
    </xf>
    <xf numFmtId="0" fontId="11" fillId="0" borderId="28" xfId="0" applyFont="1" applyBorder="1"/>
    <xf numFmtId="10" fontId="13" fillId="21" borderId="1" xfId="0" applyNumberFormat="1" applyFont="1" applyFill="1" applyBorder="1" applyAlignment="1">
      <alignment horizontal="center" vertical="center"/>
    </xf>
    <xf numFmtId="0" fontId="6" fillId="15" borderId="0" xfId="0" applyFont="1" applyFill="1" applyAlignment="1">
      <alignment wrapText="1"/>
    </xf>
    <xf numFmtId="0" fontId="8" fillId="42" borderId="13" xfId="0" applyFont="1" applyFill="1" applyBorder="1"/>
    <xf numFmtId="0" fontId="8" fillId="42" borderId="29" xfId="0" applyFont="1" applyFill="1" applyBorder="1"/>
    <xf numFmtId="0" fontId="15" fillId="15" borderId="13" xfId="0" applyFont="1" applyFill="1" applyBorder="1" applyAlignment="1">
      <alignment horizontal="center" wrapText="1"/>
    </xf>
    <xf numFmtId="10" fontId="15" fillId="15" borderId="13" xfId="0" applyNumberFormat="1" applyFont="1" applyFill="1" applyBorder="1" applyAlignment="1">
      <alignment horizontal="center" wrapText="1"/>
    </xf>
    <xf numFmtId="2" fontId="6" fillId="15" borderId="13" xfId="0" applyNumberFormat="1" applyFont="1" applyFill="1" applyBorder="1" applyAlignment="1">
      <alignment wrapText="1"/>
    </xf>
    <xf numFmtId="0" fontId="15" fillId="15" borderId="14" xfId="0" applyFont="1" applyFill="1" applyBorder="1" applyAlignment="1">
      <alignment wrapText="1"/>
    </xf>
    <xf numFmtId="0" fontId="0" fillId="0" borderId="13" xfId="0" applyBorder="1"/>
    <xf numFmtId="0" fontId="8" fillId="15" borderId="0" xfId="0" applyFont="1" applyFill="1" applyAlignment="1">
      <alignment wrapText="1"/>
    </xf>
    <xf numFmtId="1" fontId="6" fillId="15" borderId="4" xfId="0" applyNumberFormat="1" applyFont="1" applyFill="1" applyBorder="1" applyAlignment="1">
      <alignment wrapText="1"/>
    </xf>
    <xf numFmtId="1" fontId="6" fillId="22" borderId="0" xfId="0" applyNumberFormat="1" applyFont="1" applyFill="1" applyAlignment="1">
      <alignment wrapText="1"/>
    </xf>
    <xf numFmtId="0" fontId="30" fillId="42" borderId="15" xfId="0" applyFont="1" applyFill="1" applyBorder="1" applyAlignment="1">
      <alignment vertical="top"/>
    </xf>
    <xf numFmtId="0" fontId="10" fillId="0" borderId="0" xfId="0" applyFont="1" applyAlignment="1">
      <alignment horizontal="right"/>
    </xf>
    <xf numFmtId="0" fontId="10" fillId="0" borderId="0" xfId="0" applyFont="1" applyAlignment="1">
      <alignment horizontal="center"/>
    </xf>
    <xf numFmtId="2" fontId="8" fillId="0" borderId="1" xfId="0" applyNumberFormat="1" applyFont="1" applyBorder="1" applyAlignment="1">
      <alignment horizontal="center" vertical="center" wrapText="1"/>
    </xf>
    <xf numFmtId="2" fontId="8" fillId="0" borderId="1" xfId="0" applyNumberFormat="1" applyFont="1" applyBorder="1" applyAlignment="1">
      <alignment horizontal="center" vertical="center"/>
    </xf>
    <xf numFmtId="0" fontId="8" fillId="0" borderId="0" xfId="0" applyFont="1" applyAlignment="1">
      <alignment horizontal="center" vertical="center"/>
    </xf>
    <xf numFmtId="0" fontId="6" fillId="0" borderId="0" xfId="0" applyFont="1"/>
    <xf numFmtId="0" fontId="32" fillId="46" borderId="23" xfId="0" applyFont="1" applyFill="1" applyBorder="1" applyAlignment="1">
      <alignment horizontal="left" vertical="center" wrapText="1" readingOrder="1"/>
    </xf>
    <xf numFmtId="0" fontId="32" fillId="46" borderId="23" xfId="0" applyFont="1" applyFill="1" applyBorder="1" applyAlignment="1">
      <alignment horizontal="center" vertical="center" wrapText="1" readingOrder="1"/>
    </xf>
    <xf numFmtId="0" fontId="19" fillId="48" borderId="25" xfId="0" applyFont="1" applyFill="1" applyBorder="1" applyAlignment="1">
      <alignment horizontal="center" vertical="center" wrapText="1" readingOrder="1"/>
    </xf>
    <xf numFmtId="0" fontId="19" fillId="48" borderId="25" xfId="0" applyFont="1" applyFill="1" applyBorder="1" applyAlignment="1">
      <alignment horizontal="left" vertical="center" wrapText="1" readingOrder="1"/>
    </xf>
    <xf numFmtId="0" fontId="19" fillId="47" borderId="25" xfId="0" applyFont="1" applyFill="1" applyBorder="1" applyAlignment="1">
      <alignment horizontal="center" vertical="center" wrapText="1" readingOrder="1"/>
    </xf>
    <xf numFmtId="0" fontId="19" fillId="47" borderId="25" xfId="0" applyFont="1" applyFill="1" applyBorder="1" applyAlignment="1">
      <alignment horizontal="left" vertical="center" wrapText="1" readingOrder="1"/>
    </xf>
    <xf numFmtId="0" fontId="10" fillId="9" borderId="1" xfId="0" applyFont="1" applyFill="1" applyBorder="1" applyAlignment="1">
      <alignment wrapText="1"/>
    </xf>
    <xf numFmtId="0" fontId="8" fillId="9" borderId="1" xfId="0" applyFont="1" applyFill="1" applyBorder="1" applyAlignment="1">
      <alignment wrapText="1"/>
    </xf>
    <xf numFmtId="0" fontId="8" fillId="9" borderId="10" xfId="0" applyFont="1" applyFill="1" applyBorder="1" applyAlignment="1">
      <alignment wrapText="1"/>
    </xf>
    <xf numFmtId="0" fontId="10" fillId="9" borderId="16" xfId="0" applyFont="1" applyFill="1" applyBorder="1" applyAlignment="1">
      <alignment wrapText="1"/>
    </xf>
    <xf numFmtId="1" fontId="8" fillId="0" borderId="10" xfId="0" applyNumberFormat="1" applyFont="1" applyBorder="1" applyAlignment="1">
      <alignment horizontal="center" vertical="center"/>
    </xf>
    <xf numFmtId="1" fontId="8" fillId="9" borderId="10" xfId="0" applyNumberFormat="1" applyFont="1" applyFill="1" applyBorder="1" applyAlignment="1">
      <alignment horizontal="center" vertical="center"/>
    </xf>
    <xf numFmtId="1" fontId="8" fillId="0" borderId="1" xfId="0" applyNumberFormat="1" applyFont="1" applyBorder="1" applyAlignment="1">
      <alignment horizontal="center" vertical="center"/>
    </xf>
    <xf numFmtId="0" fontId="2" fillId="41" borderId="16" xfId="0" applyFont="1" applyFill="1" applyBorder="1"/>
    <xf numFmtId="0" fontId="10" fillId="0" borderId="0" xfId="0" applyFont="1" applyAlignment="1">
      <alignment horizontal="center" vertical="center"/>
    </xf>
    <xf numFmtId="0" fontId="8" fillId="0" borderId="40" xfId="0" applyFont="1" applyBorder="1"/>
    <xf numFmtId="0" fontId="14" fillId="0" borderId="0" xfId="0" applyFont="1" applyAlignment="1">
      <alignment horizontal="left" vertical="center"/>
    </xf>
    <xf numFmtId="0" fontId="6" fillId="0" borderId="0" xfId="0" applyFont="1" applyAlignment="1">
      <alignment wrapText="1"/>
    </xf>
    <xf numFmtId="2" fontId="8" fillId="0" borderId="1" xfId="0" applyNumberFormat="1" applyFont="1" applyBorder="1" applyAlignment="1">
      <alignment wrapText="1"/>
    </xf>
    <xf numFmtId="2" fontId="6" fillId="15" borderId="1" xfId="0" applyNumberFormat="1" applyFont="1" applyFill="1" applyBorder="1" applyAlignment="1">
      <alignment wrapText="1"/>
    </xf>
    <xf numFmtId="2" fontId="6" fillId="22" borderId="1" xfId="0" applyNumberFormat="1" applyFont="1" applyFill="1" applyBorder="1" applyAlignment="1">
      <alignment wrapText="1"/>
    </xf>
    <xf numFmtId="2" fontId="8" fillId="0" borderId="10" xfId="0" applyNumberFormat="1" applyFont="1" applyBorder="1" applyAlignment="1">
      <alignment wrapText="1"/>
    </xf>
    <xf numFmtId="2" fontId="6" fillId="15" borderId="10" xfId="0" applyNumberFormat="1" applyFont="1" applyFill="1" applyBorder="1" applyAlignment="1">
      <alignment wrapText="1"/>
    </xf>
    <xf numFmtId="2" fontId="6" fillId="22" borderId="10" xfId="0" applyNumberFormat="1" applyFont="1" applyFill="1" applyBorder="1" applyAlignment="1">
      <alignment wrapText="1"/>
    </xf>
    <xf numFmtId="0" fontId="10" fillId="41" borderId="1" xfId="0" applyFont="1" applyFill="1" applyBorder="1" applyAlignment="1">
      <alignment wrapText="1"/>
    </xf>
    <xf numFmtId="168" fontId="8" fillId="41" borderId="10" xfId="0" applyNumberFormat="1" applyFont="1" applyFill="1" applyBorder="1"/>
    <xf numFmtId="168" fontId="8" fillId="41" borderId="1" xfId="0" applyNumberFormat="1" applyFont="1" applyFill="1" applyBorder="1"/>
    <xf numFmtId="2" fontId="8" fillId="0" borderId="10" xfId="0" applyNumberFormat="1" applyFont="1" applyBorder="1" applyAlignment="1">
      <alignment horizontal="center" vertical="center" wrapText="1"/>
    </xf>
    <xf numFmtId="2" fontId="8" fillId="0" borderId="10" xfId="0" applyNumberFormat="1" applyFont="1" applyBorder="1" applyAlignment="1">
      <alignment horizontal="center" vertical="center"/>
    </xf>
    <xf numFmtId="0" fontId="10" fillId="0" borderId="16" xfId="0" applyFont="1" applyBorder="1" applyAlignment="1">
      <alignment wrapText="1"/>
    </xf>
    <xf numFmtId="0" fontId="10" fillId="5" borderId="16" xfId="0" applyFont="1" applyFill="1" applyBorder="1" applyAlignment="1">
      <alignment wrapText="1"/>
    </xf>
    <xf numFmtId="0" fontId="10" fillId="38" borderId="16" xfId="0" applyFont="1" applyFill="1" applyBorder="1" applyAlignment="1">
      <alignment wrapText="1"/>
    </xf>
    <xf numFmtId="0" fontId="10" fillId="41" borderId="16" xfId="0" applyFont="1" applyFill="1" applyBorder="1" applyAlignment="1">
      <alignment wrapText="1"/>
    </xf>
    <xf numFmtId="169" fontId="8" fillId="0" borderId="1" xfId="0" applyNumberFormat="1" applyFont="1" applyBorder="1" applyAlignment="1">
      <alignment horizontal="center" vertical="center"/>
    </xf>
    <xf numFmtId="0" fontId="34" fillId="0" borderId="0" xfId="0" applyFont="1"/>
    <xf numFmtId="0" fontId="14" fillId="46" borderId="0" xfId="0" applyFont="1" applyFill="1" applyAlignment="1">
      <alignment vertical="center"/>
    </xf>
    <xf numFmtId="0" fontId="10" fillId="0" borderId="0" xfId="0" applyFont="1" applyAlignment="1">
      <alignment horizontal="right" vertical="center"/>
    </xf>
    <xf numFmtId="2" fontId="34" fillId="15" borderId="0" xfId="0" applyNumberFormat="1" applyFont="1" applyFill="1"/>
    <xf numFmtId="0" fontId="34" fillId="22" borderId="0" xfId="0" applyFont="1" applyFill="1"/>
    <xf numFmtId="0" fontId="10" fillId="23" borderId="1" xfId="0" applyFont="1" applyFill="1" applyBorder="1" applyAlignment="1">
      <alignment horizontal="left" vertical="center"/>
    </xf>
    <xf numFmtId="0" fontId="8" fillId="0" borderId="7" xfId="0" applyFont="1" applyBorder="1" applyAlignment="1">
      <alignment vertical="center"/>
    </xf>
    <xf numFmtId="0" fontId="19" fillId="49" borderId="25" xfId="0" applyFont="1" applyFill="1" applyBorder="1" applyAlignment="1">
      <alignment horizontal="center" vertical="center" wrapText="1" readingOrder="1"/>
    </xf>
    <xf numFmtId="0" fontId="19" fillId="49" borderId="25" xfId="0" applyFont="1" applyFill="1" applyBorder="1" applyAlignment="1">
      <alignment horizontal="left" vertical="center" wrapText="1" readingOrder="1"/>
    </xf>
    <xf numFmtId="0" fontId="28" fillId="49" borderId="25" xfId="0" applyFont="1" applyFill="1" applyBorder="1" applyAlignment="1">
      <alignment horizontal="center" vertical="center" wrapText="1"/>
    </xf>
    <xf numFmtId="0" fontId="29" fillId="49" borderId="25" xfId="0" applyFont="1" applyFill="1" applyBorder="1" applyAlignment="1">
      <alignment horizontal="center" vertical="center" wrapText="1" readingOrder="1"/>
    </xf>
    <xf numFmtId="0" fontId="19" fillId="49" borderId="24" xfId="0" applyFont="1" applyFill="1" applyBorder="1" applyAlignment="1">
      <alignment horizontal="center" vertical="center" wrapText="1" readingOrder="1"/>
    </xf>
    <xf numFmtId="0" fontId="19" fillId="49" borderId="24" xfId="0" applyFont="1" applyFill="1" applyBorder="1" applyAlignment="1">
      <alignment horizontal="left" vertical="center" wrapText="1" readingOrder="1"/>
    </xf>
    <xf numFmtId="0" fontId="29" fillId="49" borderId="24" xfId="0" applyFont="1" applyFill="1" applyBorder="1" applyAlignment="1">
      <alignment horizontal="center" vertical="center" wrapText="1" readingOrder="1"/>
    </xf>
    <xf numFmtId="0" fontId="19" fillId="50" borderId="25" xfId="0" applyFont="1" applyFill="1" applyBorder="1" applyAlignment="1">
      <alignment horizontal="center" vertical="center" wrapText="1" readingOrder="1"/>
    </xf>
    <xf numFmtId="0" fontId="19" fillId="50" borderId="25" xfId="0" applyFont="1" applyFill="1" applyBorder="1" applyAlignment="1">
      <alignment horizontal="left" vertical="center" wrapText="1" readingOrder="1"/>
    </xf>
    <xf numFmtId="0" fontId="29" fillId="50" borderId="25" xfId="0" applyFont="1" applyFill="1" applyBorder="1" applyAlignment="1">
      <alignment horizontal="center" vertical="center" wrapText="1" readingOrder="1"/>
    </xf>
    <xf numFmtId="0" fontId="28" fillId="50" borderId="25" xfId="0" applyFont="1" applyFill="1" applyBorder="1" applyAlignment="1">
      <alignment horizontal="center" vertical="center" wrapText="1"/>
    </xf>
    <xf numFmtId="10" fontId="8" fillId="6" borderId="1" xfId="0" applyNumberFormat="1" applyFont="1" applyFill="1" applyBorder="1" applyAlignment="1">
      <alignment horizontal="center" vertical="center"/>
    </xf>
    <xf numFmtId="0" fontId="8" fillId="39" borderId="0" xfId="0" applyFont="1" applyFill="1"/>
    <xf numFmtId="0" fontId="8" fillId="0" borderId="43" xfId="0" applyFont="1" applyBorder="1"/>
    <xf numFmtId="0" fontId="8" fillId="0" borderId="43" xfId="0" applyFont="1" applyBorder="1" applyAlignment="1">
      <alignment vertical="center"/>
    </xf>
    <xf numFmtId="0" fontId="11" fillId="0" borderId="43" xfId="0" applyFont="1" applyBorder="1"/>
    <xf numFmtId="0" fontId="8" fillId="0" borderId="4" xfId="0" applyFont="1" applyBorder="1"/>
    <xf numFmtId="0" fontId="11" fillId="0" borderId="41" xfId="0" applyFont="1" applyBorder="1"/>
    <xf numFmtId="0" fontId="8" fillId="0" borderId="21" xfId="0" applyFont="1" applyBorder="1"/>
    <xf numFmtId="1" fontId="19" fillId="49" borderId="25" xfId="0" quotePrefix="1" applyNumberFormat="1" applyFont="1" applyFill="1" applyBorder="1" applyAlignment="1">
      <alignment horizontal="center" vertical="center" wrapText="1" readingOrder="1"/>
    </xf>
    <xf numFmtId="0" fontId="16" fillId="0" borderId="1" xfId="0" applyFont="1" applyBorder="1"/>
    <xf numFmtId="0" fontId="8" fillId="0" borderId="6" xfId="0" applyFont="1" applyBorder="1"/>
    <xf numFmtId="0" fontId="8" fillId="0" borderId="11" xfId="0" applyFont="1" applyBorder="1"/>
    <xf numFmtId="0" fontId="11" fillId="0" borderId="1" xfId="0" applyFont="1" applyBorder="1" applyAlignment="1">
      <alignment horizontal="fill"/>
    </xf>
    <xf numFmtId="0" fontId="8" fillId="0" borderId="44" xfId="0" applyFont="1" applyBorder="1"/>
    <xf numFmtId="0" fontId="8" fillId="0" borderId="17" xfId="0" applyFont="1" applyBorder="1"/>
    <xf numFmtId="0" fontId="8" fillId="0" borderId="2" xfId="0" applyFont="1" applyBorder="1"/>
    <xf numFmtId="0" fontId="8" fillId="0" borderId="20" xfId="0" applyFont="1" applyBorder="1"/>
    <xf numFmtId="0" fontId="8" fillId="0" borderId="45" xfId="0" applyFont="1" applyBorder="1"/>
    <xf numFmtId="0" fontId="8" fillId="39" borderId="12" xfId="0" applyFont="1" applyFill="1" applyBorder="1"/>
    <xf numFmtId="0" fontId="8" fillId="0" borderId="12" xfId="0" applyFont="1" applyBorder="1"/>
    <xf numFmtId="0" fontId="8" fillId="0" borderId="22" xfId="0" applyFont="1" applyBorder="1"/>
    <xf numFmtId="0" fontId="8" fillId="0" borderId="8" xfId="0" applyFont="1" applyBorder="1"/>
    <xf numFmtId="0" fontId="8" fillId="0" borderId="46" xfId="0" applyFont="1" applyBorder="1"/>
    <xf numFmtId="0" fontId="11" fillId="0" borderId="44" xfId="0" applyFont="1" applyBorder="1"/>
    <xf numFmtId="0" fontId="11" fillId="0" borderId="46" xfId="0" applyFont="1" applyBorder="1"/>
    <xf numFmtId="169" fontId="19" fillId="49" borderId="24" xfId="0" applyNumberFormat="1" applyFont="1" applyFill="1" applyBorder="1" applyAlignment="1">
      <alignment horizontal="center" vertical="center" wrapText="1" readingOrder="1"/>
    </xf>
    <xf numFmtId="169" fontId="19" fillId="50" borderId="25" xfId="0" applyNumberFormat="1" applyFont="1" applyFill="1" applyBorder="1" applyAlignment="1">
      <alignment horizontal="center" vertical="center" wrapText="1" readingOrder="1"/>
    </xf>
    <xf numFmtId="169" fontId="19" fillId="49" borderId="25" xfId="0" applyNumberFormat="1" applyFont="1" applyFill="1" applyBorder="1" applyAlignment="1">
      <alignment horizontal="center" vertical="center" wrapText="1" readingOrder="1"/>
    </xf>
    <xf numFmtId="169" fontId="19" fillId="47" borderId="25" xfId="0" applyNumberFormat="1" applyFont="1" applyFill="1" applyBorder="1" applyAlignment="1">
      <alignment horizontal="center" vertical="center" wrapText="1" readingOrder="1"/>
    </xf>
    <xf numFmtId="169" fontId="19" fillId="48" borderId="25" xfId="0" applyNumberFormat="1" applyFont="1" applyFill="1" applyBorder="1" applyAlignment="1">
      <alignment horizontal="center" vertical="center" wrapText="1" readingOrder="1"/>
    </xf>
    <xf numFmtId="0" fontId="12" fillId="0" borderId="0" xfId="1" applyFont="1"/>
    <xf numFmtId="0" fontId="12" fillId="0" borderId="7" xfId="1" applyFont="1" applyBorder="1"/>
    <xf numFmtId="0" fontId="12" fillId="0" borderId="9" xfId="1" applyFont="1" applyBorder="1" applyAlignment="1">
      <alignment horizontal="fill"/>
    </xf>
    <xf numFmtId="0" fontId="12" fillId="0" borderId="26" xfId="1" applyFont="1" applyBorder="1" applyAlignment="1">
      <alignment horizontal="fill"/>
    </xf>
    <xf numFmtId="0" fontId="12" fillId="0" borderId="11" xfId="1" applyFont="1" applyFill="1" applyBorder="1" applyAlignment="1">
      <alignment horizontal="fill"/>
    </xf>
    <xf numFmtId="0" fontId="12" fillId="0" borderId="10" xfId="1" applyFont="1" applyFill="1" applyBorder="1"/>
    <xf numFmtId="0" fontId="12" fillId="0" borderId="10" xfId="1" applyFont="1" applyFill="1" applyBorder="1" applyAlignment="1">
      <alignment horizontal="fill"/>
    </xf>
    <xf numFmtId="0" fontId="12" fillId="0" borderId="47" xfId="1" applyFont="1" applyBorder="1"/>
    <xf numFmtId="0" fontId="12" fillId="0" borderId="17" xfId="1" applyFont="1" applyFill="1" applyBorder="1" applyAlignment="1">
      <alignment horizontal="fill"/>
    </xf>
    <xf numFmtId="0" fontId="12" fillId="0" borderId="1" xfId="1" applyFont="1" applyFill="1" applyBorder="1"/>
    <xf numFmtId="0" fontId="12" fillId="0" borderId="17" xfId="1" applyFont="1" applyBorder="1"/>
    <xf numFmtId="0" fontId="12" fillId="0" borderId="44" xfId="1" applyFont="1" applyFill="1" applyBorder="1" applyAlignment="1">
      <alignment horizontal="fill"/>
    </xf>
    <xf numFmtId="0" fontId="12" fillId="0" borderId="20" xfId="1" applyFont="1" applyBorder="1"/>
    <xf numFmtId="0" fontId="12" fillId="0" borderId="2" xfId="1" applyFont="1" applyBorder="1"/>
    <xf numFmtId="0" fontId="12" fillId="0" borderId="7" xfId="1" applyFont="1" applyFill="1" applyBorder="1"/>
    <xf numFmtId="0" fontId="8" fillId="0" borderId="1" xfId="0" applyFont="1" applyBorder="1" applyAlignment="1">
      <alignment horizontal="fill"/>
    </xf>
    <xf numFmtId="0" fontId="12" fillId="0" borderId="14" xfId="1" applyFont="1" applyBorder="1"/>
    <xf numFmtId="165" fontId="6" fillId="22" borderId="1" xfId="0" applyNumberFormat="1" applyFont="1" applyFill="1" applyBorder="1"/>
    <xf numFmtId="165" fontId="6" fillId="22" borderId="10" xfId="0" applyNumberFormat="1" applyFont="1" applyFill="1" applyBorder="1"/>
    <xf numFmtId="169" fontId="6" fillId="25" borderId="10" xfId="0" applyNumberFormat="1" applyFont="1" applyFill="1" applyBorder="1"/>
    <xf numFmtId="165" fontId="6" fillId="20" borderId="10" xfId="0" applyNumberFormat="1" applyFont="1" applyFill="1" applyBorder="1"/>
    <xf numFmtId="1" fontId="6" fillId="40" borderId="1" xfId="0" applyNumberFormat="1" applyFont="1" applyFill="1" applyBorder="1"/>
    <xf numFmtId="0" fontId="1" fillId="0" borderId="9" xfId="1" applyFill="1" applyBorder="1"/>
    <xf numFmtId="0" fontId="1" fillId="0" borderId="10" xfId="1" applyFill="1" applyBorder="1"/>
    <xf numFmtId="2" fontId="8" fillId="39" borderId="1" xfId="0" applyNumberFormat="1" applyFont="1" applyFill="1" applyBorder="1" applyAlignment="1">
      <alignment horizontal="center" vertical="center"/>
    </xf>
    <xf numFmtId="0" fontId="1" fillId="0" borderId="1" xfId="1" applyBorder="1"/>
    <xf numFmtId="0" fontId="10" fillId="0" borderId="0" xfId="0" applyFont="1" applyAlignment="1">
      <alignment wrapText="1"/>
    </xf>
    <xf numFmtId="3" fontId="8" fillId="51" borderId="1" xfId="0" applyNumberFormat="1" applyFont="1" applyFill="1" applyBorder="1"/>
    <xf numFmtId="0" fontId="0" fillId="0" borderId="0" xfId="0" applyAlignment="1">
      <alignment wrapText="1"/>
    </xf>
    <xf numFmtId="0" fontId="2" fillId="9" borderId="0" xfId="0" applyFont="1" applyFill="1"/>
    <xf numFmtId="0" fontId="8" fillId="53" borderId="0" xfId="0" applyFont="1" applyFill="1"/>
    <xf numFmtId="0" fontId="0" fillId="53" borderId="0" xfId="0" applyFill="1"/>
    <xf numFmtId="0" fontId="8" fillId="42" borderId="0" xfId="0" applyFont="1" applyFill="1" applyAlignment="1">
      <alignment wrapText="1"/>
    </xf>
    <xf numFmtId="0" fontId="8" fillId="42" borderId="15" xfId="0" applyFont="1" applyFill="1" applyBorder="1" applyAlignment="1">
      <alignment wrapText="1"/>
    </xf>
    <xf numFmtId="0" fontId="8" fillId="53" borderId="0" xfId="0" applyFont="1" applyFill="1" applyAlignment="1">
      <alignment wrapText="1"/>
    </xf>
    <xf numFmtId="0" fontId="7" fillId="42" borderId="0" xfId="0" applyFont="1" applyFill="1" applyAlignment="1">
      <alignment wrapText="1"/>
    </xf>
    <xf numFmtId="0" fontId="5" fillId="42" borderId="15" xfId="0" applyFont="1" applyFill="1" applyBorder="1" applyAlignment="1">
      <alignment vertical="top" wrapText="1"/>
    </xf>
    <xf numFmtId="0" fontId="10" fillId="9" borderId="0" xfId="0" applyFont="1" applyFill="1"/>
    <xf numFmtId="0" fontId="2" fillId="0" borderId="0" xfId="0" applyFont="1"/>
    <xf numFmtId="0" fontId="10" fillId="52" borderId="0" xfId="0" applyFont="1" applyFill="1" applyAlignment="1">
      <alignment vertical="top" wrapText="1"/>
    </xf>
    <xf numFmtId="0" fontId="10" fillId="52" borderId="0" xfId="0" applyFont="1" applyFill="1" applyAlignment="1">
      <alignment vertical="top"/>
    </xf>
    <xf numFmtId="0" fontId="2" fillId="0" borderId="0" xfId="0" applyFont="1" applyAlignment="1">
      <alignment vertical="top"/>
    </xf>
    <xf numFmtId="0" fontId="8" fillId="0" borderId="0" xfId="0" applyFont="1" applyAlignment="1">
      <alignment vertical="top"/>
    </xf>
    <xf numFmtId="0" fontId="12" fillId="0" borderId="0" xfId="1" applyFont="1" applyAlignment="1">
      <alignment vertical="top" wrapText="1"/>
    </xf>
    <xf numFmtId="0" fontId="0" fillId="0" borderId="0" xfId="0" applyAlignment="1">
      <alignment vertical="top"/>
    </xf>
    <xf numFmtId="0" fontId="0" fillId="0" borderId="0" xfId="0" applyAlignment="1">
      <alignment vertical="top" wrapText="1"/>
    </xf>
    <xf numFmtId="0" fontId="13" fillId="0" borderId="0" xfId="0" applyFont="1" applyAlignment="1">
      <alignment vertical="top" wrapText="1"/>
    </xf>
    <xf numFmtId="0" fontId="35" fillId="0" borderId="0" xfId="0" applyFont="1" applyAlignment="1">
      <alignment vertical="top" wrapText="1"/>
    </xf>
    <xf numFmtId="0" fontId="1" fillId="0" borderId="0" xfId="1" applyAlignment="1">
      <alignment vertical="top"/>
    </xf>
    <xf numFmtId="0" fontId="8" fillId="0" borderId="0" xfId="0" applyFont="1" applyAlignment="1">
      <alignment horizontal="center" vertical="center" wrapText="1"/>
    </xf>
    <xf numFmtId="0" fontId="8" fillId="0" borderId="0" xfId="0" applyFont="1" applyAlignment="1">
      <alignment horizontal="center" wrapText="1"/>
    </xf>
    <xf numFmtId="169" fontId="8" fillId="9" borderId="10" xfId="0" applyNumberFormat="1" applyFont="1" applyFill="1" applyBorder="1" applyAlignment="1">
      <alignment horizontal="center" vertical="center"/>
    </xf>
    <xf numFmtId="169" fontId="8" fillId="9" borderId="1" xfId="0" applyNumberFormat="1" applyFont="1" applyFill="1" applyBorder="1" applyAlignment="1">
      <alignment horizontal="center" vertical="center"/>
    </xf>
    <xf numFmtId="0" fontId="20" fillId="47" borderId="32" xfId="0" applyFont="1" applyFill="1" applyBorder="1" applyAlignment="1">
      <alignment horizontal="left" vertical="center" wrapText="1" readingOrder="1"/>
    </xf>
    <xf numFmtId="0" fontId="20" fillId="47" borderId="33" xfId="0" applyFont="1" applyFill="1" applyBorder="1" applyAlignment="1">
      <alignment horizontal="left" vertical="center" wrapText="1" readingOrder="1"/>
    </xf>
    <xf numFmtId="0" fontId="32" fillId="46" borderId="34" xfId="0" applyFont="1" applyFill="1" applyBorder="1" applyAlignment="1">
      <alignment horizontal="left" vertical="center" wrapText="1" readingOrder="1"/>
    </xf>
    <xf numFmtId="0" fontId="32" fillId="46" borderId="35" xfId="0" applyFont="1" applyFill="1" applyBorder="1" applyAlignment="1">
      <alignment horizontal="left" vertical="center" wrapText="1" readingOrder="1"/>
    </xf>
    <xf numFmtId="0" fontId="20" fillId="48" borderId="30" xfId="0" applyFont="1" applyFill="1" applyBorder="1" applyAlignment="1">
      <alignment horizontal="left" vertical="center" wrapText="1" readingOrder="1"/>
    </xf>
    <xf numFmtId="0" fontId="20" fillId="48" borderId="37" xfId="0" applyFont="1" applyFill="1" applyBorder="1" applyAlignment="1">
      <alignment horizontal="left" vertical="center" wrapText="1" readingOrder="1"/>
    </xf>
    <xf numFmtId="0" fontId="20" fillId="48" borderId="31" xfId="0" applyFont="1" applyFill="1" applyBorder="1" applyAlignment="1">
      <alignment horizontal="left" vertical="center" wrapText="1" readingOrder="1"/>
    </xf>
    <xf numFmtId="0" fontId="20" fillId="47" borderId="30" xfId="0" applyFont="1" applyFill="1" applyBorder="1" applyAlignment="1">
      <alignment horizontal="left" vertical="center" wrapText="1" readingOrder="1"/>
    </xf>
    <xf numFmtId="0" fontId="20" fillId="47" borderId="37" xfId="0" applyFont="1" applyFill="1" applyBorder="1" applyAlignment="1">
      <alignment horizontal="left" vertical="center" wrapText="1" readingOrder="1"/>
    </xf>
    <xf numFmtId="0" fontId="20" fillId="47" borderId="31" xfId="0" applyFont="1" applyFill="1" applyBorder="1" applyAlignment="1">
      <alignment horizontal="left" vertical="center" wrapText="1" readingOrder="1"/>
    </xf>
    <xf numFmtId="0" fontId="8" fillId="0" borderId="17" xfId="0" applyFont="1" applyBorder="1" applyAlignment="1">
      <alignment horizontal="left" vertical="center"/>
    </xf>
    <xf numFmtId="0" fontId="8" fillId="0" borderId="18" xfId="0" applyFont="1" applyBorder="1" applyAlignment="1">
      <alignment horizontal="left" vertical="center"/>
    </xf>
    <xf numFmtId="0" fontId="8" fillId="0" borderId="12" xfId="0" applyFont="1" applyBorder="1" applyAlignment="1">
      <alignment horizontal="left" vertical="center"/>
    </xf>
    <xf numFmtId="0" fontId="20" fillId="48" borderId="36" xfId="0" applyFont="1" applyFill="1" applyBorder="1" applyAlignment="1">
      <alignment horizontal="left" vertical="center" wrapText="1" readingOrder="1"/>
    </xf>
    <xf numFmtId="0" fontId="20" fillId="48" borderId="0" xfId="0" applyFont="1" applyFill="1" applyAlignment="1">
      <alignment horizontal="left" vertical="center" wrapText="1" readingOrder="1"/>
    </xf>
    <xf numFmtId="0" fontId="13" fillId="0" borderId="48" xfId="0" applyFont="1" applyBorder="1" applyAlignment="1">
      <alignment horizontal="left" vertical="top" wrapText="1"/>
    </xf>
    <xf numFmtId="0" fontId="8" fillId="0" borderId="49" xfId="0" applyFont="1" applyBorder="1" applyAlignment="1">
      <alignment horizontal="left" vertical="top" wrapText="1"/>
    </xf>
    <xf numFmtId="0" fontId="8" fillId="0" borderId="50" xfId="0" applyFont="1" applyBorder="1" applyAlignment="1">
      <alignment horizontal="left" vertical="top" wrapText="1"/>
    </xf>
    <xf numFmtId="0" fontId="8" fillId="0" borderId="51" xfId="0" applyFont="1" applyBorder="1" applyAlignment="1">
      <alignment horizontal="left" vertical="top" wrapText="1"/>
    </xf>
    <xf numFmtId="0" fontId="8" fillId="0" borderId="0" xfId="0" applyFont="1" applyAlignment="1">
      <alignment horizontal="left" vertical="top" wrapText="1"/>
    </xf>
    <xf numFmtId="0" fontId="8" fillId="0" borderId="52" xfId="0" applyFont="1" applyBorder="1" applyAlignment="1">
      <alignment horizontal="left" vertical="top" wrapText="1"/>
    </xf>
    <xf numFmtId="0" fontId="13" fillId="0" borderId="53" xfId="0" applyFont="1" applyBorder="1" applyAlignment="1">
      <alignment horizontal="left" vertical="top" wrapText="1"/>
    </xf>
    <xf numFmtId="0" fontId="8" fillId="0" borderId="54" xfId="0" applyFont="1" applyBorder="1" applyAlignment="1">
      <alignment horizontal="left" vertical="top" wrapText="1"/>
    </xf>
    <xf numFmtId="0" fontId="8" fillId="0" borderId="55" xfId="0" applyFont="1" applyBorder="1" applyAlignment="1">
      <alignment horizontal="left" vertical="top" wrapText="1"/>
    </xf>
    <xf numFmtId="0" fontId="20" fillId="47" borderId="36" xfId="0" applyFont="1" applyFill="1" applyBorder="1" applyAlignment="1">
      <alignment horizontal="left" vertical="center" wrapText="1" readingOrder="1"/>
    </xf>
    <xf numFmtId="0" fontId="20" fillId="47" borderId="0" xfId="0" applyFont="1" applyFill="1" applyAlignment="1">
      <alignment horizontal="left" vertical="center" wrapText="1" readingOrder="1"/>
    </xf>
    <xf numFmtId="0" fontId="20" fillId="47" borderId="38" xfId="0" applyFont="1" applyFill="1" applyBorder="1" applyAlignment="1">
      <alignment horizontal="left" vertical="center" wrapText="1" readingOrder="1"/>
    </xf>
    <xf numFmtId="0" fontId="32" fillId="46" borderId="39" xfId="0" applyFont="1" applyFill="1" applyBorder="1" applyAlignment="1">
      <alignment horizontal="left" vertical="center" wrapText="1" readingOrder="1"/>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13" fillId="0" borderId="0" xfId="0" applyFont="1" applyAlignment="1">
      <alignment horizontal="left" vertical="top" wrapText="1"/>
    </xf>
    <xf numFmtId="0" fontId="8" fillId="0" borderId="0" xfId="0" quotePrefix="1" applyFont="1" applyAlignment="1">
      <alignment horizontal="left" vertical="top" wrapText="1" indent="3"/>
    </xf>
    <xf numFmtId="0" fontId="8" fillId="0" borderId="0" xfId="0" applyFont="1" applyAlignment="1">
      <alignment horizontal="left" vertical="top" wrapText="1" indent="3"/>
    </xf>
    <xf numFmtId="0" fontId="10" fillId="41" borderId="7" xfId="0" applyFont="1" applyFill="1" applyBorder="1" applyAlignment="1">
      <alignment horizontal="left" vertical="center"/>
    </xf>
    <xf numFmtId="0" fontId="10" fillId="41" borderId="5" xfId="0" applyFont="1" applyFill="1" applyBorder="1" applyAlignment="1">
      <alignment horizontal="left" vertical="center"/>
    </xf>
    <xf numFmtId="0" fontId="10" fillId="41" borderId="6" xfId="0" applyFont="1" applyFill="1" applyBorder="1" applyAlignment="1">
      <alignment horizontal="left" vertical="center"/>
    </xf>
    <xf numFmtId="0" fontId="32" fillId="46" borderId="36" xfId="0" applyFont="1" applyFill="1" applyBorder="1" applyAlignment="1">
      <alignment horizontal="left" vertical="center" wrapText="1" readingOrder="1"/>
    </xf>
    <xf numFmtId="0" fontId="32" fillId="46" borderId="0" xfId="0" applyFont="1" applyFill="1" applyAlignment="1">
      <alignment horizontal="left" vertical="center" wrapText="1" readingOrder="1"/>
    </xf>
    <xf numFmtId="0" fontId="14" fillId="46" borderId="0" xfId="0" applyFont="1" applyFill="1" applyAlignment="1">
      <alignment horizontal="left" vertical="center"/>
    </xf>
    <xf numFmtId="0" fontId="8" fillId="0" borderId="11" xfId="0" applyFont="1" applyBorder="1" applyAlignment="1">
      <alignment horizontal="right" vertical="top"/>
    </xf>
    <xf numFmtId="0" fontId="8" fillId="0" borderId="28" xfId="0" applyFont="1" applyBorder="1" applyAlignment="1">
      <alignment horizontal="right" vertical="top"/>
    </xf>
    <xf numFmtId="0" fontId="8" fillId="0" borderId="11" xfId="0" applyFont="1" applyBorder="1" applyAlignment="1">
      <alignment horizontal="left" vertical="top"/>
    </xf>
    <xf numFmtId="0" fontId="8" fillId="0" borderId="27" xfId="0" applyFont="1" applyBorder="1" applyAlignment="1">
      <alignment horizontal="left" vertical="top"/>
    </xf>
    <xf numFmtId="0" fontId="8" fillId="0" borderId="11" xfId="0" applyFont="1" applyBorder="1" applyAlignment="1">
      <alignment horizontal="left" vertical="top" wrapText="1"/>
    </xf>
    <xf numFmtId="0" fontId="8" fillId="0" borderId="27" xfId="0" applyFont="1" applyBorder="1" applyAlignment="1">
      <alignment horizontal="left" vertical="top" wrapText="1"/>
    </xf>
    <xf numFmtId="0" fontId="8" fillId="0" borderId="10" xfId="0" applyFont="1" applyBorder="1" applyAlignment="1">
      <alignment horizontal="right" vertical="top"/>
    </xf>
    <xf numFmtId="0" fontId="8" fillId="0" borderId="10" xfId="0" applyFont="1" applyBorder="1" applyAlignment="1">
      <alignment horizontal="left" vertical="top"/>
    </xf>
    <xf numFmtId="0" fontId="8" fillId="0" borderId="10" xfId="0" applyFont="1" applyBorder="1" applyAlignment="1">
      <alignment horizontal="left" vertical="top" wrapText="1"/>
    </xf>
    <xf numFmtId="0" fontId="8" fillId="0" borderId="41" xfId="0" applyFont="1" applyBorder="1" applyAlignment="1">
      <alignment horizontal="right" vertical="top"/>
    </xf>
    <xf numFmtId="0" fontId="8" fillId="0" borderId="41" xfId="0" applyFont="1" applyBorder="1" applyAlignment="1">
      <alignment horizontal="left" vertical="top"/>
    </xf>
    <xf numFmtId="0" fontId="11" fillId="0" borderId="41" xfId="0" applyFont="1" applyBorder="1" applyAlignment="1">
      <alignment horizontal="center"/>
    </xf>
    <xf numFmtId="0" fontId="11" fillId="0" borderId="10" xfId="0" applyFont="1" applyBorder="1" applyAlignment="1">
      <alignment horizontal="center"/>
    </xf>
    <xf numFmtId="0" fontId="8" fillId="0" borderId="42" xfId="0" applyFont="1" applyBorder="1" applyAlignment="1">
      <alignment horizontal="right" vertical="top"/>
    </xf>
    <xf numFmtId="0" fontId="8" fillId="0" borderId="9" xfId="0" applyFont="1" applyBorder="1" applyAlignment="1">
      <alignment horizontal="right" vertical="top"/>
    </xf>
    <xf numFmtId="0" fontId="8" fillId="0" borderId="42" xfId="0" applyFont="1" applyBorder="1" applyAlignment="1">
      <alignment horizontal="left" vertical="top"/>
    </xf>
    <xf numFmtId="0" fontId="8" fillId="0" borderId="9" xfId="0" applyFont="1" applyBorder="1" applyAlignment="1">
      <alignment horizontal="left" vertical="top"/>
    </xf>
    <xf numFmtId="0" fontId="8" fillId="0" borderId="41" xfId="0" applyFont="1" applyBorder="1" applyAlignment="1">
      <alignment horizontal="left" vertical="top" wrapText="1"/>
    </xf>
    <xf numFmtId="0" fontId="8" fillId="0" borderId="9" xfId="0" applyFont="1" applyBorder="1" applyAlignment="1">
      <alignment horizontal="left" vertical="top" wrapText="1"/>
    </xf>
    <xf numFmtId="0" fontId="11" fillId="0" borderId="11" xfId="0" applyFont="1" applyBorder="1" applyAlignment="1">
      <alignment horizontal="center"/>
    </xf>
    <xf numFmtId="0" fontId="11" fillId="0" borderId="27" xfId="0" applyFont="1" applyBorder="1" applyAlignment="1">
      <alignment horizontal="center"/>
    </xf>
    <xf numFmtId="0" fontId="8" fillId="0" borderId="27" xfId="0" applyFont="1" applyBorder="1" applyAlignment="1">
      <alignment horizontal="right" vertical="top"/>
    </xf>
    <xf numFmtId="0" fontId="10" fillId="12" borderId="17" xfId="0" applyFont="1" applyFill="1" applyBorder="1" applyAlignment="1">
      <alignment horizontal="center" vertical="center"/>
    </xf>
    <xf numFmtId="0" fontId="10" fillId="12" borderId="12" xfId="0" applyFont="1" applyFill="1" applyBorder="1" applyAlignment="1">
      <alignment horizontal="center" vertical="center"/>
    </xf>
    <xf numFmtId="0" fontId="15" fillId="21" borderId="17" xfId="0" applyFont="1" applyFill="1" applyBorder="1" applyAlignment="1">
      <alignment horizontal="center" vertical="center"/>
    </xf>
    <xf numFmtId="0" fontId="15" fillId="21" borderId="18" xfId="0" applyFont="1" applyFill="1" applyBorder="1" applyAlignment="1">
      <alignment horizontal="center" vertical="center"/>
    </xf>
    <xf numFmtId="0" fontId="15" fillId="21" borderId="12" xfId="0" applyFont="1" applyFill="1" applyBorder="1" applyAlignment="1">
      <alignment horizontal="center" vertical="center"/>
    </xf>
    <xf numFmtId="0" fontId="14" fillId="40" borderId="1" xfId="0" applyFont="1" applyFill="1" applyBorder="1" applyAlignment="1">
      <alignment horizontal="left" vertical="center"/>
    </xf>
    <xf numFmtId="0" fontId="14" fillId="25" borderId="1" xfId="0" applyFont="1" applyFill="1" applyBorder="1" applyAlignment="1">
      <alignment horizontal="left" vertical="center"/>
    </xf>
    <xf numFmtId="0" fontId="14" fillId="28" borderId="1" xfId="0" applyFont="1" applyFill="1" applyBorder="1" applyAlignment="1">
      <alignment horizontal="left" vertical="center"/>
    </xf>
    <xf numFmtId="0" fontId="10" fillId="43" borderId="17" xfId="0" applyFont="1" applyFill="1" applyBorder="1" applyAlignment="1">
      <alignment horizontal="center" vertical="center"/>
    </xf>
    <xf numFmtId="0" fontId="10" fillId="43" borderId="18" xfId="0" applyFont="1" applyFill="1" applyBorder="1" applyAlignment="1">
      <alignment horizontal="center" vertical="center"/>
    </xf>
    <xf numFmtId="0" fontId="10" fillId="43" borderId="12" xfId="0" applyFont="1" applyFill="1" applyBorder="1" applyAlignment="1">
      <alignment horizontal="center" vertical="center"/>
    </xf>
    <xf numFmtId="0" fontId="14" fillId="20" borderId="17" xfId="0" applyFont="1" applyFill="1" applyBorder="1" applyAlignment="1">
      <alignment horizontal="left" vertical="center"/>
    </xf>
    <xf numFmtId="0" fontId="14" fillId="20" borderId="18" xfId="0" applyFont="1" applyFill="1" applyBorder="1" applyAlignment="1">
      <alignment horizontal="left" vertical="center"/>
    </xf>
    <xf numFmtId="0" fontId="14" fillId="20" borderId="12" xfId="0" applyFont="1" applyFill="1" applyBorder="1" applyAlignment="1">
      <alignment horizontal="left" vertical="center"/>
    </xf>
    <xf numFmtId="0" fontId="10" fillId="30" borderId="17" xfId="0" applyFont="1" applyFill="1" applyBorder="1" applyAlignment="1">
      <alignment horizontal="left" vertical="center"/>
    </xf>
    <xf numFmtId="0" fontId="10" fillId="30" borderId="12" xfId="0" applyFont="1" applyFill="1" applyBorder="1" applyAlignment="1">
      <alignment horizontal="left" vertical="center"/>
    </xf>
    <xf numFmtId="0" fontId="10" fillId="16" borderId="17" xfId="0" applyFont="1" applyFill="1" applyBorder="1" applyAlignment="1">
      <alignment horizontal="left" vertical="center"/>
    </xf>
    <xf numFmtId="0" fontId="10" fillId="16" borderId="18" xfId="0" applyFont="1" applyFill="1" applyBorder="1" applyAlignment="1">
      <alignment horizontal="left" vertical="center"/>
    </xf>
    <xf numFmtId="0" fontId="10" fillId="16" borderId="12" xfId="0" applyFont="1" applyFill="1" applyBorder="1" applyAlignment="1">
      <alignment horizontal="left" vertical="center"/>
    </xf>
    <xf numFmtId="0" fontId="10" fillId="26" borderId="1" xfId="0" applyFont="1" applyFill="1" applyBorder="1" applyAlignment="1">
      <alignment horizontal="left" vertical="center"/>
    </xf>
    <xf numFmtId="0" fontId="14" fillId="22" borderId="17" xfId="0" applyFont="1" applyFill="1" applyBorder="1" applyAlignment="1">
      <alignment horizontal="left" vertical="center"/>
    </xf>
    <xf numFmtId="0" fontId="14" fillId="22" borderId="18" xfId="0" applyFont="1" applyFill="1" applyBorder="1" applyAlignment="1">
      <alignment horizontal="left" vertical="center"/>
    </xf>
    <xf numFmtId="0" fontId="14" fillId="22" borderId="12" xfId="0" applyFont="1" applyFill="1" applyBorder="1" applyAlignment="1">
      <alignment horizontal="left" vertical="center"/>
    </xf>
    <xf numFmtId="0" fontId="14" fillId="21" borderId="17" xfId="0" applyFont="1" applyFill="1" applyBorder="1" applyAlignment="1">
      <alignment horizontal="left" vertical="center"/>
    </xf>
    <xf numFmtId="0" fontId="14" fillId="21" borderId="18" xfId="0" applyFont="1" applyFill="1" applyBorder="1" applyAlignment="1">
      <alignment horizontal="left" vertical="center"/>
    </xf>
    <xf numFmtId="0" fontId="14" fillId="21" borderId="12" xfId="0" applyFont="1" applyFill="1" applyBorder="1" applyAlignment="1">
      <alignment horizontal="left" vertical="center"/>
    </xf>
    <xf numFmtId="0" fontId="14" fillId="20" borderId="1" xfId="0" applyFont="1" applyFill="1" applyBorder="1" applyAlignment="1">
      <alignment horizontal="left" vertical="center"/>
    </xf>
    <xf numFmtId="0" fontId="10" fillId="12" borderId="1" xfId="0" applyFont="1" applyFill="1" applyBorder="1" applyAlignment="1">
      <alignment horizontal="left" vertical="center"/>
    </xf>
    <xf numFmtId="0" fontId="10" fillId="27" borderId="1" xfId="0" applyFont="1" applyFill="1" applyBorder="1" applyAlignment="1">
      <alignment horizontal="left" vertical="center"/>
    </xf>
    <xf numFmtId="0" fontId="10" fillId="37" borderId="1" xfId="0" applyFont="1" applyFill="1" applyBorder="1" applyAlignment="1">
      <alignment horizontal="left" vertical="center"/>
    </xf>
    <xf numFmtId="0" fontId="10" fillId="5" borderId="1" xfId="0" applyFont="1" applyFill="1" applyBorder="1" applyAlignment="1">
      <alignment horizontal="left" vertical="center"/>
    </xf>
    <xf numFmtId="0" fontId="14" fillId="36" borderId="1" xfId="0" applyFont="1" applyFill="1" applyBorder="1" applyAlignment="1">
      <alignment horizontal="left" vertical="center"/>
    </xf>
    <xf numFmtId="0" fontId="10" fillId="13" borderId="18" xfId="0" applyFont="1" applyFill="1" applyBorder="1" applyAlignment="1">
      <alignment horizontal="left" vertical="center"/>
    </xf>
    <xf numFmtId="0" fontId="10" fillId="13" borderId="12" xfId="0" applyFont="1" applyFill="1" applyBorder="1" applyAlignment="1">
      <alignment horizontal="left" vertical="center"/>
    </xf>
    <xf numFmtId="0" fontId="10" fillId="8" borderId="1" xfId="0" applyFont="1" applyFill="1" applyBorder="1" applyAlignment="1">
      <alignment horizontal="left" vertical="center"/>
    </xf>
    <xf numFmtId="0" fontId="10" fillId="6" borderId="17" xfId="0" applyFont="1" applyFill="1" applyBorder="1" applyAlignment="1">
      <alignment horizontal="center" vertical="center"/>
    </xf>
    <xf numFmtId="0" fontId="10" fillId="6" borderId="12" xfId="0" applyFont="1" applyFill="1" applyBorder="1" applyAlignment="1">
      <alignment horizontal="center" vertical="center"/>
    </xf>
    <xf numFmtId="0" fontId="10" fillId="41" borderId="0" xfId="0" applyFont="1" applyFill="1" applyAlignment="1">
      <alignment horizontal="center" vertical="center" wrapText="1"/>
    </xf>
    <xf numFmtId="0" fontId="15" fillId="19" borderId="1" xfId="0" applyFont="1" applyFill="1" applyBorder="1" applyAlignment="1">
      <alignment horizontal="left" vertical="center" wrapText="1"/>
    </xf>
    <xf numFmtId="0" fontId="10" fillId="12" borderId="18" xfId="0" applyFont="1" applyFill="1" applyBorder="1" applyAlignment="1">
      <alignment horizontal="center" vertical="center"/>
    </xf>
    <xf numFmtId="0" fontId="10" fillId="2" borderId="1" xfId="0" applyFont="1" applyFill="1" applyBorder="1" applyAlignment="1">
      <alignment horizontal="left" vertical="center"/>
    </xf>
    <xf numFmtId="0" fontId="10" fillId="4" borderId="1" xfId="0" applyFont="1" applyFill="1" applyBorder="1" applyAlignment="1">
      <alignment horizontal="left" vertical="center"/>
    </xf>
    <xf numFmtId="0" fontId="10" fillId="7" borderId="1" xfId="0" applyFont="1" applyFill="1" applyBorder="1" applyAlignment="1">
      <alignment horizontal="left" vertical="center"/>
    </xf>
    <xf numFmtId="0" fontId="14" fillId="10" borderId="17" xfId="0" applyFont="1" applyFill="1" applyBorder="1" applyAlignment="1">
      <alignment horizontal="left" vertical="center"/>
    </xf>
    <xf numFmtId="0" fontId="14" fillId="10" borderId="18" xfId="0" applyFont="1" applyFill="1" applyBorder="1" applyAlignment="1">
      <alignment horizontal="left" vertical="center"/>
    </xf>
    <xf numFmtId="0" fontId="14" fillId="10" borderId="12" xfId="0" applyFont="1" applyFill="1" applyBorder="1" applyAlignment="1">
      <alignment horizontal="left" vertical="center"/>
    </xf>
    <xf numFmtId="10" fontId="8" fillId="14" borderId="1" xfId="0" applyNumberFormat="1" applyFont="1" applyFill="1" applyBorder="1" applyAlignment="1">
      <alignment horizontal="center" vertical="center"/>
    </xf>
    <xf numFmtId="0" fontId="10" fillId="23" borderId="1" xfId="0" applyFont="1" applyFill="1" applyBorder="1" applyAlignment="1">
      <alignment horizontal="left" vertical="center"/>
    </xf>
    <xf numFmtId="0" fontId="10" fillId="24" borderId="1" xfId="0" applyFont="1" applyFill="1" applyBorder="1" applyAlignment="1">
      <alignment horizontal="left" vertical="center"/>
    </xf>
    <xf numFmtId="0" fontId="10" fillId="32" borderId="1" xfId="0" applyFont="1" applyFill="1" applyBorder="1" applyAlignment="1">
      <alignment horizontal="left" vertical="center"/>
    </xf>
    <xf numFmtId="0" fontId="10" fillId="14" borderId="1" xfId="0" applyFont="1" applyFill="1" applyBorder="1" applyAlignment="1">
      <alignment horizontal="left" vertical="center"/>
    </xf>
    <xf numFmtId="0" fontId="10" fillId="35" borderId="1" xfId="0" applyFont="1" applyFill="1" applyBorder="1" applyAlignment="1">
      <alignment horizontal="left" vertical="center" wrapText="1"/>
    </xf>
    <xf numFmtId="0" fontId="10" fillId="11" borderId="1" xfId="0" applyFont="1" applyFill="1" applyBorder="1" applyAlignment="1">
      <alignment horizontal="left" vertical="center"/>
    </xf>
    <xf numFmtId="0" fontId="14" fillId="33" borderId="1" xfId="0" applyFont="1" applyFill="1" applyBorder="1" applyAlignment="1">
      <alignment horizontal="left" vertical="center"/>
    </xf>
    <xf numFmtId="0" fontId="15" fillId="31" borderId="1" xfId="0" applyFont="1" applyFill="1" applyBorder="1" applyAlignment="1">
      <alignment horizontal="left" vertical="center"/>
    </xf>
    <xf numFmtId="0" fontId="10" fillId="21" borderId="17" xfId="0" applyFont="1" applyFill="1" applyBorder="1" applyAlignment="1">
      <alignment horizontal="center" vertical="center"/>
    </xf>
    <xf numFmtId="0" fontId="10" fillId="21" borderId="18" xfId="0" applyFont="1" applyFill="1" applyBorder="1" applyAlignment="1">
      <alignment horizontal="center" vertical="center"/>
    </xf>
    <xf numFmtId="0" fontId="10" fillId="21" borderId="12" xfId="0" applyFont="1" applyFill="1" applyBorder="1" applyAlignment="1">
      <alignment horizontal="center" vertical="center"/>
    </xf>
    <xf numFmtId="0" fontId="14" fillId="19" borderId="17" xfId="0" applyFont="1" applyFill="1" applyBorder="1" applyAlignment="1">
      <alignment horizontal="left" vertical="center"/>
    </xf>
    <xf numFmtId="0" fontId="14" fillId="19" borderId="18" xfId="0" applyFont="1" applyFill="1" applyBorder="1" applyAlignment="1">
      <alignment horizontal="left" vertical="center"/>
    </xf>
    <xf numFmtId="0" fontId="14" fillId="19" borderId="12" xfId="0" applyFont="1" applyFill="1" applyBorder="1" applyAlignment="1">
      <alignment horizontal="left" vertical="center"/>
    </xf>
    <xf numFmtId="0" fontId="10" fillId="38" borderId="1" xfId="0" applyFont="1" applyFill="1" applyBorder="1" applyAlignment="1">
      <alignment horizontal="center"/>
    </xf>
    <xf numFmtId="0" fontId="10" fillId="5" borderId="1" xfId="0" applyFont="1" applyFill="1" applyBorder="1" applyAlignment="1">
      <alignment horizontal="center"/>
    </xf>
    <xf numFmtId="0" fontId="10" fillId="6" borderId="1" xfId="0" applyFont="1" applyFill="1" applyBorder="1" applyAlignment="1">
      <alignment horizontal="center"/>
    </xf>
    <xf numFmtId="0" fontId="10" fillId="0" borderId="0" xfId="0" applyFont="1" applyAlignment="1">
      <alignment horizontal="center"/>
    </xf>
    <xf numFmtId="0" fontId="15" fillId="15" borderId="2" xfId="0" applyFont="1" applyFill="1" applyBorder="1" applyAlignment="1">
      <alignment horizontal="center" wrapText="1"/>
    </xf>
    <xf numFmtId="0" fontId="15" fillId="15" borderId="0" xfId="0" applyFont="1" applyFill="1" applyAlignment="1">
      <alignment horizontal="center" wrapText="1"/>
    </xf>
    <xf numFmtId="0" fontId="15" fillId="22" borderId="0" xfId="0" applyFont="1" applyFill="1" applyAlignment="1">
      <alignment horizontal="center" wrapText="1"/>
    </xf>
    <xf numFmtId="0" fontId="15" fillId="22" borderId="4" xfId="0" applyFont="1" applyFill="1" applyBorder="1" applyAlignment="1">
      <alignment horizontal="center" wrapText="1"/>
    </xf>
    <xf numFmtId="0" fontId="10" fillId="52" borderId="0" xfId="0" applyFont="1" applyFill="1" applyAlignment="1">
      <alignment vertical="top" wrapText="1"/>
    </xf>
  </cellXfs>
  <cellStyles count="4">
    <cellStyle name="Comma" xfId="2" builtinId="3"/>
    <cellStyle name="Hyperlink" xfId="1" builtinId="8"/>
    <cellStyle name="Normal" xfId="0" builtinId="0"/>
    <cellStyle name="Percent" xfId="3" builtinId="5"/>
  </cellStyles>
  <dxfs count="6">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Medium9"/>
  <colors>
    <mruColors>
      <color rgb="FF003B63"/>
      <color rgb="FFEB9896"/>
      <color rgb="FFCDDBE4"/>
      <color rgb="FFE7EEF3"/>
      <color rgb="FF0989B1"/>
      <color rgb="FF7F7F7F"/>
      <color rgb="FF45CFCC"/>
      <color rgb="FFBCB5FF"/>
      <color rgb="FF9767FF"/>
      <color rgb="FFD88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 Id="rId27" Type="http://schemas.openxmlformats.org/officeDocument/2006/relationships/customXml" Target="../customXml/item3.xml"/></Relationships>
</file>

<file path=xl/documenttasks/documenttask1.xml><?xml version="1.0" encoding="utf-8"?>
<Tasks xmlns="http://schemas.microsoft.com/office/tasks/2019/documenttasks">
  <Task id="{B9A237FE-174C-497A-BA16-A693F65098CC}">
    <Anchor>
      <Comment id="{E9F8EA75-5711-4811-A448-199D22D7C39B}"/>
    </Anchor>
    <History>
      <Event time="2024-07-05T15:04:23.78" id="{3702F63C-573E-4B69-B791-DA817C2DBE1B}">
        <Attribution userId="S::iwood@RMI.org::086e4436-e4a1-4ad9-b90f-0128b23db16a" userName="Isabel Wood" userProvider="AD"/>
        <Anchor>
          <Comment id="{E9F8EA75-5711-4811-A448-199D22D7C39B}"/>
        </Anchor>
        <Create/>
      </Event>
      <Event time="2024-07-05T15:04:23.78" id="{FDF0E462-666F-4192-A435-907B39DF3BEE}">
        <Attribution userId="S::iwood@RMI.org::086e4436-e4a1-4ad9-b90f-0128b23db16a" userName="Isabel Wood" userProvider="AD"/>
        <Anchor>
          <Comment id="{E9F8EA75-5711-4811-A448-199D22D7C39B}"/>
        </Anchor>
        <Assign userId="S::kclarksutton@rmi.org::5db4ef5b-ed85-4b47-8eff-6a34120d6daa" userName="Kyle Clark-Sutton" userProvider="AD"/>
      </Event>
      <Event time="2024-07-05T15:04:23.78" id="{4344561F-5ACB-4D0C-90A8-C5E5F252E135}">
        <Attribution userId="S::iwood@RMI.org::086e4436-e4a1-4ad9-b90f-0128b23db16a" userName="Isabel Wood" userProvider="AD"/>
        <Anchor>
          <Comment id="{E9F8EA75-5711-4811-A448-199D22D7C39B}"/>
        </Anchor>
        <SetTitle title="@Kyle Clark-Sutton upon reflection with our conversation with Charm, I think we should only include class 5 primacy. They convert abandoned class 2 wells to class 5, so primacy for class 2 would not be relevant. Plus, I looked at the EPA website, and …"/>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455613</xdr:colOff>
      <xdr:row>0</xdr:row>
      <xdr:rowOff>190501</xdr:rowOff>
    </xdr:from>
    <xdr:to>
      <xdr:col>1</xdr:col>
      <xdr:colOff>962036</xdr:colOff>
      <xdr:row>1</xdr:row>
      <xdr:rowOff>123508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55613" y="190501"/>
          <a:ext cx="966798" cy="2743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42</xdr:col>
      <xdr:colOff>558800</xdr:colOff>
      <xdr:row>7</xdr:row>
      <xdr:rowOff>63500</xdr:rowOff>
    </xdr:from>
    <xdr:to>
      <xdr:col>46</xdr:col>
      <xdr:colOff>977900</xdr:colOff>
      <xdr:row>8</xdr:row>
      <xdr:rowOff>50800</xdr:rowOff>
    </xdr:to>
    <xdr:sp macro="" textlink="">
      <xdr:nvSpPr>
        <xdr:cNvPr id="2" name="Rectangle 1">
          <a:extLst>
            <a:ext uri="{FF2B5EF4-FFF2-40B4-BE49-F238E27FC236}">
              <a16:creationId xmlns:a16="http://schemas.microsoft.com/office/drawing/2014/main" id="{00000000-0008-0000-0900-000002000000}"/>
            </a:ext>
          </a:extLst>
        </xdr:cNvPr>
        <xdr:cNvSpPr/>
      </xdr:nvSpPr>
      <xdr:spPr>
        <a:xfrm>
          <a:off x="50025300" y="444500"/>
          <a:ext cx="5245100" cy="10033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rPr>
            <a:t>Additional considerations:</a:t>
          </a:r>
        </a:p>
        <a:p>
          <a:pPr algn="l"/>
          <a:r>
            <a:rPr lang="en-US" sz="1100">
              <a:solidFill>
                <a:sysClr val="windowText" lastClr="000000"/>
              </a:solidFill>
            </a:rPr>
            <a:t>-</a:t>
          </a:r>
          <a:r>
            <a:rPr lang="en-US" sz="1100" baseline="0">
              <a:solidFill>
                <a:sysClr val="windowText" lastClr="000000"/>
              </a:solidFill>
            </a:rPr>
            <a:t> TEW is also impacted by the mumber of USDA extensions and land grnat universities</a:t>
          </a:r>
        </a:p>
        <a:p>
          <a:pPr algn="l"/>
          <a:r>
            <a:rPr lang="en-US" sz="1100" baseline="0">
              <a:solidFill>
                <a:sysClr val="windowText" lastClr="000000"/>
              </a:solidFill>
            </a:rPr>
            <a:t>- CEW is also impacted by the number of previous beach nourishments projects that have been done in a state (could speed permitting)</a:t>
          </a:r>
        </a:p>
        <a:p>
          <a:pPr algn="l"/>
          <a:r>
            <a:rPr lang="en-US" sz="1100" baseline="0">
              <a:solidFill>
                <a:sysClr val="windowText" lastClr="000000"/>
              </a:solidFill>
            </a:rPr>
            <a:t>- MAE is also impacted by presence of a big fishing / shipping industry </a:t>
          </a:r>
          <a:endParaRPr lang="en-US" sz="1100">
            <a:solidFill>
              <a:sysClr val="windowText" lastClr="000000"/>
            </a:solidFill>
          </a:endParaRPr>
        </a:p>
      </xdr:txBody>
    </xdr:sp>
    <xdr:clientData/>
  </xdr:twoCellAnchor>
  <xdr:twoCellAnchor editAs="oneCell">
    <xdr:from>
      <xdr:col>0</xdr:col>
      <xdr:colOff>330200</xdr:colOff>
      <xdr:row>0</xdr:row>
      <xdr:rowOff>190500</xdr:rowOff>
    </xdr:from>
    <xdr:to>
      <xdr:col>1</xdr:col>
      <xdr:colOff>90498</xdr:colOff>
      <xdr:row>1</xdr:row>
      <xdr:rowOff>121920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tretch>
          <a:fillRect/>
        </a:stretch>
      </xdr:blipFill>
      <xdr:spPr>
        <a:xfrm>
          <a:off x="330200" y="190500"/>
          <a:ext cx="966798" cy="2743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40</xdr:col>
      <xdr:colOff>558800</xdr:colOff>
      <xdr:row>7</xdr:row>
      <xdr:rowOff>63500</xdr:rowOff>
    </xdr:from>
    <xdr:to>
      <xdr:col>44</xdr:col>
      <xdr:colOff>977900</xdr:colOff>
      <xdr:row>8</xdr:row>
      <xdr:rowOff>50800</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48818800" y="1079500"/>
          <a:ext cx="5245100" cy="1905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rPr>
            <a:t>Additional considerations:</a:t>
          </a:r>
        </a:p>
        <a:p>
          <a:pPr algn="l"/>
          <a:r>
            <a:rPr lang="en-US" sz="1100">
              <a:solidFill>
                <a:sysClr val="windowText" lastClr="000000"/>
              </a:solidFill>
            </a:rPr>
            <a:t>-</a:t>
          </a:r>
          <a:r>
            <a:rPr lang="en-US" sz="1100" baseline="0">
              <a:solidFill>
                <a:sysClr val="windowText" lastClr="000000"/>
              </a:solidFill>
            </a:rPr>
            <a:t> TEW is also impacted by the mumber of USDA extensions and land grnat universities</a:t>
          </a:r>
        </a:p>
        <a:p>
          <a:pPr algn="l"/>
          <a:r>
            <a:rPr lang="en-US" sz="1100" baseline="0">
              <a:solidFill>
                <a:sysClr val="windowText" lastClr="000000"/>
              </a:solidFill>
            </a:rPr>
            <a:t>- CEW is also impacted by the number of previous beach nourishments projects that have been done in a state (could speed permitting)</a:t>
          </a:r>
        </a:p>
        <a:p>
          <a:pPr algn="l"/>
          <a:r>
            <a:rPr lang="en-US" sz="1100" baseline="0">
              <a:solidFill>
                <a:sysClr val="windowText" lastClr="000000"/>
              </a:solidFill>
            </a:rPr>
            <a:t>- MAE is also impacted by presence of a big fishing / shipping industry </a:t>
          </a:r>
          <a:endParaRPr lang="en-US" sz="1100">
            <a:solidFill>
              <a:sysClr val="windowText" lastClr="000000"/>
            </a:solidFill>
          </a:endParaRPr>
        </a:p>
      </xdr:txBody>
    </xdr:sp>
    <xdr:clientData/>
  </xdr:twoCellAnchor>
  <xdr:twoCellAnchor editAs="oneCell">
    <xdr:from>
      <xdr:col>0</xdr:col>
      <xdr:colOff>416560</xdr:colOff>
      <xdr:row>0</xdr:row>
      <xdr:rowOff>203200</xdr:rowOff>
    </xdr:from>
    <xdr:to>
      <xdr:col>1</xdr:col>
      <xdr:colOff>174318</xdr:colOff>
      <xdr:row>1</xdr:row>
      <xdr:rowOff>132080</xdr:rowOff>
    </xdr:to>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416560" y="203200"/>
          <a:ext cx="966798" cy="2743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40</xdr:col>
      <xdr:colOff>558800</xdr:colOff>
      <xdr:row>7</xdr:row>
      <xdr:rowOff>63500</xdr:rowOff>
    </xdr:from>
    <xdr:to>
      <xdr:col>44</xdr:col>
      <xdr:colOff>977900</xdr:colOff>
      <xdr:row>8</xdr:row>
      <xdr:rowOff>50800</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48818800" y="1079500"/>
          <a:ext cx="5245100" cy="1905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rPr>
            <a:t>Additional considerations:</a:t>
          </a:r>
        </a:p>
        <a:p>
          <a:pPr algn="l"/>
          <a:r>
            <a:rPr lang="en-US" sz="1100">
              <a:solidFill>
                <a:sysClr val="windowText" lastClr="000000"/>
              </a:solidFill>
            </a:rPr>
            <a:t>-</a:t>
          </a:r>
          <a:r>
            <a:rPr lang="en-US" sz="1100" baseline="0">
              <a:solidFill>
                <a:sysClr val="windowText" lastClr="000000"/>
              </a:solidFill>
            </a:rPr>
            <a:t> TEW is also impacted by the mumber of USDA extensions and land grnat universities</a:t>
          </a:r>
        </a:p>
        <a:p>
          <a:pPr algn="l"/>
          <a:r>
            <a:rPr lang="en-US" sz="1100" baseline="0">
              <a:solidFill>
                <a:sysClr val="windowText" lastClr="000000"/>
              </a:solidFill>
            </a:rPr>
            <a:t>- CEW is also impacted by the number of previous beach nourishments projects that have been done in a state (could speed permitting)</a:t>
          </a:r>
        </a:p>
        <a:p>
          <a:pPr algn="l"/>
          <a:r>
            <a:rPr lang="en-US" sz="1100" baseline="0">
              <a:solidFill>
                <a:sysClr val="windowText" lastClr="000000"/>
              </a:solidFill>
            </a:rPr>
            <a:t>- MAE is also impacted by presence of a big fishing / shipping industry </a:t>
          </a:r>
          <a:endParaRPr lang="en-US" sz="1100">
            <a:solidFill>
              <a:sysClr val="windowText" lastClr="000000"/>
            </a:solidFill>
          </a:endParaRPr>
        </a:p>
      </xdr:txBody>
    </xdr:sp>
    <xdr:clientData/>
  </xdr:twoCellAnchor>
  <xdr:twoCellAnchor editAs="oneCell">
    <xdr:from>
      <xdr:col>0</xdr:col>
      <xdr:colOff>388056</xdr:colOff>
      <xdr:row>0</xdr:row>
      <xdr:rowOff>211668</xdr:rowOff>
    </xdr:from>
    <xdr:to>
      <xdr:col>1</xdr:col>
      <xdr:colOff>143650</xdr:colOff>
      <xdr:row>1</xdr:row>
      <xdr:rowOff>144969</xdr:rowOff>
    </xdr:to>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tretch>
          <a:fillRect/>
        </a:stretch>
      </xdr:blipFill>
      <xdr:spPr>
        <a:xfrm>
          <a:off x="388056" y="211668"/>
          <a:ext cx="966798" cy="27432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41</xdr:col>
      <xdr:colOff>558800</xdr:colOff>
      <xdr:row>7</xdr:row>
      <xdr:rowOff>63500</xdr:rowOff>
    </xdr:from>
    <xdr:to>
      <xdr:col>45</xdr:col>
      <xdr:colOff>977900</xdr:colOff>
      <xdr:row>8</xdr:row>
      <xdr:rowOff>50800</xdr:rowOff>
    </xdr:to>
    <xdr:sp macro="" textlink="">
      <xdr:nvSpPr>
        <xdr:cNvPr id="2" name="Rectangle 1">
          <a:extLst>
            <a:ext uri="{FF2B5EF4-FFF2-40B4-BE49-F238E27FC236}">
              <a16:creationId xmlns:a16="http://schemas.microsoft.com/office/drawing/2014/main" id="{00000000-0008-0000-0C00-000002000000}"/>
            </a:ext>
          </a:extLst>
        </xdr:cNvPr>
        <xdr:cNvSpPr/>
      </xdr:nvSpPr>
      <xdr:spPr>
        <a:xfrm>
          <a:off x="50025300" y="1079500"/>
          <a:ext cx="5245100" cy="190500"/>
        </a:xfrm>
        <a:prstGeom prst="rect">
          <a:avLst/>
        </a:prstGeom>
        <a:solidFill>
          <a:schemeClr val="bg2"/>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solidFill>
                <a:sysClr val="windowText" lastClr="000000"/>
              </a:solidFill>
            </a:rPr>
            <a:t>Additional considerations:</a:t>
          </a:r>
        </a:p>
        <a:p>
          <a:pPr algn="l"/>
          <a:r>
            <a:rPr lang="en-US" sz="1100">
              <a:solidFill>
                <a:sysClr val="windowText" lastClr="000000"/>
              </a:solidFill>
            </a:rPr>
            <a:t>-</a:t>
          </a:r>
          <a:r>
            <a:rPr lang="en-US" sz="1100" baseline="0">
              <a:solidFill>
                <a:sysClr val="windowText" lastClr="000000"/>
              </a:solidFill>
            </a:rPr>
            <a:t> TEW is also impacted by the mumber of USDA extensions and land grnat universities</a:t>
          </a:r>
        </a:p>
        <a:p>
          <a:pPr algn="l"/>
          <a:r>
            <a:rPr lang="en-US" sz="1100" baseline="0">
              <a:solidFill>
                <a:sysClr val="windowText" lastClr="000000"/>
              </a:solidFill>
            </a:rPr>
            <a:t>- CEW is also impacted by the number of previous beach nourishments projects that have been done in a state (could speed permitting)</a:t>
          </a:r>
        </a:p>
        <a:p>
          <a:pPr algn="l"/>
          <a:r>
            <a:rPr lang="en-US" sz="1100" baseline="0">
              <a:solidFill>
                <a:sysClr val="windowText" lastClr="000000"/>
              </a:solidFill>
            </a:rPr>
            <a:t>- MAE is also impacted by presence of a big fishing / shipping industry </a:t>
          </a:r>
          <a:endParaRPr lang="en-US" sz="1100">
            <a:solidFill>
              <a:sysClr val="windowText" lastClr="000000"/>
            </a:solidFill>
          </a:endParaRPr>
        </a:p>
      </xdr:txBody>
    </xdr:sp>
    <xdr:clientData/>
  </xdr:twoCellAnchor>
  <xdr:twoCellAnchor editAs="oneCell">
    <xdr:from>
      <xdr:col>0</xdr:col>
      <xdr:colOff>464301</xdr:colOff>
      <xdr:row>0</xdr:row>
      <xdr:rowOff>191183</xdr:rowOff>
    </xdr:from>
    <xdr:to>
      <xdr:col>1</xdr:col>
      <xdr:colOff>229379</xdr:colOff>
      <xdr:row>1</xdr:row>
      <xdr:rowOff>124105</xdr:rowOff>
    </xdr:to>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a:off x="464301" y="191183"/>
          <a:ext cx="966798" cy="27432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341512</xdr:colOff>
      <xdr:row>0</xdr:row>
      <xdr:rowOff>181429</xdr:rowOff>
    </xdr:from>
    <xdr:to>
      <xdr:col>0</xdr:col>
      <xdr:colOff>1308844</xdr:colOff>
      <xdr:row>1</xdr:row>
      <xdr:rowOff>88900</xdr:rowOff>
    </xdr:to>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a:stretch>
          <a:fillRect/>
        </a:stretch>
      </xdr:blipFill>
      <xdr:spPr>
        <a:xfrm>
          <a:off x="341512" y="181429"/>
          <a:ext cx="966798" cy="27432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95250</xdr:colOff>
      <xdr:row>0</xdr:row>
      <xdr:rowOff>165100</xdr:rowOff>
    </xdr:from>
    <xdr:to>
      <xdr:col>0</xdr:col>
      <xdr:colOff>1062582</xdr:colOff>
      <xdr:row>1</xdr:row>
      <xdr:rowOff>91621</xdr:rowOff>
    </xdr:to>
    <xdr:pic>
      <xdr:nvPicPr>
        <xdr:cNvPr id="3" name="Picture 2" descr="A black and blue logo&#10;&#10;Description automatically generated">
          <a:extLst>
            <a:ext uri="{FF2B5EF4-FFF2-40B4-BE49-F238E27FC236}">
              <a16:creationId xmlns:a16="http://schemas.microsoft.com/office/drawing/2014/main" id="{4650C713-BC2B-49AF-A389-03CD165C2E4C}"/>
            </a:ext>
          </a:extLst>
        </xdr:cNvPr>
        <xdr:cNvPicPr>
          <a:picLocks noChangeAspect="1"/>
        </xdr:cNvPicPr>
      </xdr:nvPicPr>
      <xdr:blipFill>
        <a:blip xmlns:r="http://schemas.openxmlformats.org/officeDocument/2006/relationships" r:embed="rId1"/>
        <a:stretch>
          <a:fillRect/>
        </a:stretch>
      </xdr:blipFill>
      <xdr:spPr>
        <a:xfrm>
          <a:off x="95250" y="165100"/>
          <a:ext cx="967332" cy="2694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88900</xdr:colOff>
      <xdr:row>0</xdr:row>
      <xdr:rowOff>177800</xdr:rowOff>
    </xdr:from>
    <xdr:to>
      <xdr:col>0</xdr:col>
      <xdr:colOff>1056232</xdr:colOff>
      <xdr:row>1</xdr:row>
      <xdr:rowOff>104321</xdr:rowOff>
    </xdr:to>
    <xdr:pic>
      <xdr:nvPicPr>
        <xdr:cNvPr id="3" name="Picture 2" descr="A black and blue logo&#10;&#10;Description automatically generated">
          <a:extLst>
            <a:ext uri="{FF2B5EF4-FFF2-40B4-BE49-F238E27FC236}">
              <a16:creationId xmlns:a16="http://schemas.microsoft.com/office/drawing/2014/main" id="{E01667E3-D071-4A5A-89F6-8EE626675204}"/>
            </a:ext>
          </a:extLst>
        </xdr:cNvPr>
        <xdr:cNvPicPr>
          <a:picLocks noChangeAspect="1"/>
        </xdr:cNvPicPr>
      </xdr:nvPicPr>
      <xdr:blipFill>
        <a:blip xmlns:r="http://schemas.openxmlformats.org/officeDocument/2006/relationships" r:embed="rId1"/>
        <a:stretch>
          <a:fillRect/>
        </a:stretch>
      </xdr:blipFill>
      <xdr:spPr>
        <a:xfrm>
          <a:off x="1917700" y="177800"/>
          <a:ext cx="967332" cy="2694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513525</xdr:colOff>
      <xdr:row>62</xdr:row>
      <xdr:rowOff>12700</xdr:rowOff>
    </xdr:from>
    <xdr:to>
      <xdr:col>15</xdr:col>
      <xdr:colOff>244709</xdr:colOff>
      <xdr:row>69</xdr:row>
      <xdr:rowOff>50800</xdr:rowOff>
    </xdr:to>
    <xdr:sp macro="" textlink="">
      <xdr:nvSpPr>
        <xdr:cNvPr id="2" name="Oval 1">
          <a:extLst>
            <a:ext uri="{FF2B5EF4-FFF2-40B4-BE49-F238E27FC236}">
              <a16:creationId xmlns:a16="http://schemas.microsoft.com/office/drawing/2014/main" id="{87C14561-15F1-6945-8078-D8757D86520A}"/>
            </a:ext>
          </a:extLst>
        </xdr:cNvPr>
        <xdr:cNvSpPr/>
      </xdr:nvSpPr>
      <xdr:spPr>
        <a:xfrm>
          <a:off x="11245025" y="11823700"/>
          <a:ext cx="1382184" cy="1371600"/>
        </a:xfrm>
        <a:prstGeom prst="ellipse">
          <a:avLst/>
        </a:prstGeom>
        <a:solidFill>
          <a:srgbClr val="F8931D"/>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p>
      </xdr:txBody>
    </xdr:sp>
    <xdr:clientData/>
  </xdr:twoCellAnchor>
  <xdr:twoCellAnchor>
    <xdr:from>
      <xdr:col>3</xdr:col>
      <xdr:colOff>810846</xdr:colOff>
      <xdr:row>62</xdr:row>
      <xdr:rowOff>12700</xdr:rowOff>
    </xdr:from>
    <xdr:to>
      <xdr:col>5</xdr:col>
      <xdr:colOff>465494</xdr:colOff>
      <xdr:row>69</xdr:row>
      <xdr:rowOff>50800</xdr:rowOff>
    </xdr:to>
    <xdr:sp macro="" textlink="">
      <xdr:nvSpPr>
        <xdr:cNvPr id="3" name="Oval 2">
          <a:extLst>
            <a:ext uri="{FF2B5EF4-FFF2-40B4-BE49-F238E27FC236}">
              <a16:creationId xmlns:a16="http://schemas.microsoft.com/office/drawing/2014/main" id="{79C1BC0E-39AA-964A-A9EF-27DCF617A248}"/>
            </a:ext>
          </a:extLst>
        </xdr:cNvPr>
        <xdr:cNvSpPr/>
      </xdr:nvSpPr>
      <xdr:spPr>
        <a:xfrm>
          <a:off x="3966308" y="12634546"/>
          <a:ext cx="2644032" cy="1405792"/>
        </a:xfrm>
        <a:prstGeom prst="ellipse">
          <a:avLst/>
        </a:prstGeom>
        <a:solidFill>
          <a:srgbClr val="0BD0D9"/>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p>
      </xdr:txBody>
    </xdr:sp>
    <xdr:clientData/>
  </xdr:twoCellAnchor>
  <xdr:twoCellAnchor>
    <xdr:from>
      <xdr:col>5</xdr:col>
      <xdr:colOff>771769</xdr:colOff>
      <xdr:row>62</xdr:row>
      <xdr:rowOff>12700</xdr:rowOff>
    </xdr:from>
    <xdr:to>
      <xdr:col>7</xdr:col>
      <xdr:colOff>428745</xdr:colOff>
      <xdr:row>69</xdr:row>
      <xdr:rowOff>50800</xdr:rowOff>
    </xdr:to>
    <xdr:sp macro="" textlink="">
      <xdr:nvSpPr>
        <xdr:cNvPr id="4" name="Oval 3">
          <a:extLst>
            <a:ext uri="{FF2B5EF4-FFF2-40B4-BE49-F238E27FC236}">
              <a16:creationId xmlns:a16="http://schemas.microsoft.com/office/drawing/2014/main" id="{EB441564-73D9-5C4F-A181-3DC6449EBF72}"/>
            </a:ext>
          </a:extLst>
        </xdr:cNvPr>
        <xdr:cNvSpPr/>
      </xdr:nvSpPr>
      <xdr:spPr>
        <a:xfrm>
          <a:off x="6916615" y="12634546"/>
          <a:ext cx="2226284" cy="1405792"/>
        </a:xfrm>
        <a:prstGeom prst="ellipse">
          <a:avLst/>
        </a:prstGeom>
        <a:solidFill>
          <a:srgbClr val="0989B1"/>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p>
      </xdr:txBody>
    </xdr:sp>
    <xdr:clientData/>
  </xdr:twoCellAnchor>
  <xdr:twoCellAnchor>
    <xdr:from>
      <xdr:col>9</xdr:col>
      <xdr:colOff>592312</xdr:colOff>
      <xdr:row>62</xdr:row>
      <xdr:rowOff>12700</xdr:rowOff>
    </xdr:from>
    <xdr:to>
      <xdr:col>11</xdr:col>
      <xdr:colOff>318204</xdr:colOff>
      <xdr:row>69</xdr:row>
      <xdr:rowOff>50800</xdr:rowOff>
    </xdr:to>
    <xdr:sp macro="" textlink="">
      <xdr:nvSpPr>
        <xdr:cNvPr id="5" name="Oval 4">
          <a:extLst>
            <a:ext uri="{FF2B5EF4-FFF2-40B4-BE49-F238E27FC236}">
              <a16:creationId xmlns:a16="http://schemas.microsoft.com/office/drawing/2014/main" id="{2B1921EF-577F-E84D-A0DA-06A1111462BD}"/>
            </a:ext>
          </a:extLst>
        </xdr:cNvPr>
        <xdr:cNvSpPr/>
      </xdr:nvSpPr>
      <xdr:spPr>
        <a:xfrm>
          <a:off x="10967235" y="12634546"/>
          <a:ext cx="1386661" cy="1405792"/>
        </a:xfrm>
        <a:prstGeom prst="ellipse">
          <a:avLst/>
        </a:prstGeom>
        <a:solidFill>
          <a:srgbClr val="548538"/>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p>
      </xdr:txBody>
    </xdr:sp>
    <xdr:clientData/>
  </xdr:twoCellAnchor>
  <xdr:twoCellAnchor>
    <xdr:from>
      <xdr:col>7</xdr:col>
      <xdr:colOff>629061</xdr:colOff>
      <xdr:row>62</xdr:row>
      <xdr:rowOff>12700</xdr:rowOff>
    </xdr:from>
    <xdr:to>
      <xdr:col>9</xdr:col>
      <xdr:colOff>354953</xdr:colOff>
      <xdr:row>69</xdr:row>
      <xdr:rowOff>50800</xdr:rowOff>
    </xdr:to>
    <xdr:sp macro="" textlink="">
      <xdr:nvSpPr>
        <xdr:cNvPr id="6" name="Oval 5">
          <a:extLst>
            <a:ext uri="{FF2B5EF4-FFF2-40B4-BE49-F238E27FC236}">
              <a16:creationId xmlns:a16="http://schemas.microsoft.com/office/drawing/2014/main" id="{3D4F3479-DF14-694F-B349-45A20E645C43}"/>
            </a:ext>
          </a:extLst>
        </xdr:cNvPr>
        <xdr:cNvSpPr/>
      </xdr:nvSpPr>
      <xdr:spPr>
        <a:xfrm>
          <a:off x="9343215" y="12634546"/>
          <a:ext cx="1386661" cy="1405792"/>
        </a:xfrm>
        <a:prstGeom prst="ellipse">
          <a:avLst/>
        </a:prstGeom>
        <a:solidFill>
          <a:srgbClr val="003A61"/>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p>
      </xdr:txBody>
    </xdr:sp>
    <xdr:clientData/>
  </xdr:twoCellAnchor>
  <xdr:twoCellAnchor>
    <xdr:from>
      <xdr:col>11</xdr:col>
      <xdr:colOff>550274</xdr:colOff>
      <xdr:row>62</xdr:row>
      <xdr:rowOff>12700</xdr:rowOff>
    </xdr:from>
    <xdr:to>
      <xdr:col>13</xdr:col>
      <xdr:colOff>281457</xdr:colOff>
      <xdr:row>69</xdr:row>
      <xdr:rowOff>50800</xdr:rowOff>
    </xdr:to>
    <xdr:sp macro="" textlink="">
      <xdr:nvSpPr>
        <xdr:cNvPr id="7" name="Oval 6">
          <a:extLst>
            <a:ext uri="{FF2B5EF4-FFF2-40B4-BE49-F238E27FC236}">
              <a16:creationId xmlns:a16="http://schemas.microsoft.com/office/drawing/2014/main" id="{1A30C9E2-3A57-B745-B37A-AAFFEA383DC4}"/>
            </a:ext>
          </a:extLst>
        </xdr:cNvPr>
        <xdr:cNvSpPr/>
      </xdr:nvSpPr>
      <xdr:spPr>
        <a:xfrm>
          <a:off x="9630774" y="11823700"/>
          <a:ext cx="1382183" cy="1371600"/>
        </a:xfrm>
        <a:prstGeom prst="ellipse">
          <a:avLst/>
        </a:prstGeom>
        <a:solidFill>
          <a:srgbClr val="FFCA08"/>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p>
      </xdr:txBody>
    </xdr:sp>
    <xdr:clientData/>
  </xdr:twoCellAnchor>
  <xdr:twoCellAnchor>
    <xdr:from>
      <xdr:col>0</xdr:col>
      <xdr:colOff>674077</xdr:colOff>
      <xdr:row>62</xdr:row>
      <xdr:rowOff>23283</xdr:rowOff>
    </xdr:from>
    <xdr:to>
      <xdr:col>3</xdr:col>
      <xdr:colOff>353483</xdr:colOff>
      <xdr:row>69</xdr:row>
      <xdr:rowOff>61383</xdr:rowOff>
    </xdr:to>
    <xdr:sp macro="" textlink="">
      <xdr:nvSpPr>
        <xdr:cNvPr id="8" name="Oval 7">
          <a:extLst>
            <a:ext uri="{FF2B5EF4-FFF2-40B4-BE49-F238E27FC236}">
              <a16:creationId xmlns:a16="http://schemas.microsoft.com/office/drawing/2014/main" id="{0C1D6C81-8DF4-2F48-A4A1-87BCA72C52A0}"/>
            </a:ext>
          </a:extLst>
        </xdr:cNvPr>
        <xdr:cNvSpPr/>
      </xdr:nvSpPr>
      <xdr:spPr>
        <a:xfrm>
          <a:off x="674077" y="12645129"/>
          <a:ext cx="2834868" cy="1405792"/>
        </a:xfrm>
        <a:prstGeom prst="ellipse">
          <a:avLst/>
        </a:prstGeom>
        <a:solidFill>
          <a:srgbClr val="000000">
            <a:lumMod val="50000"/>
            <a:lumOff val="50000"/>
          </a:srgbClr>
        </a:solidFill>
        <a:ln w="12700" cap="flat" cmpd="sng" algn="ctr">
          <a:noFill/>
          <a:prstDash val="solid"/>
          <a:miter lim="800000"/>
        </a:ln>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rtl="0" eaLnBrk="1" latinLnBrk="0" hangingPunct="1">
            <a:defRPr sz="1800" kern="1200">
              <a:solidFill>
                <a:srgbClr val="FFFFFF"/>
              </a:solidFill>
              <a:latin typeface="Roboto"/>
            </a:defRPr>
          </a:lvl1pPr>
          <a:lvl2pPr marL="457200" algn="l" defTabSz="457200" rtl="0" eaLnBrk="1" latinLnBrk="0" hangingPunct="1">
            <a:defRPr sz="1800" kern="1200">
              <a:solidFill>
                <a:srgbClr val="FFFFFF"/>
              </a:solidFill>
              <a:latin typeface="Roboto"/>
            </a:defRPr>
          </a:lvl2pPr>
          <a:lvl3pPr marL="914400" algn="l" defTabSz="457200" rtl="0" eaLnBrk="1" latinLnBrk="0" hangingPunct="1">
            <a:defRPr sz="1800" kern="1200">
              <a:solidFill>
                <a:srgbClr val="FFFFFF"/>
              </a:solidFill>
              <a:latin typeface="Roboto"/>
            </a:defRPr>
          </a:lvl3pPr>
          <a:lvl4pPr marL="1371600" algn="l" defTabSz="457200" rtl="0" eaLnBrk="1" latinLnBrk="0" hangingPunct="1">
            <a:defRPr sz="1800" kern="1200">
              <a:solidFill>
                <a:srgbClr val="FFFFFF"/>
              </a:solidFill>
              <a:latin typeface="Roboto"/>
            </a:defRPr>
          </a:lvl4pPr>
          <a:lvl5pPr marL="1828800" algn="l" defTabSz="457200" rtl="0" eaLnBrk="1" latinLnBrk="0" hangingPunct="1">
            <a:defRPr sz="1800" kern="1200">
              <a:solidFill>
                <a:srgbClr val="FFFFFF"/>
              </a:solidFill>
              <a:latin typeface="Roboto"/>
            </a:defRPr>
          </a:lvl5pPr>
          <a:lvl6pPr marL="2286000" algn="l" defTabSz="457200" rtl="0" eaLnBrk="1" latinLnBrk="0" hangingPunct="1">
            <a:defRPr sz="1800" kern="1200">
              <a:solidFill>
                <a:srgbClr val="FFFFFF"/>
              </a:solidFill>
              <a:latin typeface="Roboto"/>
            </a:defRPr>
          </a:lvl6pPr>
          <a:lvl7pPr marL="2743200" algn="l" defTabSz="457200" rtl="0" eaLnBrk="1" latinLnBrk="0" hangingPunct="1">
            <a:defRPr sz="1800" kern="1200">
              <a:solidFill>
                <a:srgbClr val="FFFFFF"/>
              </a:solidFill>
              <a:latin typeface="Roboto"/>
            </a:defRPr>
          </a:lvl7pPr>
          <a:lvl8pPr marL="3200400" algn="l" defTabSz="457200" rtl="0" eaLnBrk="1" latinLnBrk="0" hangingPunct="1">
            <a:defRPr sz="1800" kern="1200">
              <a:solidFill>
                <a:srgbClr val="FFFFFF"/>
              </a:solidFill>
              <a:latin typeface="Roboto"/>
            </a:defRPr>
          </a:lvl8pPr>
          <a:lvl9pPr marL="3657600" algn="l" defTabSz="457200" rtl="0" eaLnBrk="1" latinLnBrk="0" hangingPunct="1">
            <a:defRPr sz="1800" kern="1200">
              <a:solidFill>
                <a:srgbClr val="FFFFFF"/>
              </a:solidFill>
              <a:latin typeface="Roboto"/>
            </a:defRPr>
          </a:lvl9pPr>
        </a:lstStyle>
        <a:p>
          <a:pPr algn="ctr"/>
          <a:endParaRPr lang="en-US">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455613</xdr:colOff>
      <xdr:row>0</xdr:row>
      <xdr:rowOff>190501</xdr:rowOff>
    </xdr:from>
    <xdr:to>
      <xdr:col>1</xdr:col>
      <xdr:colOff>66686</xdr:colOff>
      <xdr:row>1</xdr:row>
      <xdr:rowOff>123508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55613" y="190501"/>
          <a:ext cx="969973" cy="275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307975</xdr:colOff>
      <xdr:row>0</xdr:row>
      <xdr:rowOff>192087</xdr:rowOff>
    </xdr:from>
    <xdr:to>
      <xdr:col>1</xdr:col>
      <xdr:colOff>446098</xdr:colOff>
      <xdr:row>1</xdr:row>
      <xdr:rowOff>123507</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307975" y="192087"/>
          <a:ext cx="966798" cy="272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365125</xdr:colOff>
      <xdr:row>0</xdr:row>
      <xdr:rowOff>206375</xdr:rowOff>
    </xdr:from>
    <xdr:to>
      <xdr:col>0</xdr:col>
      <xdr:colOff>1331923</xdr:colOff>
      <xdr:row>1</xdr:row>
      <xdr:rowOff>134620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65125" y="206375"/>
          <a:ext cx="966798" cy="2743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270934</xdr:colOff>
      <xdr:row>0</xdr:row>
      <xdr:rowOff>203200</xdr:rowOff>
    </xdr:from>
    <xdr:to>
      <xdr:col>0</xdr:col>
      <xdr:colOff>1237732</xdr:colOff>
      <xdr:row>1</xdr:row>
      <xdr:rowOff>133562</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270934" y="203200"/>
          <a:ext cx="966798" cy="27432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342900</xdr:colOff>
      <xdr:row>0</xdr:row>
      <xdr:rowOff>180975</xdr:rowOff>
    </xdr:from>
    <xdr:to>
      <xdr:col>0</xdr:col>
      <xdr:colOff>1162050</xdr:colOff>
      <xdr:row>1</xdr:row>
      <xdr:rowOff>120650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42900" y="180975"/>
          <a:ext cx="819150" cy="2381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241300</xdr:colOff>
      <xdr:row>0</xdr:row>
      <xdr:rowOff>190500</xdr:rowOff>
    </xdr:from>
    <xdr:to>
      <xdr:col>0</xdr:col>
      <xdr:colOff>1055698</xdr:colOff>
      <xdr:row>1</xdr:row>
      <xdr:rowOff>125095</xdr:rowOff>
    </xdr:to>
    <xdr:pic>
      <xdr:nvPicPr>
        <xdr:cNvPr id="4" name="Picture 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241300" y="190500"/>
          <a:ext cx="966798" cy="2743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292100</xdr:colOff>
      <xdr:row>0</xdr:row>
      <xdr:rowOff>177800</xdr:rowOff>
    </xdr:from>
    <xdr:to>
      <xdr:col>1</xdr:col>
      <xdr:colOff>52398</xdr:colOff>
      <xdr:row>1</xdr:row>
      <xdr:rowOff>89092</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292100" y="177800"/>
          <a:ext cx="966798" cy="274320"/>
        </a:xfrm>
        <a:prstGeom prst="rect">
          <a:avLst/>
        </a:prstGeom>
      </xdr:spPr>
    </xdr:pic>
    <xdr:clientData/>
  </xdr:twoCellAnchor>
  <xdr:twoCellAnchor editAs="oneCell">
    <xdr:from>
      <xdr:col>0</xdr:col>
      <xdr:colOff>292100</xdr:colOff>
      <xdr:row>0</xdr:row>
      <xdr:rowOff>177800</xdr:rowOff>
    </xdr:from>
    <xdr:to>
      <xdr:col>1</xdr:col>
      <xdr:colOff>52398</xdr:colOff>
      <xdr:row>1</xdr:row>
      <xdr:rowOff>89092</xdr:rowOff>
    </xdr:to>
    <xdr:pic>
      <xdr:nvPicPr>
        <xdr:cNvPr id="5" name="Picture 2">
          <a:extLst>
            <a:ext uri="{FF2B5EF4-FFF2-40B4-BE49-F238E27FC236}">
              <a16:creationId xmlns:a16="http://schemas.microsoft.com/office/drawing/2014/main" id="{ADEB6A14-E1CC-1547-A730-9D2D7FDF7743}"/>
            </a:ext>
          </a:extLst>
        </xdr:cNvPr>
        <xdr:cNvPicPr>
          <a:picLocks noChangeAspect="1"/>
        </xdr:cNvPicPr>
      </xdr:nvPicPr>
      <xdr:blipFill>
        <a:blip xmlns:r="http://schemas.openxmlformats.org/officeDocument/2006/relationships" r:embed="rId1"/>
        <a:stretch>
          <a:fillRect/>
        </a:stretch>
      </xdr:blipFill>
      <xdr:spPr>
        <a:xfrm>
          <a:off x="292100" y="177800"/>
          <a:ext cx="966798" cy="274320"/>
        </a:xfrm>
        <a:prstGeom prst="rect">
          <a:avLst/>
        </a:prstGeom>
      </xdr:spPr>
    </xdr:pic>
    <xdr:clientData/>
  </xdr:twoCellAnchor>
  <xdr:twoCellAnchor editAs="oneCell">
    <xdr:from>
      <xdr:col>0</xdr:col>
      <xdr:colOff>292100</xdr:colOff>
      <xdr:row>0</xdr:row>
      <xdr:rowOff>177800</xdr:rowOff>
    </xdr:from>
    <xdr:to>
      <xdr:col>1</xdr:col>
      <xdr:colOff>52398</xdr:colOff>
      <xdr:row>1</xdr:row>
      <xdr:rowOff>89092</xdr:rowOff>
    </xdr:to>
    <xdr:pic>
      <xdr:nvPicPr>
        <xdr:cNvPr id="8" name="Picture 7">
          <a:extLst>
            <a:ext uri="{FF2B5EF4-FFF2-40B4-BE49-F238E27FC236}">
              <a16:creationId xmlns:a16="http://schemas.microsoft.com/office/drawing/2014/main" id="{D7DF1027-6050-5547-9B6F-6AAE88FECE84}"/>
            </a:ext>
          </a:extLst>
        </xdr:cNvPr>
        <xdr:cNvPicPr>
          <a:picLocks noChangeAspect="1"/>
        </xdr:cNvPicPr>
      </xdr:nvPicPr>
      <xdr:blipFill>
        <a:blip xmlns:r="http://schemas.openxmlformats.org/officeDocument/2006/relationships" r:embed="rId1"/>
        <a:stretch>
          <a:fillRect/>
        </a:stretch>
      </xdr:blipFill>
      <xdr:spPr>
        <a:xfrm>
          <a:off x="292100" y="177800"/>
          <a:ext cx="966798" cy="274320"/>
        </a:xfrm>
        <a:prstGeom prst="rect">
          <a:avLst/>
        </a:prstGeom>
      </xdr:spPr>
    </xdr:pic>
    <xdr:clientData/>
  </xdr:twoCellAnchor>
  <xdr:twoCellAnchor editAs="oneCell">
    <xdr:from>
      <xdr:col>0</xdr:col>
      <xdr:colOff>292100</xdr:colOff>
      <xdr:row>0</xdr:row>
      <xdr:rowOff>177800</xdr:rowOff>
    </xdr:from>
    <xdr:to>
      <xdr:col>1</xdr:col>
      <xdr:colOff>52398</xdr:colOff>
      <xdr:row>1</xdr:row>
      <xdr:rowOff>89092</xdr:rowOff>
    </xdr:to>
    <xdr:pic>
      <xdr:nvPicPr>
        <xdr:cNvPr id="11" name="Picture 10">
          <a:extLst>
            <a:ext uri="{FF2B5EF4-FFF2-40B4-BE49-F238E27FC236}">
              <a16:creationId xmlns:a16="http://schemas.microsoft.com/office/drawing/2014/main" id="{8943061B-5BF3-2342-8925-00BDBB1B9B0A}"/>
            </a:ext>
          </a:extLst>
        </xdr:cNvPr>
        <xdr:cNvPicPr>
          <a:picLocks noChangeAspect="1"/>
        </xdr:cNvPicPr>
      </xdr:nvPicPr>
      <xdr:blipFill>
        <a:blip xmlns:r="http://schemas.openxmlformats.org/officeDocument/2006/relationships" r:embed="rId1"/>
        <a:stretch>
          <a:fillRect/>
        </a:stretch>
      </xdr:blipFill>
      <xdr:spPr>
        <a:xfrm>
          <a:off x="292100" y="177800"/>
          <a:ext cx="966798" cy="27432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331717</xdr:colOff>
      <xdr:row>0</xdr:row>
      <xdr:rowOff>180074</xdr:rowOff>
    </xdr:from>
    <xdr:to>
      <xdr:col>1</xdr:col>
      <xdr:colOff>94858</xdr:colOff>
      <xdr:row>1</xdr:row>
      <xdr:rowOff>151300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31717" y="180074"/>
          <a:ext cx="966798" cy="2743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rockmtnins.sharepoint.com/sites/ClimateAlignedIndustries/CDR/Workstreams/Policy/Readiness%20Dashboard/State%20CDR%20Atlas%20DATA.xlsx#BgEIDA4ADAMGBAcBBAQECw=1299.0" TargetMode="External"/><Relationship Id="rId1" Type="http://schemas.openxmlformats.org/officeDocument/2006/relationships/externalLinkPath" Target="State%20CDR%20Atlas%20DATA.xlsx#BgEIDA4ADAMGBAcBBAQECw=1299.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Data Summary"/>
      <sheetName val="Metric Metadata"/>
      <sheetName val="Metric Categories 1-14"/>
      <sheetName val="15. Workforce Calcs"/>
      <sheetName val="16. Existing HQs and Projects"/>
      <sheetName val="Direct Air Capture"/>
      <sheetName val="Direct Ocean Capture"/>
      <sheetName val="Ocean Geochemical CDR"/>
      <sheetName val="Carbon mineralization"/>
      <sheetName val="Enhanced Weathering"/>
      <sheetName val="Ocean Biomass CDR"/>
      <sheetName val="Terrestrial Biomass CDR"/>
      <sheetName val="Bioenergy + CCS"/>
      <sheetName val="ADMIN"/>
      <sheetName val="Metric Categories 1-15"/>
      <sheetName val="16. Workforce Calcs"/>
      <sheetName val="17. Existing HQs and Projec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persons/person.xml><?xml version="1.0" encoding="utf-8"?>
<personList xmlns="http://schemas.microsoft.com/office/spreadsheetml/2018/threadedcomments" xmlns:x="http://schemas.openxmlformats.org/spreadsheetml/2006/main">
  <person displayName="Isabel Wood" id="{F1978AC3-55AE-1C4F-919F-983AD86A1A1C}" userId="iwood@RMI.org" providerId="PeoplePicker"/>
  <person displayName="Jane Sadler" id="{48208265-D703-5843-9076-8473D4EF2CC1}" userId="jsadler@RMI.org" providerId="PeoplePicker"/>
  <person displayName="Gareth Westler" id="{5365D062-82CC-4C25-B82D-20600A432D17}" userId="gwestler@RMI.org" providerId="PeoplePicker"/>
  <person displayName="Kyle Clark-Sutton" id="{28B27256-F42D-4B03-9DD9-8F97E7C17B3A}" userId="kclarksutton@RMI.org" providerId="PeoplePicker"/>
  <person displayName="Kyle Clark-Sutton" id="{3432A8C4-0C66-4D9D-B117-F03EBD013269}" userId="kclarksutton@rmi.org" providerId="PeoplePicker"/>
  <person displayName="Isabel Wood" id="{4ACA5939-D998-C44E-B255-C5A8DD09F2B3}" userId="S::iwood@RMI.org::086e4436-e4a1-4ad9-b90f-0128b23db16a" providerId="AD"/>
  <person displayName="Isabel Wood" id="{D881E0E0-3997-7645-AB6D-DFD17E6DB48B}" userId="S::iwood@rmi.org::086e4436-e4a1-4ad9-b90f-0128b23db16a" providerId="AD"/>
  <person displayName="Megan Gross" id="{0562204D-EAF4-4ECF-B54B-9BFBB49B4F55}" userId="S::mgross@rmi.org::98ba56da-cb93-4bd1-8823-7fb776c663a6" providerId="AD"/>
  <person displayName="Jane Sadler" id="{8B556C93-2F44-114C-9453-82FA26F8308E}" userId="S::jsadler@rmi.org::94c61a6e-7082-4cdc-98e9-3027065f6e67" providerId="AD"/>
  <person displayName="Gareth Westler" id="{D7043961-CDE6-425B-9620-FA05C3577DF5}" userId="S::gwestler@RMI.org::3d4d843c-9bf4-48a9-a692-dd76019800f1" providerId="AD"/>
  <person displayName="Kyle Clark-Sutton" id="{33A9C09B-856D-5C4C-A709-53CBF642E7F2}" userId="S::kclarksutton@rmi.org::5db4ef5b-ed85-4b47-8eff-6a34120d6da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R6" dT="2024-07-14T10:39:36.22" personId="{33A9C09B-856D-5C4C-A709-53CBF642E7F2}" id="{34371749-C027-154D-8185-18410BE8BBF7}">
    <text>I’m not sure I understand the parenthetical comment here or in columns DC, DE, and DH.</text>
  </threadedComment>
  <threadedComment ref="CR6" dT="2024-07-15T13:46:24.86" personId="{D881E0E0-3997-7645-AB6D-DFD17E6DB48B}" id="{B3132BEC-5EFB-4C51-9ED2-53E46BBD12A5}" parentId="{34371749-C027-154D-8185-18410BE8BBF7}">
    <text>@Kyle Clark-Sutton Basically, those states that have microalgae production values do not overlap with those that have seaweed aquaculture (Alaska, Connecticut, Maine, etc. have seaweed aquaculture whereas California, Florida, etc. have microalgae production). As a result, I didn't think it was fair to rate a state medium if they only had one or the other, because then every state would be either a low or medium. The weighting rule is as follows: (high) - either macroalgae or microalgae production, (medium) no production, but farms present, (low) no production or farms. Do you have a suggestion for how to explain this simply in the sheet?</text>
    <mentions>
      <mention mentionpersonId="{28B27256-F42D-4B03-9DD9-8F97E7C17B3A}" mentionId="{5032A8E9-636A-43B9-B917-35B91B46C342}" startIndex="0" length="18"/>
    </mentions>
  </threadedComment>
  <threadedComment ref="O7" dT="2024-07-14T10:53:27.21" personId="{33A9C09B-856D-5C4C-A709-53CBF642E7F2}" id="{5E35C317-A555-9D48-9A80-27A784AF7DCA}">
    <text>@Jane Sadler, if it says yes in these columns, are the details in the Airtable? CC @Isabel Wood</text>
    <mentions>
      <mention mentionpersonId="{48208265-D703-5843-9076-8473D4EF2CC1}" mentionId="{5C2FAC18-6281-3940-A9CB-3FE23DD2FE3C}" startIndex="0" length="12"/>
      <mention mentionpersonId="{F1978AC3-55AE-1C4F-919F-983AD86A1A1C}" mentionId="{C41013A1-6ADF-A543-A006-92B12F19CC65}" startIndex="83" length="12"/>
    </mentions>
  </threadedComment>
  <threadedComment ref="O7" dT="2024-07-15T18:58:12.21" personId="{8B556C93-2F44-114C-9453-82FA26F8308E}" id="{B9928D2D-DC69-4803-96F5-703426E0F029}" parentId="{5E35C317-A555-9D48-9A80-27A784AF7DCA}">
    <text>yes, and in the overflow spreadsheet</text>
  </threadedComment>
  <threadedComment ref="Q7" dT="2024-09-25T15:19:43.03" personId="{D7043961-CDE6-425B-9620-FA05C3577DF5}" id="{0793DD18-7DEF-4330-AFB9-19F65522EA27}" done="1">
    <text>@Isabel Wood two things on this metric: 
-Do we want to add the word “policy?”
-Metadata tab had yes with a route for CDR and yes without a route for CDR, but all the data Is either yes/no. I’m changing the metadata and slide deck to yes/no but let me know if we have additional information and we can switch back</text>
    <mentions>
      <mention mentionpersonId="{F1978AC3-55AE-1C4F-919F-983AD86A1A1C}" mentionId="{80FA2166-212A-4876-8A15-9B8A6A4ED4AB}" startIndex="0" length="12"/>
    </mentions>
  </threadedComment>
  <threadedComment ref="Q7" dT="2024-09-25T19:49:54.65" personId="{4ACA5939-D998-C44E-B255-C5A8DD09F2B3}" id="{08CF9A84-624D-2545-98C3-5A10874779D0}" parentId="{0793DD18-7DEF-4330-AFB9-19F65522EA27}">
    <text>1. Yes, add “policy” 2.  Sounds good to me</text>
  </threadedComment>
  <threadedComment ref="Q7" dT="2024-09-25T19:50:00.52" personId="{4ACA5939-D998-C44E-B255-C5A8DD09F2B3}" id="{5DD6F55D-D51E-6A49-9CA1-AEAFB4D9C609}" parentId="{0793DD18-7DEF-4330-AFB9-19F65522EA27}">
    <text>@Gareth Westler</text>
    <mentions>
      <mention mentionpersonId="{5365D062-82CC-4C25-B82D-20600A432D17}" mentionId="{08754F78-868D-9F4D-99DE-E97EC8CA5082}" startIndex="0" length="15"/>
    </mentions>
  </threadedComment>
  <threadedComment ref="Y7" dT="2024-09-25T15:23:22.48" personId="{D7043961-CDE6-425B-9620-FA05C3577DF5}" id="{721208BA-994C-4152-B61B-4558CC853069}" done="1">
    <text>@Isabel Wood do we want to add “policy” or “program” to this after “cap and trade”?</text>
    <mentions>
      <mention mentionpersonId="{F1978AC3-55AE-1C4F-919F-983AD86A1A1C}" mentionId="{CB97DF1E-FC22-4663-94AB-69E964DB3FAB}" startIndex="0" length="12"/>
    </mentions>
  </threadedComment>
  <threadedComment ref="Y7" dT="2024-09-25T19:48:56.04" personId="{4ACA5939-D998-C44E-B255-C5A8DD09F2B3}" id="{F9C6B280-1CF7-CE43-8048-727801BECB73}" parentId="{721208BA-994C-4152-B61B-4558CC853069}">
    <text>Yes! Let’s add program. “Is there a cap and trade program with a CDR offset route?”</text>
  </threadedComment>
  <threadedComment ref="Y7" dT="2024-09-25T19:49:03.41" personId="{4ACA5939-D998-C44E-B255-C5A8DD09F2B3}" id="{FD73058A-0A51-B140-B12C-ED6F60D809B0}" parentId="{721208BA-994C-4152-B61B-4558CC853069}">
    <text>@Gareth Westler</text>
    <mentions>
      <mention mentionpersonId="{5365D062-82CC-4C25-B82D-20600A432D17}" mentionId="{19D5BEEB-2868-7645-9DD8-E3C9E83645B4}" startIndex="0" length="15"/>
    </mentions>
  </threadedComment>
  <threadedComment ref="AE7" dT="2024-07-08T19:59:33.14" personId="{D881E0E0-3997-7645-AB6D-DFD17E6DB48B}" id="{4E6FD333-D416-4D83-846C-EDC421535738}">
    <text>May be out of date - asking for feedback; if determined useful, will update</text>
  </threadedComment>
  <threadedComment ref="AG7" dT="2024-07-08T19:59:37.06" personId="{D881E0E0-3997-7645-AB6D-DFD17E6DB48B}" id="{FC9F7769-A365-477B-8964-AE5B245D3010}">
    <text>May be out of date - asking for feedback; if determined useful, will update</text>
  </threadedComment>
  <threadedComment ref="AH7" dT="2024-07-08T19:59:40.89" personId="{D881E0E0-3997-7645-AB6D-DFD17E6DB48B}" id="{B6F7E8CB-7ABF-45DF-ADC5-33FE70E394DE}">
    <text>May be out of date - asking for feedback; if determined useful, will update</text>
  </threadedComment>
  <threadedComment ref="BN7" dT="2024-07-05T15:04:23.86" personId="{D881E0E0-3997-7645-AB6D-DFD17E6DB48B}" id="{E9F8EA75-5711-4811-A448-199D22D7C39B}">
    <text>@Kyle Clark-Sutton upon reflection with our conversation with Charm, I think we should only include class 5 primacy. They convert abandoned class 2 wells to class 5, so primacy for class 2 would not be relevant. Plus, I looked at the EPA website, and class 2 is split into three categories: (1) EOR which we probably don't want to incentivize, (2) brine disposal, and (3) liquid hydrocarbon storage. Do you think this makes sense? Maybe we include someone from Vaulted Deep in external review?</text>
    <mentions>
      <mention mentionpersonId="{3432A8C4-0C66-4D9D-B117-F03EBD013269}" mentionId="{3DAD197E-C05A-4B6E-B109-76868BC3579A}" startIndex="0" length="18"/>
    </mentions>
  </threadedComment>
  <threadedComment ref="DK7" dT="2024-07-03T20:12:16.29" personId="{0562204D-EAF4-4ECF-B54B-9BFBB49B4F55}" id="{05B46D02-5F83-DF4F-8441-0D96146393D8}" done="1">
    <text>Normalizing installed capacity, actual generation, and planned interconnections to total energy consumption per state</text>
  </threadedComment>
  <threadedComment ref="H38" dT="2024-02-14T19:24:03.27" personId="{4ACA5939-D998-C44E-B255-C5A8DD09F2B3}" id="{A5C3D83F-1286-1B45-9D0F-FE32CF8FF5D3}">
    <text>CAP in progress</text>
  </threadedComment>
</ThreadedComments>
</file>

<file path=xl/threadedComments/threadedComment2.xml><?xml version="1.0" encoding="utf-8"?>
<ThreadedComments xmlns="http://schemas.microsoft.com/office/spreadsheetml/2018/threadedcomments" xmlns:x="http://schemas.openxmlformats.org/spreadsheetml/2006/main">
  <threadedComment ref="AL9" dT="2024-07-03T19:38:09.74" personId="{D881E0E0-3997-7645-AB6D-DFD17E6DB48B}" id="{010A5212-E1C7-4C45-97D4-C8FE55736C22}">
    <text xml:space="preserve">This is a four digit rather than 3 digit NAICS code because the 3 digit included animal agriculture which is too big and too irrelevant to this category. It would really skew the state rankings.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6" Type="http://schemas.openxmlformats.org/officeDocument/2006/relationships/hyperlink" Target="https://governor.nc.gov/executive-order-no-246/open" TargetMode="External"/><Relationship Id="rId21" Type="http://schemas.openxmlformats.org/officeDocument/2006/relationships/hyperlink" Target="https://pub.njleg.gov/bills/2018/PL19/197_.HTM" TargetMode="External"/><Relationship Id="rId42" Type="http://schemas.openxmlformats.org/officeDocument/2006/relationships/hyperlink" Target="https://www.c2es.org/wp-content/uploads/2018/11/IA_2008_Action_Plan.pdf" TargetMode="External"/><Relationship Id="rId47" Type="http://schemas.openxmlformats.org/officeDocument/2006/relationships/hyperlink" Target="https://www.michigan.gov/egle/-/media/Project/Websites/egle/Documents/Offices/OCE/MI-Healthy-Climate-Plan.pdf?rev=d13f4adc2b1d45909bd708cafccbfffa" TargetMode="External"/><Relationship Id="rId63" Type="http://schemas.openxmlformats.org/officeDocument/2006/relationships/hyperlink" Target="https://www.c2es.org/wp-content/uploads/2018/11/SC_2008_Action_Plan.pdf" TargetMode="External"/><Relationship Id="rId68" Type="http://schemas.openxmlformats.org/officeDocument/2006/relationships/hyperlink" Target="https://www.revisor.mn.gov/laws/2013/0/114/" TargetMode="External"/><Relationship Id="rId84" Type="http://schemas.openxmlformats.org/officeDocument/2006/relationships/hyperlink" Target="https://leginfo.legislature.ca.gov/faces/billTextClient.xhtml?bill_id=202120220SB905" TargetMode="External"/><Relationship Id="rId89" Type="http://schemas.openxmlformats.org/officeDocument/2006/relationships/hyperlink" Target="https://www.c2es.org/wp-content/uploads/2018/11/AZ_2006_Action_Plan.pdf" TargetMode="External"/><Relationship Id="rId16" Type="http://schemas.openxmlformats.org/officeDocument/2006/relationships/hyperlink" Target="https://leginfo.legislature.ca.gov/faces/billTextClient.xhtml?bill_id=202120220AB1279" TargetMode="External"/><Relationship Id="rId11" Type="http://schemas.openxmlformats.org/officeDocument/2006/relationships/hyperlink" Target="http://webserver.rilin.state.ri.us/Statutes/TITLE42/42-6.2/42-6.2-2.HTM" TargetMode="External"/><Relationship Id="rId32" Type="http://schemas.openxmlformats.org/officeDocument/2006/relationships/hyperlink" Target="https://www.des.nh.gov/sites/g/files/ehbemt341/files/documents/r-ard-09-1.pdf" TargetMode="External"/><Relationship Id="rId37" Type="http://schemas.openxmlformats.org/officeDocument/2006/relationships/hyperlink" Target="https://www.leg.state.nv.us/App/NELIS/REL/81st2021/ExhibitDocument/OpenExhibitDocument?exhibitId=47121&amp;fileDownloadName=Presentation_Nevada%27s%20State%20Climate%20Strategy_Bradley%20Crowell_%20Kristen%20Averyt_David%20Bobzien.pdf" TargetMode="External"/><Relationship Id="rId53" Type="http://schemas.openxmlformats.org/officeDocument/2006/relationships/hyperlink" Target="https://climate.ny.gov/resources/scoping-plan/" TargetMode="External"/><Relationship Id="rId58" Type="http://schemas.openxmlformats.org/officeDocument/2006/relationships/hyperlink" Target="https://dep.nj.gov/wp-content/uploads/climatechange/nj-gwra-80x50-report-2020.pdf" TargetMode="External"/><Relationship Id="rId74" Type="http://schemas.openxmlformats.org/officeDocument/2006/relationships/hyperlink" Target="https://www.rggi.org/" TargetMode="External"/><Relationship Id="rId79" Type="http://schemas.openxmlformats.org/officeDocument/2006/relationships/hyperlink" Target="https://www.rggi.org/" TargetMode="External"/><Relationship Id="rId102" Type="http://schemas.openxmlformats.org/officeDocument/2006/relationships/hyperlink" Target="https://carboncaptureready.betterenergy.org/wp-content/uploads/2020/11/Final-MOU-on-CO2-Transport-Infrastructure-10-1-2020_signatures.pdf" TargetMode="External"/><Relationship Id="rId5" Type="http://schemas.openxmlformats.org/officeDocument/2006/relationships/hyperlink" Target="https://apps.leg.wa.gov/rcw/default.aspx?cite=70A.45.020" TargetMode="External"/><Relationship Id="rId90" Type="http://schemas.openxmlformats.org/officeDocument/2006/relationships/hyperlink" Target="https://www.capitol.hawaii.gov/sessions/session2010/bills/SB2563_CD1_.pdf" TargetMode="External"/><Relationship Id="rId95" Type="http://schemas.openxmlformats.org/officeDocument/2006/relationships/hyperlink" Target="https://ecology.wa.gov/air-climate/climate-commitment-act/cap-and-invest" TargetMode="External"/><Relationship Id="rId22" Type="http://schemas.openxmlformats.org/officeDocument/2006/relationships/hyperlink" Target="https://d31hzlhk6di2h5.cloudfront.net/20211110/20/95/86/de/08195f9c81fc3ae6dca41a77/EO-274.pdf" TargetMode="External"/><Relationship Id="rId27" Type="http://schemas.openxmlformats.org/officeDocument/2006/relationships/hyperlink" Target="https://www.michigan.gov/whitmer/news/state-orders-and-directives/2020/09/23/executive-directive-2020-10" TargetMode="External"/><Relationship Id="rId43" Type="http://schemas.openxmlformats.org/officeDocument/2006/relationships/hyperlink" Target="https://gov.louisiana.gov/assets/docs/CCI-Task-force/CAP/Climate_Action_Plan_FINAL_3.pdf" TargetMode="External"/><Relationship Id="rId48" Type="http://schemas.openxmlformats.org/officeDocument/2006/relationships/hyperlink" Target="https://www.c2es.org/wp-content/uploads/2018/11/KY_2011_Action_Plan.pdf" TargetMode="External"/><Relationship Id="rId64" Type="http://schemas.openxmlformats.org/officeDocument/2006/relationships/hyperlink" Target="https://ww2.arb.ca.gov/our-work/programs/cap-and-trade-program" TargetMode="External"/><Relationship Id="rId69" Type="http://schemas.openxmlformats.org/officeDocument/2006/relationships/hyperlink" Target="https://agriculture.mo.gov/weights/fuel/renewablefuelstandard.php" TargetMode="External"/><Relationship Id="rId80" Type="http://schemas.openxmlformats.org/officeDocument/2006/relationships/hyperlink" Target="https://www.rggi.org/" TargetMode="External"/><Relationship Id="rId85" Type="http://schemas.openxmlformats.org/officeDocument/2006/relationships/hyperlink" Target="https://leg.colorado.gov/sites/default/files/2023a_1272_signed.pdf" TargetMode="External"/><Relationship Id="rId12" Type="http://schemas.openxmlformats.org/officeDocument/2006/relationships/hyperlink" Target="https://legis.delaware.gov/json/BillDetail/GenerateHtmlDocumentEngrossment?engrossmentId=25785&amp;docTypeId=6" TargetMode="External"/><Relationship Id="rId17" Type="http://schemas.openxmlformats.org/officeDocument/2006/relationships/hyperlink" Target="https://trackbill.com/bill/nevada-senate-bill-254-an-act-relating-to-greenhouse-gas-emissions-requiring-the-state-department-of-conservation-and-natural-resources-to-issue-an-annual-report-concerning-greenhouse-gas-emissions-in-this-state-and-providing-other-matters-properly-relating-thereto/1719120/" TargetMode="External"/><Relationship Id="rId25" Type="http://schemas.openxmlformats.org/officeDocument/2006/relationships/hyperlink" Target="https://www.fsec.ucf.edu/en/media/enews/2007/pdf/07-127-emissions.pdf" TargetMode="External"/><Relationship Id="rId33" Type="http://schemas.openxmlformats.org/officeDocument/2006/relationships/hyperlink" Target="https://hawaii2050.hawaii.gov/wp-content/uploads/2021/07/FINAL-Hawaii-2050-Sustainability-Plan-web-1.pdf" TargetMode="External"/><Relationship Id="rId38" Type="http://schemas.openxmlformats.org/officeDocument/2006/relationships/hyperlink" Target="https://deq.mt.gov/files/DEQAdmin/Climate/2020-09-09_MontanaClimateSolutions_Final.pdf" TargetMode="External"/><Relationship Id="rId46" Type="http://schemas.openxmlformats.org/officeDocument/2006/relationships/hyperlink" Target="https://www.ilga.gov/legislation/102/SB/10200SB2408lv.htm" TargetMode="External"/><Relationship Id="rId59" Type="http://schemas.openxmlformats.org/officeDocument/2006/relationships/hyperlink" Target="https://mde.maryland.gov/programs/air/ClimateChange/Documents/2030%20GGRA%20Plan/THE%202030%20GGRA%20PLAN.pdf" TargetMode="External"/><Relationship Id="rId67" Type="http://schemas.openxmlformats.org/officeDocument/2006/relationships/hyperlink" Target="https://leginfo.legislature.ca.gov/faces/billNavClient.xhtml?bill_id=201520160SB32" TargetMode="External"/><Relationship Id="rId103" Type="http://schemas.openxmlformats.org/officeDocument/2006/relationships/hyperlink" Target="https://legislation.nysenate.gov/pdf/bills/2019/s6599" TargetMode="External"/><Relationship Id="rId20" Type="http://schemas.openxmlformats.org/officeDocument/2006/relationships/hyperlink" Target="https://www.cga.ct.gov/2022/act/pa/pdf/2022PA-00005-R00SB-00010-PA.pdf" TargetMode="External"/><Relationship Id="rId41" Type="http://schemas.openxmlformats.org/officeDocument/2006/relationships/hyperlink" Target="https://climate.state.mn.us/sites/climate-action/files/Climate%20Action%20Framework.pdf" TargetMode="External"/><Relationship Id="rId54" Type="http://schemas.openxmlformats.org/officeDocument/2006/relationships/hyperlink" Target="https://www.mass.gov/doc/2050-clean-energy-and-climate-plan/download" TargetMode="External"/><Relationship Id="rId62" Type="http://schemas.openxmlformats.org/officeDocument/2006/relationships/hyperlink" Target="https://files.nc.gov/ncdeq/climate-change/clean-energy-plan/NC_Clean_Energy_Plan_OCT_2019_.pdf" TargetMode="External"/><Relationship Id="rId70" Type="http://schemas.openxmlformats.org/officeDocument/2006/relationships/hyperlink" Target="https://www.legis.la.gov/legis/ViewDocument.aspx?d=399857" TargetMode="External"/><Relationship Id="rId75" Type="http://schemas.openxmlformats.org/officeDocument/2006/relationships/hyperlink" Target="https://www.rggi.org/" TargetMode="External"/><Relationship Id="rId83" Type="http://schemas.openxmlformats.org/officeDocument/2006/relationships/hyperlink" Target="https://leginfo.legislature.ca.gov/faces/billTextClient.xhtml?bill_id=202120220SB27" TargetMode="External"/><Relationship Id="rId88" Type="http://schemas.openxmlformats.org/officeDocument/2006/relationships/hyperlink" Target="https://www.epa.gov/system/files/documents/2024-03/the-clean-arizona-plan.pdf" TargetMode="External"/><Relationship Id="rId91" Type="http://schemas.openxmlformats.org/officeDocument/2006/relationships/hyperlink" Target="https://www.capitol.hawaii.gov/sessions/session2006/bills/SB2957_cd1_.htm" TargetMode="External"/><Relationship Id="rId96" Type="http://schemas.openxmlformats.org/officeDocument/2006/relationships/hyperlink" Target="https://carboncaptureready.betterenergy.org/wp-content/uploads/2020/11/Final-MOU-on-CO2-Transport-Infrastructure-10-1-2020_signatures.pdf" TargetMode="External"/><Relationship Id="rId1" Type="http://schemas.openxmlformats.org/officeDocument/2006/relationships/hyperlink" Target="https://gs.llnl.gov/sites/gs/files/2021-08/getting_to_neutral.pdf" TargetMode="External"/><Relationship Id="rId6" Type="http://schemas.openxmlformats.org/officeDocument/2006/relationships/hyperlink" Target="https://health.hawaii.gov/cab/files/2023/05/SLH2022_Act238.pdf" TargetMode="External"/><Relationship Id="rId15" Type="http://schemas.openxmlformats.org/officeDocument/2006/relationships/hyperlink" Target="https://www.oregon.gov/gov/eo/eo_20-04.pdf" TargetMode="External"/><Relationship Id="rId23" Type="http://schemas.openxmlformats.org/officeDocument/2006/relationships/hyperlink" Target="https://www.governor.state.nm.us/wp-content/uploads/2019/01/EO_2019-003.pdf" TargetMode="External"/><Relationship Id="rId28" Type="http://schemas.openxmlformats.org/officeDocument/2006/relationships/hyperlink" Target="https://www.michigan.gov/whitmer/news/state-orders-and-directives/2019/02/04/executive-directive-2019-12" TargetMode="External"/><Relationship Id="rId36" Type="http://schemas.openxmlformats.org/officeDocument/2006/relationships/hyperlink" Target="https://ww2.arb.ca.gov/sites/default/files/2023-04/2022-sp-es.pdf" TargetMode="External"/><Relationship Id="rId49" Type="http://schemas.openxmlformats.org/officeDocument/2006/relationships/hyperlink" Target="https://www.c2es.org/wp-content/uploads/2018/11/FL_2008_Action_Plan.pdf" TargetMode="External"/><Relationship Id="rId57" Type="http://schemas.openxmlformats.org/officeDocument/2006/relationships/hyperlink" Target="https://greenport.pa.gov/elibrary/GetDocument?docId=3925177&amp;DocName=2021%20PENNSYLVANIA%20CLIMATE%20ACTION%20PLAN.PDF" TargetMode="External"/><Relationship Id="rId10" Type="http://schemas.openxmlformats.org/officeDocument/2006/relationships/hyperlink" Target="https://malegislature.gov/Laws/SessionLaws/Acts/2021/Chapter8" TargetMode="External"/><Relationship Id="rId31" Type="http://schemas.openxmlformats.org/officeDocument/2006/relationships/hyperlink" Target="https://uccrnna.org/wp-content/uploads/2017/06/Kentucky_2011_Climate-Action-Plan-Council-Final-Report.pdf" TargetMode="External"/><Relationship Id="rId44" Type="http://schemas.openxmlformats.org/officeDocument/2006/relationships/hyperlink" Target="https://www.c2es.org/wp-content/uploads/2018/11/AR_2008_Action_Plan.pdf" TargetMode="External"/><Relationship Id="rId52" Type="http://schemas.openxmlformats.org/officeDocument/2006/relationships/hyperlink" Target="https://outside.vermont.gov/agency/anr/climatecouncil/Shared%20Documents/Initial%20Climate%20Action%20Plan%20-%20Final%20-%2012-1-21.pdf" TargetMode="External"/><Relationship Id="rId60" Type="http://schemas.openxmlformats.org/officeDocument/2006/relationships/hyperlink" Target="https://dnrec.delaware.gov/climate-plan/" TargetMode="External"/><Relationship Id="rId65" Type="http://schemas.openxmlformats.org/officeDocument/2006/relationships/hyperlink" Target="https://lawfilesext.leg.wa.gov/biennium/2021-22/Pdf/Bills/Senate%20Passed%20Legislature/5126-S2.PL.pdf" TargetMode="External"/><Relationship Id="rId73" Type="http://schemas.openxmlformats.org/officeDocument/2006/relationships/hyperlink" Target="https://www.rggi.org/" TargetMode="External"/><Relationship Id="rId78" Type="http://schemas.openxmlformats.org/officeDocument/2006/relationships/hyperlink" Target="https://www.rggi.org/" TargetMode="External"/><Relationship Id="rId81" Type="http://schemas.openxmlformats.org/officeDocument/2006/relationships/hyperlink" Target="https://www.rggi.org/" TargetMode="External"/><Relationship Id="rId86" Type="http://schemas.openxmlformats.org/officeDocument/2006/relationships/hyperlink" Target="https://legiscan.com/OK/text/SB19/2023" TargetMode="External"/><Relationship Id="rId94" Type="http://schemas.openxmlformats.org/officeDocument/2006/relationships/hyperlink" Target="https://www.oregon.gov/energy/energy-oregon/Pages/Renewable-Fuels.aspx" TargetMode="External"/><Relationship Id="rId99" Type="http://schemas.openxmlformats.org/officeDocument/2006/relationships/hyperlink" Target="https://carboncaptureready.betterenergy.org/wp-content/uploads/2020/11/Final-MOU-on-CO2-Transport-Infrastructure-10-1-2020_signatures.pdf" TargetMode="External"/><Relationship Id="rId101" Type="http://schemas.openxmlformats.org/officeDocument/2006/relationships/hyperlink" Target="https://carboncaptureready.betterenergy.org/wp-content/uploads/2020/11/Final-MOU-on-CO2-Transport-Infrastructure-10-1-2020_signatures.pdf" TargetMode="External"/><Relationship Id="rId4" Type="http://schemas.openxmlformats.org/officeDocument/2006/relationships/hyperlink" Target="https://scitechpolicy.wvu.edu/policymaker-studies/cdr" TargetMode="External"/><Relationship Id="rId9" Type="http://schemas.openxmlformats.org/officeDocument/2006/relationships/hyperlink" Target="https://legislature.vermont.gov/Documents/2020/Docs/ACTS/ACT153/ACT153%20Act%20Summary.pdf" TargetMode="External"/><Relationship Id="rId13" Type="http://schemas.openxmlformats.org/officeDocument/2006/relationships/hyperlink" Target="https://mgaleg.maryland.gov/2022RS/chapters_noln/Ch_38_sb0528E.pdf" TargetMode="External"/><Relationship Id="rId18" Type="http://schemas.openxmlformats.org/officeDocument/2006/relationships/hyperlink" Target="https://www.maine.gov/governor/mills/sites/maine.gov.governor.mills/files/inline-files/Executive%20Order%209-23-2019_0.pdf" TargetMode="External"/><Relationship Id="rId39" Type="http://schemas.openxmlformats.org/officeDocument/2006/relationships/hyperlink" Target="https://energyoffice.colorado.gov/climate-energy/ghg-pollution-reduction-roadmap-20" TargetMode="External"/><Relationship Id="rId34" Type="http://schemas.openxmlformats.org/officeDocument/2006/relationships/hyperlink" Target="https://www.c2es.org/wp-content/uploads/2018/11/WA_2014_Action_Plan.pdf" TargetMode="External"/><Relationship Id="rId50" Type="http://schemas.openxmlformats.org/officeDocument/2006/relationships/hyperlink" Target="https://www.maine.gov/climateplan/sites/maine.gov.climateplan/files/inline-files/MaineWontWait_December2020_printable_12.1.20.pdf" TargetMode="External"/><Relationship Id="rId55" Type="http://schemas.openxmlformats.org/officeDocument/2006/relationships/hyperlink" Target="https://climatechange.ri.gov/act-climate/2025-climate-update" TargetMode="External"/><Relationship Id="rId76" Type="http://schemas.openxmlformats.org/officeDocument/2006/relationships/hyperlink" Target="https://www.rggi.org/" TargetMode="External"/><Relationship Id="rId97" Type="http://schemas.openxmlformats.org/officeDocument/2006/relationships/hyperlink" Target="https://carboncaptureready.betterenergy.org/wp-content/uploads/2020/11/Final-MOU-on-CO2-Transport-Infrastructure-10-1-2020_signatures.pdf" TargetMode="External"/><Relationship Id="rId104" Type="http://schemas.openxmlformats.org/officeDocument/2006/relationships/drawing" Target="../drawings/drawing15.xml"/><Relationship Id="rId7" Type="http://schemas.openxmlformats.org/officeDocument/2006/relationships/hyperlink" Target="https://leg.colorado.gov/sites/default/files/documents/2023A/bills/2023a_016_enr.pdf" TargetMode="External"/><Relationship Id="rId71" Type="http://schemas.openxmlformats.org/officeDocument/2006/relationships/hyperlink" Target="https://www.legis.state.pa.us/cfdocs/legis/li/uconsCheck.cfm?yr=2008&amp;sessInd=0&amp;act=78" TargetMode="External"/><Relationship Id="rId92" Type="http://schemas.openxmlformats.org/officeDocument/2006/relationships/hyperlink" Target="https://www.michigan.gov/egle/about/organization/climate-and-energy/mi-healthy-climate-plan" TargetMode="External"/><Relationship Id="rId2" Type="http://schemas.openxmlformats.org/officeDocument/2006/relationships/hyperlink" Target="https://kleinmanenergy.upenn.edu/research/publications/net-zero-nevada-from-pledge-to-action/" TargetMode="External"/><Relationship Id="rId29" Type="http://schemas.openxmlformats.org/officeDocument/2006/relationships/hyperlink" Target="https://www.oa.pa.gov/Policies/eo/Documents/2019-01.pdf" TargetMode="External"/><Relationship Id="rId24" Type="http://schemas.openxmlformats.org/officeDocument/2006/relationships/hyperlink" Target="https://gov.louisiana.gov/assets/ExecutiveOrders/2020/JBE-2020-18-Climate-Initiatives-Task-Force.pdf" TargetMode="External"/><Relationship Id="rId40" Type="http://schemas.openxmlformats.org/officeDocument/2006/relationships/hyperlink" Target="https://www.epa.gov/system/files/documents/2024-03/new-mexico-priority-climate-action-plan.pdf" TargetMode="External"/><Relationship Id="rId45" Type="http://schemas.openxmlformats.org/officeDocument/2006/relationships/hyperlink" Target="https://climatechange.wi.gov/Documents/Final%20Report/GovernorsTaskForceonClimateChangeReport-LowRes.pdf" TargetMode="External"/><Relationship Id="rId66" Type="http://schemas.openxmlformats.org/officeDocument/2006/relationships/hyperlink" Target="https://lawfilesext.leg.wa.gov/biennium/2005-06/Pdf/Bills/Session%20Laws/Senate/6508-S.SL.pdf" TargetMode="External"/><Relationship Id="rId87" Type="http://schemas.openxmlformats.org/officeDocument/2006/relationships/hyperlink" Target="https://ecology.wa.gov/about-us/payments-contracts-grants/grants-loans/find-a-grant-or-loan/tribal-carbon-offset-assistance-program" TargetMode="External"/><Relationship Id="rId61" Type="http://schemas.openxmlformats.org/officeDocument/2006/relationships/hyperlink" Target="https://rga.lis.virginia.gov/Published/2009/RD19/PDF" TargetMode="External"/><Relationship Id="rId82" Type="http://schemas.openxmlformats.org/officeDocument/2006/relationships/hyperlink" Target="https://www.rggi.org/" TargetMode="External"/><Relationship Id="rId19" Type="http://schemas.openxmlformats.org/officeDocument/2006/relationships/hyperlink" Target="https://legislature.maine.gov/legis/bills/bills_129th/billtexts/SP055002.asp" TargetMode="External"/><Relationship Id="rId14" Type="http://schemas.openxmlformats.org/officeDocument/2006/relationships/hyperlink" Target="https://lis.virginia.gov/cgi-bin/legp604.exe?201+ful+CHAP1191" TargetMode="External"/><Relationship Id="rId30" Type="http://schemas.openxmlformats.org/officeDocument/2006/relationships/hyperlink" Target="https://deq.mt.gov/files/DEQAdmin/Climate/2020-09-09_MontanaClimateSolutions_Final.pdf" TargetMode="External"/><Relationship Id="rId35" Type="http://schemas.openxmlformats.org/officeDocument/2006/relationships/hyperlink" Target="https://oeconline.org/oregon-climate-action-plan/" TargetMode="External"/><Relationship Id="rId56" Type="http://schemas.openxmlformats.org/officeDocument/2006/relationships/hyperlink" Target="https://portal.ct.gov/-/media/deep/climatechange/gc3/gc3_phase1_report_jan2021.pdf" TargetMode="External"/><Relationship Id="rId77" Type="http://schemas.openxmlformats.org/officeDocument/2006/relationships/hyperlink" Target="https://www.rggi.org/" TargetMode="External"/><Relationship Id="rId100" Type="http://schemas.openxmlformats.org/officeDocument/2006/relationships/hyperlink" Target="https://carboncaptureready.betterenergy.org/wp-content/uploads/2020/11/Final-MOU-on-CO2-Transport-Infrastructure-10-1-2020_signatures.pdf" TargetMode="External"/><Relationship Id="rId8" Type="http://schemas.openxmlformats.org/officeDocument/2006/relationships/hyperlink" Target="https://www.revisor.mn.gov/statutes/cite/216H.02" TargetMode="External"/><Relationship Id="rId51" Type="http://schemas.openxmlformats.org/officeDocument/2006/relationships/hyperlink" Target="https://www.c2es.org/wp-content/uploads/2018/11/NH_2009_Action_Plan.pdf" TargetMode="External"/><Relationship Id="rId72" Type="http://schemas.openxmlformats.org/officeDocument/2006/relationships/hyperlink" Target="https://www.rggi.org/" TargetMode="External"/><Relationship Id="rId93" Type="http://schemas.openxmlformats.org/officeDocument/2006/relationships/hyperlink" Target="https://www.oregon.gov/deq/ghgp/cfp/pages/default.aspx" TargetMode="External"/><Relationship Id="rId98" Type="http://schemas.openxmlformats.org/officeDocument/2006/relationships/hyperlink" Target="https://carboncaptureready.betterenergy.org/wp-content/uploads/2020/11/Final-MOU-on-CO2-Transport-Infrastructure-10-1-2020_signatures.pdf" TargetMode="External"/><Relationship Id="rId3" Type="http://schemas.openxmlformats.org/officeDocument/2006/relationships/hyperlink" Target="https://cockrell.utexas.edu/images/pdfs/UT_Texas_Net_Zero_by_2050_April2022_Full_Report.pdf"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rmi.org/insight/the-applied-innovation-roadmap-for-cdr/" TargetMode="External"/><Relationship Id="rId13" Type="http://schemas.openxmlformats.org/officeDocument/2006/relationships/hyperlink" Target="https://daccoalition.org/global-dac-deployments/" TargetMode="External"/><Relationship Id="rId18" Type="http://schemas.openxmlformats.org/officeDocument/2006/relationships/hyperlink" Target="https://blogs.law.columbia.edu/climatechange/2021/09/07/removing-carbon-dioxide-through-seaweed-cultivation-legal-challenges-and-opportunities/" TargetMode="External"/><Relationship Id="rId26" Type="http://schemas.openxmlformats.org/officeDocument/2006/relationships/hyperlink" Target="https://www.wri.org/insights/carbon-mineralization-carbon-removal" TargetMode="External"/><Relationship Id="rId3" Type="http://schemas.openxmlformats.org/officeDocument/2006/relationships/hyperlink" Target="https://rmi.org/insight/the-applied-innovation-roadmap-for-cdr/" TargetMode="External"/><Relationship Id="rId21" Type="http://schemas.openxmlformats.org/officeDocument/2006/relationships/hyperlink" Target="https://www.frontiersin.org/journals/climate/articles/10.3389/fclim.2022.945332/full" TargetMode="External"/><Relationship Id="rId7" Type="http://schemas.openxmlformats.org/officeDocument/2006/relationships/hyperlink" Target="https://rmi.org/insight/the-applied-innovation-roadmap-for-cdr/" TargetMode="External"/><Relationship Id="rId12" Type="http://schemas.openxmlformats.org/officeDocument/2006/relationships/hyperlink" Target="https://betterenergy.org/blog/explore-gpis-direct-air-capture-atlas/" TargetMode="External"/><Relationship Id="rId17" Type="http://schemas.openxmlformats.org/officeDocument/2006/relationships/hyperlink" Target="https://blogs.law.columbia.edu/climatechange/2022/05/10/removing-carbon-dioxide-through-artificial-upwelling-and-downwelling-legal-challenges-and-opportunities/" TargetMode="External"/><Relationship Id="rId25" Type="http://schemas.openxmlformats.org/officeDocument/2006/relationships/hyperlink" Target="https://iopscience.iop.org/article/10.1088/1748-9326/aced18" TargetMode="External"/><Relationship Id="rId2" Type="http://schemas.openxmlformats.org/officeDocument/2006/relationships/hyperlink" Target="https://rmi.org/insight/the-applied-innovation-roadmap-for-cdr/" TargetMode="External"/><Relationship Id="rId16" Type="http://schemas.openxmlformats.org/officeDocument/2006/relationships/hyperlink" Target="https://blogs.law.columbia.edu/climatechange/2021/08/30/removing-carbon-dioxide-through-ocean-alkalinity-enhancement-legal-challenges-and-opportunities/" TargetMode="External"/><Relationship Id="rId20" Type="http://schemas.openxmlformats.org/officeDocument/2006/relationships/hyperlink" Target="https://www.frontiersin.org/journals/climate/articles/10.3389/fclim.2022.945332/full" TargetMode="External"/><Relationship Id="rId1" Type="http://schemas.openxmlformats.org/officeDocument/2006/relationships/hyperlink" Target="https://rmi.org/insight/the-applied-innovation-roadmap-for-cdr/" TargetMode="External"/><Relationship Id="rId6" Type="http://schemas.openxmlformats.org/officeDocument/2006/relationships/hyperlink" Target="https://rmi.org/insight/the-applied-innovation-roadmap-for-cdr/" TargetMode="External"/><Relationship Id="rId11" Type="http://schemas.openxmlformats.org/officeDocument/2006/relationships/hyperlink" Target="https://roads2removal.org/" TargetMode="External"/><Relationship Id="rId24" Type="http://schemas.openxmlformats.org/officeDocument/2006/relationships/hyperlink" Target="https://iopscience.iop.org/article/10.1088/1748-9326/aced18" TargetMode="External"/><Relationship Id="rId5" Type="http://schemas.openxmlformats.org/officeDocument/2006/relationships/hyperlink" Target="https://rmi.org/insight/the-applied-innovation-roadmap-for-cdr/" TargetMode="External"/><Relationship Id="rId15" Type="http://schemas.openxmlformats.org/officeDocument/2006/relationships/hyperlink" Target="https://pubs.rsc.org/en/content/articlehtml/2023/ee/d3ee01008b" TargetMode="External"/><Relationship Id="rId23" Type="http://schemas.openxmlformats.org/officeDocument/2006/relationships/hyperlink" Target="https://efifoundation.org/wp-content/uploads/sites/3/2022/03/Surveying-the-BECCS-Landscape_ExecutiveSummary_2022.pdf" TargetMode="External"/><Relationship Id="rId28" Type="http://schemas.openxmlformats.org/officeDocument/2006/relationships/drawing" Target="../drawings/drawing16.xml"/><Relationship Id="rId10" Type="http://schemas.openxmlformats.org/officeDocument/2006/relationships/hyperlink" Target="https://roads2removal.org/" TargetMode="External"/><Relationship Id="rId19" Type="http://schemas.openxmlformats.org/officeDocument/2006/relationships/hyperlink" Target="https://blogs.law.columbia.edu/climatechange/2022/07/14/removing-carbon-dioxide-through-ocean-fertilization-legal-challenges-and-opportunities/" TargetMode="External"/><Relationship Id="rId4" Type="http://schemas.openxmlformats.org/officeDocument/2006/relationships/hyperlink" Target="https://rmi.org/insight/the-applied-innovation-roadmap-for-cdr/" TargetMode="External"/><Relationship Id="rId9" Type="http://schemas.openxmlformats.org/officeDocument/2006/relationships/hyperlink" Target="https://roads2removal.org/" TargetMode="External"/><Relationship Id="rId14" Type="http://schemas.openxmlformats.org/officeDocument/2006/relationships/hyperlink" Target="https://rhg.com/research/direct-air-capture-deployment-and-economic-opportunity-state-by-state/" TargetMode="External"/><Relationship Id="rId22" Type="http://schemas.openxmlformats.org/officeDocument/2006/relationships/hyperlink" Target="https://www.frontiersin.org/journals/climate/articles/10.3389/fclim.2022.945332/full" TargetMode="External"/><Relationship Id="rId27" Type="http://schemas.openxmlformats.org/officeDocument/2006/relationships/hyperlink" Target="https://cascadeclimate.org/blog/policy"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pubs.naruc.org/pub/F1EECB6B-CD8A-6AD4-B05B-E7DA0F12672E" TargetMode="External"/><Relationship Id="rId18" Type="http://schemas.openxmlformats.org/officeDocument/2006/relationships/hyperlink" Target="https://bioenergykdf.ornl.gov/bt23-agricultural-download?f%5B0%5D=bt23_agricultural_scenario_facet%3Anear-term&amp;f%5B1%5D=bt23_agricultural_subclass_facet%3AAg%20processing%20waste&amp;f%5B2%5D=bt23_agricultural_subclass_facet%3AAgricultural%20residues" TargetMode="External"/><Relationship Id="rId26" Type="http://schemas.openxmlformats.org/officeDocument/2006/relationships/hyperlink" Target="https://www.phmsa.dot.gov/sites/phmsa.dot.gov/files/2024-01/2024%20Appendix%20F%20-%20State%20Program%20Certification%20Agreement%20Status.pdf" TargetMode="External"/><Relationship Id="rId39" Type="http://schemas.openxmlformats.org/officeDocument/2006/relationships/hyperlink" Target="../../../../../../../:x:/s/ClimateAlignedIndustries/EcGk-q0XQm9IqLFlVFtcAj8BvBhKSMasDZBdnIALyXCDew?e=wmnhSb" TargetMode="External"/><Relationship Id="rId21" Type="http://schemas.openxmlformats.org/officeDocument/2006/relationships/hyperlink" Target="https://coast.noaa.gov/data/docs/states/shorelines.pdf" TargetMode="External"/><Relationship Id="rId34" Type="http://schemas.openxmlformats.org/officeDocument/2006/relationships/hyperlink" Target="https://www.c2es.org/document/greenhouse-gas-emissions-targets/" TargetMode="External"/><Relationship Id="rId42" Type="http://schemas.openxmlformats.org/officeDocument/2006/relationships/hyperlink" Target="https://www.eia.gov/state/seds/data.php?incfile=/state/seds/sep_fuel/html/fuel_te.html&amp;sid=US" TargetMode="External"/><Relationship Id="rId7" Type="http://schemas.openxmlformats.org/officeDocument/2006/relationships/hyperlink" Target="https://sequestration.mit.edu/pdf/US_State_Regulations_Underground_CO2_Storage.pdf" TargetMode="External"/><Relationship Id="rId2" Type="http://schemas.openxmlformats.org/officeDocument/2006/relationships/hyperlink" Target="https://climate-xchange.org/wp-content/uploads/2018/08/An-Assessment-of-Environmental-Justice-Policy-in-U.S.-Climate-Alliance-States-website.pdf" TargetMode="External"/><Relationship Id="rId16" Type="http://schemas.openxmlformats.org/officeDocument/2006/relationships/hyperlink" Target="https://bioenergykdf.ornl.gov/bt23-agricultural-download?f%5B0%5D=bt23_agricultural_scenario_facet%3Amature-market%20medium&amp;f%5B1%5D=bt23_agricultural_subclass_facet%3AEnergy%20crops%2C%20herbaceous&amp;f%5B2%5D=bt23_agricultural_subclass_facet%3AEnergy%20crops%2C%20woody" TargetMode="External"/><Relationship Id="rId29" Type="http://schemas.openxmlformats.org/officeDocument/2006/relationships/hyperlink" Target="https://www2.census.gov/geo/pdfs/reference/GARM/Ch15GARM.pdf" TargetMode="External"/><Relationship Id="rId1" Type="http://schemas.openxmlformats.org/officeDocument/2006/relationships/hyperlink" Target="https://www.sciencebase.gov/catalog/item/5c1296b5e4b034bf6a85ea18" TargetMode="External"/><Relationship Id="rId6" Type="http://schemas.openxmlformats.org/officeDocument/2006/relationships/hyperlink" Target="https://sequestration.mit.edu/pdf/US_State_Regulations_Underground_CO2_Storage.pdf" TargetMode="External"/><Relationship Id="rId11" Type="http://schemas.openxmlformats.org/officeDocument/2006/relationships/hyperlink" Target="https://www.phmsa.dot.gov/sites/phmsa.dot.gov/files/2024-01/2024%20Appendix%20F%20-%20State%20Program%20Certification%20Agreement%20Status.pdf" TargetMode="External"/><Relationship Id="rId24" Type="http://schemas.openxmlformats.org/officeDocument/2006/relationships/hyperlink" Target="https://www.epa.gov/uic/uic-injection-well-inventory" TargetMode="External"/><Relationship Id="rId32" Type="http://schemas.openxmlformats.org/officeDocument/2006/relationships/hyperlink" Target="https://hazards.fema.gov/nri/wildfire" TargetMode="External"/><Relationship Id="rId37" Type="http://schemas.openxmlformats.org/officeDocument/2006/relationships/hyperlink" Target="../../../../../../../:x:/s/ClimateAlignedIndustries/Ebnyla-Ntg9PgDPEOUkWcSsBczUkCcOPBCNXzUmXsCbsjw?e=Scbk2q" TargetMode="External"/><Relationship Id="rId40" Type="http://schemas.openxmlformats.org/officeDocument/2006/relationships/hyperlink" Target="../../../../../../../:x:/s/ClimateAlignedIndustries/EfZXLdJF5axAhYq9KYZBpyQBykOk8SFuaeTGyG0p6w6Aww?e=OAGKVa" TargetMode="External"/><Relationship Id="rId45" Type="http://schemas.openxmlformats.org/officeDocument/2006/relationships/hyperlink" Target="https://emp.lbl.gov/queues" TargetMode="External"/><Relationship Id="rId5" Type="http://schemas.openxmlformats.org/officeDocument/2006/relationships/hyperlink" Target="https://sequestration.mit.edu/pdf/US_State_Regulations_Underground_CO2_Storage.pdf" TargetMode="External"/><Relationship Id="rId15" Type="http://schemas.openxmlformats.org/officeDocument/2006/relationships/hyperlink" Target="https://www.epa.gov/uic/primary-enforcement-authority-underground-injection-control-program-0" TargetMode="External"/><Relationship Id="rId23" Type="http://schemas.openxmlformats.org/officeDocument/2006/relationships/hyperlink" Target="https://www.epa.gov/uic/uic-injection-well-inventory" TargetMode="External"/><Relationship Id="rId28" Type="http://schemas.openxmlformats.org/officeDocument/2006/relationships/hyperlink" Target="https://oceanvisions.org/mcdr-field-trials/" TargetMode="External"/><Relationship Id="rId36" Type="http://schemas.openxmlformats.org/officeDocument/2006/relationships/hyperlink" Target="../../../../../../../:x:/s/ClimateAlignedIndustries/Ebnyla-Ntg9PgDPEOUkWcSsBczUkCcOPBCNXzUmXsCbsjw?e=Scbk2q" TargetMode="External"/><Relationship Id="rId10" Type="http://schemas.openxmlformats.org/officeDocument/2006/relationships/hyperlink" Target="https://www.epa.gov/uic/primary-enforcement-authority-underground-injection-control-program-0" TargetMode="External"/><Relationship Id="rId19" Type="http://schemas.openxmlformats.org/officeDocument/2006/relationships/hyperlink" Target="https://bioenergykdf.ornl.gov/bt23-wastes-download?f%5B0%5D=bt23_subclass_facet%3AFOG&amp;f%5B1%5D=bt23_subclass_facet%3AOther%20solid%20waste&amp;f%5B2%5D=bt23_subclass_facet%3AOther%20wet%20waste&amp;f%5B3%5D=bt23_subclass_facet%3APaper&amp;f%5B4%5D=bt23_wastes_scenario_name%3Anear-term" TargetMode="External"/><Relationship Id="rId31" Type="http://schemas.openxmlformats.org/officeDocument/2006/relationships/hyperlink" Target="https://www.nass.usda.gov/Publications/Todays_Reports/reports/fnlo0222.pdf" TargetMode="External"/><Relationship Id="rId44" Type="http://schemas.openxmlformats.org/officeDocument/2006/relationships/hyperlink" Target="https://www.eia.gov/electricity/data/browser/" TargetMode="External"/><Relationship Id="rId4" Type="http://schemas.openxmlformats.org/officeDocument/2006/relationships/hyperlink" Target="https://climate-xchange.org/wp-content/uploads/2018/08/An-Assessment-of-Environmental-Justice-Policy-in-U.S.-Climate-Alliance-States-website.pdf" TargetMode="External"/><Relationship Id="rId9" Type="http://schemas.openxmlformats.org/officeDocument/2006/relationships/hyperlink" Target="https://sequestration.mit.edu/pdf/US_State_Regulations_Underground_CO2_Storage.pdf" TargetMode="External"/><Relationship Id="rId14" Type="http://schemas.openxmlformats.org/officeDocument/2006/relationships/hyperlink" Target="https://www.epa.gov/uic/primary-enforcement-authority-underground-injection-control-program-0" TargetMode="External"/><Relationship Id="rId22" Type="http://schemas.openxmlformats.org/officeDocument/2006/relationships/hyperlink" Target="https://coast.noaa.gov/data/docs/states/shorelines.pdf" TargetMode="External"/><Relationship Id="rId27" Type="http://schemas.openxmlformats.org/officeDocument/2006/relationships/hyperlink" Target="https://www.catf.us/ccsmapus/" TargetMode="External"/><Relationship Id="rId30" Type="http://schemas.openxmlformats.org/officeDocument/2006/relationships/hyperlink" Target="https://www.census.gov/geographies/reference-files/2010/geo/state-area.html" TargetMode="External"/><Relationship Id="rId35" Type="http://schemas.openxmlformats.org/officeDocument/2006/relationships/hyperlink" Target="https://emp.lbl.gov/queues" TargetMode="External"/><Relationship Id="rId43" Type="http://schemas.openxmlformats.org/officeDocument/2006/relationships/hyperlink" Target="https://www.eia.gov/state/seds/data.php?incfile=/state/seds/sep_fuel/html/fuel_te.html&amp;sid=US" TargetMode="External"/><Relationship Id="rId8" Type="http://schemas.openxmlformats.org/officeDocument/2006/relationships/hyperlink" Target="https://sequestration.mit.edu/pdf/US_State_Regulations_Underground_CO2_Storage.pdf" TargetMode="External"/><Relationship Id="rId3" Type="http://schemas.openxmlformats.org/officeDocument/2006/relationships/hyperlink" Target="https://climate-xchange.org/wp-content/uploads/2018/08/An-Assessment-of-Environmental-Justice-Policy-in-U.S.-Climate-Alliance-States-website.pdf" TargetMode="External"/><Relationship Id="rId12" Type="http://schemas.openxmlformats.org/officeDocument/2006/relationships/hyperlink" Target="https://pubs.naruc.org/pub/F1EECB6B-CD8A-6AD4-B05B-E7DA0F12672E" TargetMode="External"/><Relationship Id="rId17" Type="http://schemas.openxmlformats.org/officeDocument/2006/relationships/hyperlink" Target="https://bioenergykdf.ornl.gov/bt23-forestry-download?f%5B0%5D=bt23_forestry_scenario_name%3Anear-term&amp;f%5B1%5D=subclass%3AFire%20reduction%20thinnings&amp;f%5B2%5D=subclass%3AForest%20processing%20waste&amp;f%5B3%5D=subclass%3ALogging%20residues&amp;f%5B4%5D=subclass%3AOther%20forest%20waste" TargetMode="External"/><Relationship Id="rId25" Type="http://schemas.openxmlformats.org/officeDocument/2006/relationships/hyperlink" Target="https://www.energy.gov/scep/slsc/lead-tool" TargetMode="External"/><Relationship Id="rId33" Type="http://schemas.openxmlformats.org/officeDocument/2006/relationships/hyperlink" Target="https://www.census.gov/geographies/reference-files/2010/geo/state-area.html" TargetMode="External"/><Relationship Id="rId38" Type="http://schemas.openxmlformats.org/officeDocument/2006/relationships/hyperlink" Target="../../../../../../../:x:/s/ClimateAlignedIndustries/EcGk-q0XQm9IqLFlVFtcAj8BvBhKSMasDZBdnIALyXCDew?e=wmnhSb" TargetMode="External"/><Relationship Id="rId46" Type="http://schemas.openxmlformats.org/officeDocument/2006/relationships/drawing" Target="../drawings/drawing3.xml"/><Relationship Id="rId20" Type="http://schemas.openxmlformats.org/officeDocument/2006/relationships/hyperlink" Target="https://bioenergykdf.ornl.gov/bt23-micro-algae-download" TargetMode="External"/><Relationship Id="rId41" Type="http://schemas.openxmlformats.org/officeDocument/2006/relationships/hyperlink" Target="../../../../../../../:x:/s/ClimateAlignedIndustries/EfZXLdJF5axAhYq9KYZBpyQBykOk8SFuaeTGyG0p6w6Aww?e=OAGKVa"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ceq.doe.gov/docs/laws-regulations/state_information/IN_NEPA_Comparison_23Dec2015.pdf" TargetMode="External"/><Relationship Id="rId13" Type="http://schemas.openxmlformats.org/officeDocument/2006/relationships/hyperlink" Target="https://ceq.doe.gov/docs/laws-regulations/state_information/NC_NEPA_Comparison_23Nov2015.pdf" TargetMode="External"/><Relationship Id="rId18" Type="http://schemas.openxmlformats.org/officeDocument/2006/relationships/hyperlink" Target="https://ceq.doe.gov/docs/laws-regulations/state_information/WA_NEPA_Comparison_28Dec2015.pdf" TargetMode="External"/><Relationship Id="rId26" Type="http://schemas.openxmlformats.org/officeDocument/2006/relationships/hyperlink" Target="https://www.census.gov/geographies/reference-files/2010/geo/state-area.html" TargetMode="External"/><Relationship Id="rId3" Type="http://schemas.openxmlformats.org/officeDocument/2006/relationships/hyperlink" Target="http://www.leg.state.fl.us/statutes/index.cfm?App_mode=Display_Statute&amp;URL=0400-0499/0403/Sections/0403.412.html" TargetMode="External"/><Relationship Id="rId21" Type="http://schemas.openxmlformats.org/officeDocument/2006/relationships/hyperlink" Target="https://portal.ct.gov/deep/news-releases/news-releases---2023/deep-celebrates-passage-of-environmental-justice-bill-by-connecticut-general-assembly" TargetMode="External"/><Relationship Id="rId7" Type="http://schemas.openxmlformats.org/officeDocument/2006/relationships/hyperlink" Target="https://www.ilga.gov/legislation/ilcs/ilcs3.asp?ActID=1585&amp;ChapAct=415%A0ILCS%A05/&amp;ChapterID=36&amp;ChapterName=ENVIRONMENTAL%20SAFETY&amp;ActName=Environmental%20Protection%20Act." TargetMode="External"/><Relationship Id="rId12" Type="http://schemas.openxmlformats.org/officeDocument/2006/relationships/hyperlink" Target="https://ceq.doe.gov/docs/laws-regulations/state_information/MT_NEPA_Comparison_9Nov2015.pdf" TargetMode="External"/><Relationship Id="rId17" Type="http://schemas.openxmlformats.org/officeDocument/2006/relationships/hyperlink" Target="https://ceq.doe.gov/docs/laws-regulations/state_information/VA_NEPA_Comparison_9Nov2015.pdf" TargetMode="External"/><Relationship Id="rId25" Type="http://schemas.openxmlformats.org/officeDocument/2006/relationships/hyperlink" Target="https://wsdot.wa.gov/about/environmental-justice" TargetMode="External"/><Relationship Id="rId2" Type="http://schemas.openxmlformats.org/officeDocument/2006/relationships/hyperlink" Target="https://ceq.doe.gov/docs/laws-regulations/state_information/Federal_Practioner_Guide_to_CEPA_15Dec2015.pdf" TargetMode="External"/><Relationship Id="rId16" Type="http://schemas.openxmlformats.org/officeDocument/2006/relationships/hyperlink" Target="https://ceq.doe.gov/docs/laws-regulations/state_information/SD_NEPA_Comparison_27May2015.pdf" TargetMode="External"/><Relationship Id="rId20" Type="http://schemas.openxmlformats.org/officeDocument/2006/relationships/hyperlink" Target="https://statutes.laws.com/wyoming/Title35/chapter11/" TargetMode="External"/><Relationship Id="rId29" Type="http://schemas.openxmlformats.org/officeDocument/2006/relationships/vmlDrawing" Target="../drawings/vmlDrawing1.vml"/><Relationship Id="rId1" Type="http://schemas.openxmlformats.org/officeDocument/2006/relationships/hyperlink" Target="https://ceq.doe.gov/publications/NEPA-CEQA_Handbook.html" TargetMode="External"/><Relationship Id="rId6" Type="http://schemas.openxmlformats.org/officeDocument/2006/relationships/hyperlink" Target="https://legislature.idaho.gov/wp-content/uploads/statutesrules/idstat/Title39/T39CH1.pdf" TargetMode="External"/><Relationship Id="rId11" Type="http://schemas.openxmlformats.org/officeDocument/2006/relationships/hyperlink" Target="https://ceq.doe.gov/docs/laws-regulations/state_information/MN_NEPA_Comparison_23Nov2015.pdf" TargetMode="External"/><Relationship Id="rId24" Type="http://schemas.openxmlformats.org/officeDocument/2006/relationships/hyperlink" Target="https://www.ncleg.gov/Sessions/2023/Bills/House/PDF/H416v1.pdf" TargetMode="External"/><Relationship Id="rId32" Type="http://schemas.microsoft.com/office/2019/04/relationships/documenttask" Target="../documenttasks/documenttask1.xml"/><Relationship Id="rId5" Type="http://schemas.openxmlformats.org/officeDocument/2006/relationships/hyperlink" Target="https://ceq.doe.gov/docs/laws-regulations/state_information/HI_NEPA_Comparison_22Dec2015.pdf" TargetMode="External"/><Relationship Id="rId15" Type="http://schemas.openxmlformats.org/officeDocument/2006/relationships/hyperlink" Target="https://ceq.doe.gov/docs/laws-regulations/state_information/NYState_NEPA_Comparison_23Nov2015.pdf" TargetMode="External"/><Relationship Id="rId23" Type="http://schemas.openxmlformats.org/officeDocument/2006/relationships/hyperlink" Target="https://cleanwater.org/minnesotas-cumulative-impacts-law-rulemaking" TargetMode="External"/><Relationship Id="rId28" Type="http://schemas.openxmlformats.org/officeDocument/2006/relationships/drawing" Target="../drawings/drawing4.xml"/><Relationship Id="rId10" Type="http://schemas.openxmlformats.org/officeDocument/2006/relationships/hyperlink" Target="https://ceq.doe.gov/docs/laws-regulations/state_information/MD_NEPA_Comparison_3Nov2015.pdf" TargetMode="External"/><Relationship Id="rId19" Type="http://schemas.openxmlformats.org/officeDocument/2006/relationships/hyperlink" Target="https://ceq.doe.gov/docs/laws-regulations/state_information/Federal_Practitioner_Guide_to_WEPA_23Dec2015.pdf" TargetMode="External"/><Relationship Id="rId31" Type="http://schemas.microsoft.com/office/2017/10/relationships/threadedComment" Target="../threadedComments/threadedComment1.xml"/><Relationship Id="rId4" Type="http://schemas.openxmlformats.org/officeDocument/2006/relationships/hyperlink" Target="https://ceq.doe.gov/docs/laws-regulations/state_information/GA_NEPA_Comparison_23Nov2015.pdf" TargetMode="External"/><Relationship Id="rId9" Type="http://schemas.openxmlformats.org/officeDocument/2006/relationships/hyperlink" Target="https://ceq.doe.gov/docs/laws-regulations/state_information/MA_NEPA_Comparison_31Dec2015.pdf" TargetMode="External"/><Relationship Id="rId14" Type="http://schemas.openxmlformats.org/officeDocument/2006/relationships/hyperlink" Target="https://ceq.doe.gov/docs/laws-regulations/state_information/NJ_NEPA_Comparison_23Dec2015.pdf" TargetMode="External"/><Relationship Id="rId22" Type="http://schemas.openxmlformats.org/officeDocument/2006/relationships/hyperlink" Target="https://www.mass.gov/news/massachusetts-becomes-first-state-to-require-analysis-of-cumulative-impacts-for-air-quality-permits-near-environmental-justice-populations" TargetMode="External"/><Relationship Id="rId27" Type="http://schemas.openxmlformats.org/officeDocument/2006/relationships/hyperlink" Target="https://www.census.gov/geographies/reference-files/2010/geo/state-area.html" TargetMode="External"/><Relationship Id="rId30"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E92FF-04E6-A047-B5C8-571C31980D56}">
  <sheetPr>
    <tabColor rgb="FF003B63"/>
  </sheetPr>
  <dimension ref="A1:N70"/>
  <sheetViews>
    <sheetView showGridLines="0" workbookViewId="0">
      <selection activeCell="B6" sqref="B6:G9"/>
    </sheetView>
  </sheetViews>
  <sheetFormatPr defaultColWidth="0" defaultRowHeight="14.45" zeroHeight="1"/>
  <cols>
    <col min="1" max="1" width="4.28515625" style="6" customWidth="1"/>
    <col min="2" max="2" width="15.7109375" style="6" customWidth="1"/>
    <col min="3" max="3" width="13.5703125" style="6" customWidth="1"/>
    <col min="4" max="4" width="33.42578125" style="6" customWidth="1"/>
    <col min="5" max="5" width="31.42578125" style="6" customWidth="1"/>
    <col min="6" max="9" width="11.42578125" style="6" customWidth="1"/>
    <col min="10" max="10" width="12.7109375" style="6" customWidth="1"/>
    <col min="11" max="14" width="11.42578125" style="6" customWidth="1"/>
    <col min="15" max="16384" width="11.42578125" hidden="1"/>
  </cols>
  <sheetData>
    <row r="1" spans="1:14" ht="27" customHeight="1">
      <c r="A1" s="4"/>
      <c r="B1" s="4"/>
      <c r="C1" s="2" t="s">
        <v>0</v>
      </c>
      <c r="D1" s="4"/>
      <c r="E1" s="4"/>
      <c r="F1" s="4"/>
      <c r="G1" s="4"/>
      <c r="H1" s="4"/>
      <c r="I1" s="4"/>
      <c r="J1" s="4"/>
      <c r="K1" s="4"/>
      <c r="L1" s="4"/>
      <c r="M1" s="4"/>
      <c r="N1" s="4"/>
    </row>
    <row r="2" spans="1:14" ht="20.45">
      <c r="A2" s="4"/>
      <c r="B2" s="4"/>
      <c r="C2" s="1" t="s">
        <v>1</v>
      </c>
      <c r="D2" s="4"/>
      <c r="E2" s="4"/>
      <c r="F2" s="4"/>
      <c r="G2" s="4"/>
      <c r="H2" s="4"/>
      <c r="I2" s="4"/>
      <c r="J2" s="4"/>
      <c r="K2" s="4"/>
      <c r="L2" s="4"/>
      <c r="M2" s="4"/>
      <c r="N2" s="4"/>
    </row>
    <row r="3" spans="1:14" ht="20.100000000000001" customHeight="1">
      <c r="A3" s="267"/>
      <c r="B3" s="267"/>
      <c r="C3" s="268" t="s">
        <v>2</v>
      </c>
      <c r="D3" s="267"/>
      <c r="E3" s="267"/>
      <c r="F3" s="267"/>
      <c r="G3" s="267"/>
      <c r="H3" s="267"/>
      <c r="I3" s="267"/>
      <c r="J3" s="267"/>
      <c r="K3" s="267"/>
      <c r="L3" s="267"/>
      <c r="M3" s="267"/>
      <c r="N3" s="267"/>
    </row>
    <row r="4" spans="1:14"/>
    <row r="5" spans="1:14" ht="30.95" customHeight="1">
      <c r="A5" s="10"/>
      <c r="B5" s="266" t="s">
        <v>3</v>
      </c>
      <c r="C5" s="265"/>
      <c r="D5" s="265"/>
      <c r="E5" s="265"/>
      <c r="F5" s="265"/>
      <c r="G5" s="265"/>
      <c r="H5" s="265"/>
      <c r="I5" s="265"/>
      <c r="J5" s="265"/>
      <c r="K5" s="265"/>
      <c r="L5" s="265"/>
      <c r="M5" s="265"/>
      <c r="N5" s="10"/>
    </row>
    <row r="6" spans="1:14" ht="35.1" customHeight="1">
      <c r="B6" s="480" t="s">
        <v>4</v>
      </c>
      <c r="C6" s="468"/>
      <c r="D6" s="468"/>
      <c r="E6" s="468"/>
      <c r="F6" s="468"/>
      <c r="G6" s="468"/>
      <c r="H6" s="269"/>
      <c r="I6" s="269"/>
      <c r="M6" s="8"/>
    </row>
    <row r="7" spans="1:14" ht="35.1" customHeight="1">
      <c r="B7" s="468"/>
      <c r="C7" s="468"/>
      <c r="D7" s="468"/>
      <c r="E7" s="468"/>
      <c r="F7" s="468"/>
      <c r="G7" s="468"/>
      <c r="H7" s="269"/>
      <c r="I7" s="464" t="s">
        <v>5</v>
      </c>
      <c r="J7" s="465"/>
      <c r="K7" s="466"/>
      <c r="M7" s="255"/>
    </row>
    <row r="8" spans="1:14" ht="35.1" customHeight="1">
      <c r="B8" s="468"/>
      <c r="C8" s="468"/>
      <c r="D8" s="468"/>
      <c r="E8" s="468"/>
      <c r="F8" s="468"/>
      <c r="G8" s="468"/>
      <c r="H8" s="269"/>
      <c r="I8" s="467"/>
      <c r="J8" s="468"/>
      <c r="K8" s="469"/>
      <c r="M8" s="255"/>
    </row>
    <row r="9" spans="1:14" ht="35.1" customHeight="1">
      <c r="B9" s="468"/>
      <c r="C9" s="468"/>
      <c r="D9" s="468"/>
      <c r="E9" s="468"/>
      <c r="F9" s="468"/>
      <c r="G9" s="468"/>
      <c r="H9" s="269"/>
      <c r="I9" s="467"/>
      <c r="J9" s="468"/>
      <c r="K9" s="469"/>
      <c r="M9" s="255"/>
    </row>
    <row r="10" spans="1:14" ht="110.25" customHeight="1">
      <c r="B10" s="481" t="s">
        <v>6</v>
      </c>
      <c r="C10" s="482"/>
      <c r="D10" s="482"/>
      <c r="E10" s="482"/>
      <c r="F10" s="482"/>
      <c r="G10" s="482"/>
      <c r="H10" s="269"/>
      <c r="I10" s="470" t="s">
        <v>7</v>
      </c>
      <c r="J10" s="471"/>
      <c r="K10" s="472"/>
    </row>
    <row r="11" spans="1:14" ht="15">
      <c r="B11" s="468" t="s">
        <v>8</v>
      </c>
      <c r="C11" s="468"/>
      <c r="D11" s="468"/>
      <c r="E11" s="468"/>
      <c r="F11" s="468"/>
      <c r="G11" s="468"/>
      <c r="H11" s="269"/>
      <c r="I11" s="269"/>
    </row>
    <row r="12" spans="1:14">
      <c r="B12" s="269"/>
      <c r="C12" s="269"/>
      <c r="D12" s="269"/>
      <c r="E12" s="269"/>
      <c r="F12" s="269"/>
      <c r="G12" s="269"/>
      <c r="H12" s="269"/>
      <c r="I12" s="269"/>
    </row>
    <row r="13" spans="1:14">
      <c r="B13" s="269"/>
      <c r="C13" s="269"/>
      <c r="D13" s="269"/>
      <c r="E13" s="269"/>
      <c r="F13" s="269"/>
      <c r="G13" s="269"/>
      <c r="H13" s="269"/>
      <c r="I13" s="269"/>
    </row>
    <row r="14" spans="1:14" ht="15" thickBot="1">
      <c r="B14" s="8" t="s">
        <v>9</v>
      </c>
    </row>
    <row r="15" spans="1:14" ht="63.75">
      <c r="B15" s="315" t="s">
        <v>10</v>
      </c>
      <c r="C15" s="314" t="s">
        <v>11</v>
      </c>
      <c r="D15" s="314" t="s">
        <v>12</v>
      </c>
      <c r="E15" s="314" t="s">
        <v>13</v>
      </c>
      <c r="F15" s="314" t="s">
        <v>14</v>
      </c>
      <c r="G15" s="314" t="s">
        <v>15</v>
      </c>
      <c r="H15" s="314" t="s">
        <v>16</v>
      </c>
      <c r="I15" s="314" t="s">
        <v>17</v>
      </c>
      <c r="J15" s="314" t="s">
        <v>18</v>
      </c>
      <c r="K15" s="314" t="s">
        <v>19</v>
      </c>
      <c r="L15" s="314" t="s">
        <v>20</v>
      </c>
      <c r="M15" s="314" t="s">
        <v>21</v>
      </c>
    </row>
    <row r="16" spans="1:14" ht="31.5">
      <c r="B16" s="391">
        <v>1</v>
      </c>
      <c r="C16" s="360" t="s">
        <v>22</v>
      </c>
      <c r="D16" s="360" t="s">
        <v>23</v>
      </c>
      <c r="E16" s="359">
        <v>5</v>
      </c>
      <c r="F16" s="361" t="s">
        <v>24</v>
      </c>
      <c r="G16" s="361" t="s">
        <v>24</v>
      </c>
      <c r="H16" s="361" t="s">
        <v>24</v>
      </c>
      <c r="I16" s="361" t="s">
        <v>24</v>
      </c>
      <c r="J16" s="361" t="s">
        <v>24</v>
      </c>
      <c r="K16" s="361" t="s">
        <v>24</v>
      </c>
      <c r="L16" s="361" t="s">
        <v>24</v>
      </c>
      <c r="M16" s="361" t="s">
        <v>24</v>
      </c>
    </row>
    <row r="17" spans="2:13" ht="31.5">
      <c r="B17" s="392">
        <v>2</v>
      </c>
      <c r="C17" s="363" t="s">
        <v>22</v>
      </c>
      <c r="D17" s="363" t="s">
        <v>25</v>
      </c>
      <c r="E17" s="362">
        <v>7</v>
      </c>
      <c r="F17" s="364" t="s">
        <v>24</v>
      </c>
      <c r="G17" s="364" t="s">
        <v>24</v>
      </c>
      <c r="H17" s="364" t="s">
        <v>24</v>
      </c>
      <c r="I17" s="364" t="s">
        <v>24</v>
      </c>
      <c r="J17" s="364" t="s">
        <v>24</v>
      </c>
      <c r="K17" s="364" t="s">
        <v>24</v>
      </c>
      <c r="L17" s="364" t="s">
        <v>24</v>
      </c>
      <c r="M17" s="364" t="s">
        <v>24</v>
      </c>
    </row>
    <row r="18" spans="2:13" ht="31.5">
      <c r="B18" s="393">
        <v>3</v>
      </c>
      <c r="C18" s="356" t="s">
        <v>22</v>
      </c>
      <c r="D18" s="356" t="s">
        <v>26</v>
      </c>
      <c r="E18" s="355">
        <v>3</v>
      </c>
      <c r="F18" s="358" t="s">
        <v>24</v>
      </c>
      <c r="G18" s="358" t="s">
        <v>24</v>
      </c>
      <c r="H18" s="358" t="s">
        <v>24</v>
      </c>
      <c r="I18" s="358" t="s">
        <v>24</v>
      </c>
      <c r="J18" s="358" t="s">
        <v>24</v>
      </c>
      <c r="K18" s="358" t="s">
        <v>24</v>
      </c>
      <c r="L18" s="358" t="s">
        <v>24</v>
      </c>
      <c r="M18" s="358" t="s">
        <v>24</v>
      </c>
    </row>
    <row r="19" spans="2:13" ht="31.5">
      <c r="B19" s="392">
        <v>4</v>
      </c>
      <c r="C19" s="363" t="s">
        <v>22</v>
      </c>
      <c r="D19" s="363" t="s">
        <v>27</v>
      </c>
      <c r="E19" s="362">
        <v>9</v>
      </c>
      <c r="F19" s="364" t="s">
        <v>24</v>
      </c>
      <c r="G19" s="364" t="s">
        <v>24</v>
      </c>
      <c r="H19" s="365"/>
      <c r="I19" s="365"/>
      <c r="J19" s="365"/>
      <c r="K19" s="365"/>
      <c r="L19" s="365"/>
      <c r="M19" s="364" t="s">
        <v>24</v>
      </c>
    </row>
    <row r="20" spans="2:13" ht="31.5">
      <c r="B20" s="393">
        <v>5</v>
      </c>
      <c r="C20" s="356" t="s">
        <v>22</v>
      </c>
      <c r="D20" s="356" t="s">
        <v>28</v>
      </c>
      <c r="E20" s="374">
        <v>2</v>
      </c>
      <c r="F20" s="357"/>
      <c r="G20" s="357"/>
      <c r="H20" s="357"/>
      <c r="I20" s="357"/>
      <c r="J20" s="357"/>
      <c r="K20" s="357"/>
      <c r="L20" s="358" t="s">
        <v>24</v>
      </c>
      <c r="M20" s="357"/>
    </row>
    <row r="21" spans="2:13" ht="23.25">
      <c r="B21" s="394">
        <v>6</v>
      </c>
      <c r="C21" s="319" t="s">
        <v>29</v>
      </c>
      <c r="D21" s="319" t="s">
        <v>30</v>
      </c>
      <c r="E21" s="318">
        <v>3</v>
      </c>
      <c r="F21" s="264"/>
      <c r="G21" s="264"/>
      <c r="H21" s="264"/>
      <c r="I21" s="264"/>
      <c r="J21" s="262" t="s">
        <v>24</v>
      </c>
      <c r="K21" s="264"/>
      <c r="L21" s="262"/>
      <c r="M21" s="264"/>
    </row>
    <row r="22" spans="2:13" ht="23.25">
      <c r="B22" s="395">
        <v>7</v>
      </c>
      <c r="C22" s="317" t="s">
        <v>29</v>
      </c>
      <c r="D22" s="317" t="s">
        <v>31</v>
      </c>
      <c r="E22" s="316">
        <v>7</v>
      </c>
      <c r="F22" s="263"/>
      <c r="G22" s="263"/>
      <c r="H22" s="263"/>
      <c r="I22" s="263"/>
      <c r="J22" s="263"/>
      <c r="K22" s="261" t="s">
        <v>24</v>
      </c>
      <c r="L22" s="261" t="s">
        <v>24</v>
      </c>
      <c r="M22" s="261" t="s">
        <v>24</v>
      </c>
    </row>
    <row r="23" spans="2:13" ht="23.25">
      <c r="B23" s="394">
        <v>8</v>
      </c>
      <c r="C23" s="319" t="s">
        <v>29</v>
      </c>
      <c r="D23" s="319" t="s">
        <v>32</v>
      </c>
      <c r="E23" s="318">
        <v>2</v>
      </c>
      <c r="F23" s="264"/>
      <c r="G23" s="262" t="s">
        <v>24</v>
      </c>
      <c r="H23" s="262" t="s">
        <v>24</v>
      </c>
      <c r="I23" s="264"/>
      <c r="J23" s="264"/>
      <c r="K23" s="262" t="s">
        <v>24</v>
      </c>
      <c r="L23" s="264"/>
      <c r="M23" s="264"/>
    </row>
    <row r="24" spans="2:13" ht="23.25">
      <c r="B24" s="395">
        <v>9</v>
      </c>
      <c r="C24" s="317" t="s">
        <v>29</v>
      </c>
      <c r="D24" s="317" t="s">
        <v>33</v>
      </c>
      <c r="E24" s="316">
        <v>3</v>
      </c>
      <c r="F24" s="263"/>
      <c r="G24" s="263"/>
      <c r="H24" s="263"/>
      <c r="I24" s="263"/>
      <c r="J24" s="263"/>
      <c r="K24" s="263"/>
      <c r="L24" s="261" t="s">
        <v>24</v>
      </c>
      <c r="M24" s="263"/>
    </row>
    <row r="25" spans="2:13" ht="23.25">
      <c r="B25" s="394">
        <v>10</v>
      </c>
      <c r="C25" s="319" t="s">
        <v>29</v>
      </c>
      <c r="D25" s="319" t="s">
        <v>34</v>
      </c>
      <c r="E25" s="318">
        <v>6</v>
      </c>
      <c r="F25" s="262" t="s">
        <v>24</v>
      </c>
      <c r="G25" s="262" t="s">
        <v>24</v>
      </c>
      <c r="H25" s="264"/>
      <c r="I25" s="262" t="s">
        <v>24</v>
      </c>
      <c r="J25" s="264"/>
      <c r="K25" s="264"/>
      <c r="L25" s="264"/>
      <c r="M25" s="262"/>
    </row>
    <row r="26" spans="2:13" ht="23.25">
      <c r="B26" s="395">
        <v>11</v>
      </c>
      <c r="C26" s="317" t="s">
        <v>29</v>
      </c>
      <c r="D26" s="317" t="s">
        <v>35</v>
      </c>
      <c r="E26" s="316">
        <v>3</v>
      </c>
      <c r="F26" s="263"/>
      <c r="G26" s="263"/>
      <c r="H26" s="261" t="s">
        <v>24</v>
      </c>
      <c r="I26" s="261" t="s">
        <v>24</v>
      </c>
      <c r="J26" s="261" t="s">
        <v>24</v>
      </c>
      <c r="K26" s="263"/>
      <c r="L26" s="263"/>
      <c r="M26" s="263"/>
    </row>
    <row r="27" spans="2:13" ht="23.25">
      <c r="B27" s="394">
        <v>12</v>
      </c>
      <c r="C27" s="319" t="s">
        <v>29</v>
      </c>
      <c r="D27" s="319" t="s">
        <v>36</v>
      </c>
      <c r="E27" s="318">
        <v>3</v>
      </c>
      <c r="F27" s="262" t="s">
        <v>24</v>
      </c>
      <c r="G27" s="262" t="s">
        <v>24</v>
      </c>
      <c r="H27" s="264"/>
      <c r="I27" s="262" t="s">
        <v>24</v>
      </c>
      <c r="J27" s="264"/>
      <c r="K27" s="264"/>
      <c r="L27" s="264"/>
      <c r="M27" s="262" t="s">
        <v>24</v>
      </c>
    </row>
    <row r="28" spans="2:13" ht="27.95" customHeight="1">
      <c r="B28" s="395">
        <v>13</v>
      </c>
      <c r="C28" s="317" t="s">
        <v>29</v>
      </c>
      <c r="D28" s="317" t="s">
        <v>37</v>
      </c>
      <c r="E28" s="316">
        <v>3</v>
      </c>
      <c r="F28" s="261" t="s">
        <v>24</v>
      </c>
      <c r="G28" s="261" t="s">
        <v>24</v>
      </c>
      <c r="H28" s="263"/>
      <c r="I28" s="263"/>
      <c r="J28" s="263"/>
      <c r="K28" s="263"/>
      <c r="L28" s="263"/>
      <c r="M28" s="261" t="s">
        <v>24</v>
      </c>
    </row>
    <row r="29" spans="2:13" ht="23.25">
      <c r="B29" s="394">
        <v>14</v>
      </c>
      <c r="C29" s="319" t="s">
        <v>29</v>
      </c>
      <c r="D29" s="319" t="s">
        <v>38</v>
      </c>
      <c r="E29" s="318">
        <v>3</v>
      </c>
      <c r="F29" s="264"/>
      <c r="G29" s="262" t="s">
        <v>24</v>
      </c>
      <c r="H29" s="262" t="s">
        <v>24</v>
      </c>
      <c r="I29" s="262" t="s">
        <v>24</v>
      </c>
      <c r="J29" s="264"/>
      <c r="K29" s="264"/>
      <c r="L29" s="264"/>
      <c r="M29" s="264"/>
    </row>
    <row r="30" spans="2:13" ht="20.25">
      <c r="B30" s="395">
        <v>15</v>
      </c>
      <c r="C30" s="317" t="s">
        <v>29</v>
      </c>
      <c r="D30" s="317" t="s">
        <v>39</v>
      </c>
      <c r="E30" s="316" t="s">
        <v>40</v>
      </c>
      <c r="F30" s="261" t="s">
        <v>24</v>
      </c>
      <c r="G30" s="261" t="s">
        <v>24</v>
      </c>
      <c r="H30" s="261" t="s">
        <v>24</v>
      </c>
      <c r="I30" s="261" t="s">
        <v>24</v>
      </c>
      <c r="J30" s="261" t="s">
        <v>24</v>
      </c>
      <c r="K30" s="261" t="s">
        <v>24</v>
      </c>
      <c r="L30" s="261" t="s">
        <v>24</v>
      </c>
      <c r="M30" s="261" t="s">
        <v>24</v>
      </c>
    </row>
    <row r="31" spans="2:13" ht="20.25">
      <c r="B31" s="394">
        <v>16</v>
      </c>
      <c r="C31" s="319" t="s">
        <v>29</v>
      </c>
      <c r="D31" s="319" t="s">
        <v>41</v>
      </c>
      <c r="E31" s="318" t="s">
        <v>40</v>
      </c>
      <c r="F31" s="262" t="s">
        <v>24</v>
      </c>
      <c r="G31" s="262" t="s">
        <v>24</v>
      </c>
      <c r="H31" s="262" t="s">
        <v>24</v>
      </c>
      <c r="I31" s="262" t="s">
        <v>24</v>
      </c>
      <c r="J31" s="262" t="s">
        <v>24</v>
      </c>
      <c r="K31" s="262" t="s">
        <v>24</v>
      </c>
      <c r="L31" s="262" t="s">
        <v>24</v>
      </c>
      <c r="M31" s="262" t="s">
        <v>24</v>
      </c>
    </row>
    <row r="32" spans="2:13"/>
    <row r="33" spans="1:14">
      <c r="B33" s="8"/>
    </row>
    <row r="34" spans="1:14">
      <c r="B34" s="8" t="s">
        <v>42</v>
      </c>
    </row>
    <row r="35" spans="1:14" ht="15.95" thickBot="1">
      <c r="B35" s="486" t="s">
        <v>43</v>
      </c>
      <c r="C35" s="487"/>
      <c r="D35" s="451" t="s">
        <v>44</v>
      </c>
      <c r="E35" s="452"/>
      <c r="F35" s="451" t="s">
        <v>45</v>
      </c>
      <c r="G35" s="476"/>
      <c r="H35" s="476"/>
      <c r="I35" s="476"/>
      <c r="J35" s="476"/>
      <c r="K35" s="452"/>
    </row>
    <row r="36" spans="1:14" ht="36" customHeight="1" thickTop="1" thickBot="1">
      <c r="B36" s="473" t="s">
        <v>46</v>
      </c>
      <c r="C36" s="474"/>
      <c r="D36" s="449" t="s">
        <v>47</v>
      </c>
      <c r="E36" s="450"/>
      <c r="F36" s="449" t="s">
        <v>48</v>
      </c>
      <c r="G36" s="475"/>
      <c r="H36" s="475"/>
      <c r="I36" s="475"/>
      <c r="J36" s="475"/>
      <c r="K36" s="450"/>
    </row>
    <row r="37" spans="1:14" ht="36" customHeight="1" thickBot="1">
      <c r="B37" s="462" t="s">
        <v>49</v>
      </c>
      <c r="C37" s="463"/>
      <c r="D37" s="453" t="s">
        <v>50</v>
      </c>
      <c r="E37" s="455"/>
      <c r="F37" s="453" t="s">
        <v>51</v>
      </c>
      <c r="G37" s="454"/>
      <c r="H37" s="454"/>
      <c r="I37" s="454"/>
      <c r="J37" s="454"/>
      <c r="K37" s="455"/>
    </row>
    <row r="38" spans="1:14" ht="39.75" customHeight="1" thickBot="1">
      <c r="B38" s="473" t="s">
        <v>52</v>
      </c>
      <c r="C38" s="474"/>
      <c r="D38" s="456" t="s">
        <v>53</v>
      </c>
      <c r="E38" s="458"/>
      <c r="F38" s="456" t="s">
        <v>54</v>
      </c>
      <c r="G38" s="457"/>
      <c r="H38" s="457"/>
      <c r="I38" s="457"/>
      <c r="J38" s="457"/>
      <c r="K38" s="458"/>
    </row>
    <row r="39" spans="1:14" ht="50.1" customHeight="1" thickBot="1">
      <c r="B39" s="462" t="s">
        <v>17</v>
      </c>
      <c r="C39" s="463"/>
      <c r="D39" s="453" t="s">
        <v>55</v>
      </c>
      <c r="E39" s="455"/>
      <c r="F39" s="453" t="s">
        <v>56</v>
      </c>
      <c r="G39" s="454"/>
      <c r="H39" s="454"/>
      <c r="I39" s="454"/>
      <c r="J39" s="454"/>
      <c r="K39" s="455"/>
    </row>
    <row r="40" spans="1:14" ht="36" customHeight="1" thickBot="1">
      <c r="B40" s="473" t="s">
        <v>18</v>
      </c>
      <c r="C40" s="474"/>
      <c r="D40" s="456" t="s">
        <v>57</v>
      </c>
      <c r="E40" s="458"/>
      <c r="F40" s="456" t="s">
        <v>58</v>
      </c>
      <c r="G40" s="457"/>
      <c r="H40" s="457"/>
      <c r="I40" s="457"/>
      <c r="J40" s="457"/>
      <c r="K40" s="458"/>
    </row>
    <row r="41" spans="1:14" ht="36" customHeight="1" thickBot="1">
      <c r="B41" s="462" t="s">
        <v>19</v>
      </c>
      <c r="C41" s="463"/>
      <c r="D41" s="453" t="s">
        <v>59</v>
      </c>
      <c r="E41" s="455"/>
      <c r="F41" s="453" t="s">
        <v>60</v>
      </c>
      <c r="G41" s="454"/>
      <c r="H41" s="454"/>
      <c r="I41" s="454"/>
      <c r="J41" s="454"/>
      <c r="K41" s="455"/>
    </row>
    <row r="42" spans="1:14" ht="36" customHeight="1" thickBot="1">
      <c r="B42" s="473" t="s">
        <v>20</v>
      </c>
      <c r="C42" s="474"/>
      <c r="D42" s="456" t="s">
        <v>61</v>
      </c>
      <c r="E42" s="458"/>
      <c r="F42" s="456" t="s">
        <v>62</v>
      </c>
      <c r="G42" s="457"/>
      <c r="H42" s="457"/>
      <c r="I42" s="457"/>
      <c r="J42" s="457"/>
      <c r="K42" s="458"/>
    </row>
    <row r="43" spans="1:14" ht="36" customHeight="1" thickBot="1">
      <c r="B43" s="462" t="s">
        <v>63</v>
      </c>
      <c r="C43" s="463"/>
      <c r="D43" s="453" t="s">
        <v>64</v>
      </c>
      <c r="E43" s="455"/>
      <c r="F43" s="453" t="s">
        <v>65</v>
      </c>
      <c r="G43" s="454"/>
      <c r="H43" s="454"/>
      <c r="I43" s="454"/>
      <c r="J43" s="454"/>
      <c r="K43" s="455"/>
    </row>
    <row r="44" spans="1:14" ht="36" customHeight="1"/>
    <row r="45" spans="1:14"/>
    <row r="46" spans="1:14"/>
    <row r="47" spans="1:14" ht="20.45">
      <c r="B47" s="256" t="s">
        <v>66</v>
      </c>
      <c r="C47" s="257"/>
      <c r="D47" s="257"/>
      <c r="E47" s="257"/>
      <c r="F47" s="257"/>
      <c r="G47" s="257"/>
      <c r="H47" s="257"/>
      <c r="I47" s="257"/>
      <c r="J47" s="257"/>
      <c r="K47" s="257"/>
      <c r="L47" s="257"/>
      <c r="M47" s="257"/>
    </row>
    <row r="48" spans="1:14" ht="30.95" customHeight="1">
      <c r="A48"/>
      <c r="N48"/>
    </row>
    <row r="49" spans="2:9" ht="15" thickBot="1">
      <c r="B49" s="258" t="s">
        <v>67</v>
      </c>
      <c r="C49" s="483" t="s">
        <v>68</v>
      </c>
      <c r="D49" s="484"/>
      <c r="E49" s="484"/>
      <c r="F49" s="484"/>
      <c r="G49" s="484"/>
      <c r="H49" s="484"/>
      <c r="I49" s="485"/>
    </row>
    <row r="50" spans="2:9" ht="18.95" customHeight="1">
      <c r="B50" s="260">
        <v>45588</v>
      </c>
      <c r="C50" s="477" t="s">
        <v>69</v>
      </c>
      <c r="D50" s="478"/>
      <c r="E50" s="478"/>
      <c r="F50" s="478"/>
      <c r="G50" s="478"/>
      <c r="H50" s="478"/>
      <c r="I50" s="479"/>
    </row>
    <row r="51" spans="2:9">
      <c r="B51" s="105"/>
      <c r="C51" s="459"/>
      <c r="D51" s="460"/>
      <c r="E51" s="460"/>
      <c r="F51" s="460"/>
      <c r="G51" s="460"/>
      <c r="H51" s="460"/>
      <c r="I51" s="461"/>
    </row>
    <row r="52" spans="2:9">
      <c r="B52" s="105"/>
      <c r="C52" s="459"/>
      <c r="D52" s="460"/>
      <c r="E52" s="460"/>
      <c r="F52" s="460"/>
      <c r="G52" s="460"/>
      <c r="H52" s="460"/>
      <c r="I52" s="461"/>
    </row>
    <row r="53" spans="2:9">
      <c r="B53" s="105"/>
      <c r="C53" s="459"/>
      <c r="D53" s="460"/>
      <c r="E53" s="460"/>
      <c r="F53" s="460"/>
      <c r="G53" s="460"/>
      <c r="H53" s="460"/>
      <c r="I53" s="461"/>
    </row>
    <row r="54" spans="2:9">
      <c r="B54" s="105"/>
      <c r="C54" s="459"/>
      <c r="D54" s="460"/>
      <c r="E54" s="460"/>
      <c r="F54" s="460"/>
      <c r="G54" s="460"/>
      <c r="H54" s="460"/>
      <c r="I54" s="461"/>
    </row>
    <row r="55" spans="2:9">
      <c r="B55" s="105"/>
      <c r="C55" s="459"/>
      <c r="D55" s="460"/>
      <c r="E55" s="460"/>
      <c r="F55" s="460"/>
      <c r="G55" s="460"/>
      <c r="H55" s="460"/>
      <c r="I55" s="461"/>
    </row>
    <row r="56" spans="2:9">
      <c r="B56" s="105"/>
      <c r="C56" s="459"/>
      <c r="D56" s="460"/>
      <c r="E56" s="460"/>
      <c r="F56" s="460"/>
      <c r="G56" s="460"/>
      <c r="H56" s="460"/>
      <c r="I56" s="461"/>
    </row>
    <row r="57" spans="2:9">
      <c r="B57" s="105"/>
      <c r="C57" s="459"/>
      <c r="D57" s="460"/>
      <c r="E57" s="460"/>
      <c r="F57" s="460"/>
      <c r="G57" s="460"/>
      <c r="H57" s="460"/>
      <c r="I57" s="461"/>
    </row>
    <row r="58" spans="2:9">
      <c r="B58" s="105"/>
      <c r="C58" s="459"/>
      <c r="D58" s="460"/>
      <c r="E58" s="460"/>
      <c r="F58" s="460"/>
      <c r="G58" s="460"/>
      <c r="H58" s="460"/>
      <c r="I58" s="461"/>
    </row>
    <row r="59" spans="2:9">
      <c r="B59" s="105"/>
      <c r="C59" s="459"/>
      <c r="D59" s="460"/>
      <c r="E59" s="460"/>
      <c r="F59" s="460"/>
      <c r="G59" s="460"/>
      <c r="H59" s="460"/>
      <c r="I59" s="461"/>
    </row>
    <row r="60" spans="2:9">
      <c r="B60" s="105"/>
      <c r="C60" s="459"/>
      <c r="D60" s="460"/>
      <c r="E60" s="460"/>
      <c r="F60" s="460"/>
      <c r="G60" s="460"/>
      <c r="H60" s="460"/>
      <c r="I60" s="461"/>
    </row>
    <row r="61" spans="2:9">
      <c r="B61" s="105"/>
      <c r="C61" s="459"/>
      <c r="D61" s="460"/>
      <c r="E61" s="460"/>
      <c r="F61" s="460"/>
      <c r="G61" s="460"/>
      <c r="H61" s="460"/>
      <c r="I61" s="461"/>
    </row>
    <row r="62" spans="2:9">
      <c r="B62" s="105"/>
      <c r="C62" s="459"/>
      <c r="D62" s="460"/>
      <c r="E62" s="460"/>
      <c r="F62" s="460"/>
      <c r="G62" s="460"/>
      <c r="H62" s="460"/>
      <c r="I62" s="461"/>
    </row>
    <row r="63" spans="2:9"/>
    <row r="64" spans="2:9"/>
    <row r="65"/>
    <row r="66"/>
    <row r="67"/>
    <row r="68"/>
    <row r="69"/>
    <row r="70"/>
  </sheetData>
  <mergeCells count="46">
    <mergeCell ref="C51:I51"/>
    <mergeCell ref="C50:I50"/>
    <mergeCell ref="B11:G11"/>
    <mergeCell ref="B6:G9"/>
    <mergeCell ref="B10:G10"/>
    <mergeCell ref="C49:I49"/>
    <mergeCell ref="B38:C38"/>
    <mergeCell ref="B37:C37"/>
    <mergeCell ref="B36:C36"/>
    <mergeCell ref="B35:C35"/>
    <mergeCell ref="F43:K43"/>
    <mergeCell ref="F42:K42"/>
    <mergeCell ref="F41:K41"/>
    <mergeCell ref="F40:K40"/>
    <mergeCell ref="B43:C43"/>
    <mergeCell ref="B42:C42"/>
    <mergeCell ref="B41:C41"/>
    <mergeCell ref="I7:K9"/>
    <mergeCell ref="I10:K10"/>
    <mergeCell ref="C52:I52"/>
    <mergeCell ref="C57:I57"/>
    <mergeCell ref="C56:I56"/>
    <mergeCell ref="C55:I55"/>
    <mergeCell ref="C54:I54"/>
    <mergeCell ref="C53:I53"/>
    <mergeCell ref="B40:C40"/>
    <mergeCell ref="B39:C39"/>
    <mergeCell ref="F37:K37"/>
    <mergeCell ref="F36:K36"/>
    <mergeCell ref="F35:K35"/>
    <mergeCell ref="D38:E38"/>
    <mergeCell ref="D37:E37"/>
    <mergeCell ref="C62:I62"/>
    <mergeCell ref="C61:I61"/>
    <mergeCell ref="C60:I60"/>
    <mergeCell ref="C59:I59"/>
    <mergeCell ref="C58:I58"/>
    <mergeCell ref="D36:E36"/>
    <mergeCell ref="D35:E35"/>
    <mergeCell ref="F39:K39"/>
    <mergeCell ref="F38:K38"/>
    <mergeCell ref="D43:E43"/>
    <mergeCell ref="D42:E42"/>
    <mergeCell ref="D41:E41"/>
    <mergeCell ref="D40:E40"/>
    <mergeCell ref="D39:E39"/>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1CCEF-AD2A-1B4B-8668-DF8985E4977D}">
  <sheetPr>
    <tabColor rgb="FF7F7F7F"/>
  </sheetPr>
  <dimension ref="A1:AI59"/>
  <sheetViews>
    <sheetView workbookViewId="0">
      <selection activeCell="D1" sqref="D1"/>
    </sheetView>
  </sheetViews>
  <sheetFormatPr defaultColWidth="15.85546875" defaultRowHeight="14.45"/>
  <cols>
    <col min="1" max="1" width="15.85546875" style="16"/>
    <col min="2" max="4" width="15.85546875" style="13"/>
    <col min="5" max="5" width="15.85546875" style="304"/>
    <col min="6" max="6" width="15.85546875" style="303"/>
    <col min="7" max="12" width="15.85546875" style="13"/>
    <col min="13" max="13" width="15.85546875" style="23"/>
    <col min="14" max="16384" width="15.85546875" style="13"/>
  </cols>
  <sheetData>
    <row r="1" spans="1:35" s="4" customFormat="1" ht="27" customHeight="1">
      <c r="C1" s="2" t="s">
        <v>0</v>
      </c>
      <c r="D1" s="2"/>
      <c r="F1" s="297"/>
    </row>
    <row r="2" spans="1:35" s="5" customFormat="1" ht="27" customHeight="1" thickBot="1">
      <c r="C2" s="307" t="s">
        <v>709</v>
      </c>
      <c r="D2" s="3"/>
      <c r="E2" s="3"/>
      <c r="F2" s="298"/>
    </row>
    <row r="3" spans="1:35" s="6" customFormat="1" ht="23.45" thickTop="1">
      <c r="B3" s="7"/>
      <c r="E3" s="8"/>
      <c r="F3" s="19"/>
      <c r="AI3" s="14"/>
    </row>
    <row r="4" spans="1:35" ht="15" customHeight="1">
      <c r="A4" s="21"/>
      <c r="B4" s="576" t="s">
        <v>699</v>
      </c>
      <c r="C4" s="577"/>
      <c r="D4" s="577"/>
      <c r="E4" s="577"/>
      <c r="F4" s="299"/>
      <c r="G4" s="578" t="s">
        <v>700</v>
      </c>
      <c r="H4" s="578"/>
      <c r="I4" s="578"/>
      <c r="J4" s="578"/>
      <c r="K4" s="578"/>
      <c r="L4" s="579"/>
      <c r="N4" s="23"/>
    </row>
    <row r="5" spans="1:35" ht="15" customHeight="1">
      <c r="A5" s="21" t="s">
        <v>440</v>
      </c>
      <c r="B5" s="26">
        <v>0.35</v>
      </c>
      <c r="C5" s="26">
        <v>0.4</v>
      </c>
      <c r="D5" s="26">
        <v>0.25</v>
      </c>
      <c r="E5" s="26">
        <f>SUM(B5:D5)</f>
        <v>1</v>
      </c>
      <c r="F5" s="300"/>
      <c r="G5" s="28">
        <v>0.4</v>
      </c>
      <c r="H5" s="28">
        <v>0.2</v>
      </c>
      <c r="I5" s="28">
        <v>0.15</v>
      </c>
      <c r="J5" s="28">
        <v>0.15</v>
      </c>
      <c r="K5" s="28">
        <v>0.05</v>
      </c>
      <c r="L5" s="28">
        <v>0.05</v>
      </c>
      <c r="M5" s="29">
        <f>SUM(G5:L5)</f>
        <v>1.0000000000000002</v>
      </c>
      <c r="N5" s="23"/>
    </row>
    <row r="6" spans="1:35" s="34" customFormat="1" ht="72.95" thickBot="1">
      <c r="A6" s="30" t="s">
        <v>75</v>
      </c>
      <c r="B6" s="15" t="s">
        <v>82</v>
      </c>
      <c r="C6" s="15" t="s">
        <v>84</v>
      </c>
      <c r="D6" s="15" t="s">
        <v>86</v>
      </c>
      <c r="E6" s="31" t="s">
        <v>701</v>
      </c>
      <c r="F6" s="32" t="s">
        <v>702</v>
      </c>
      <c r="G6" s="15" t="s">
        <v>119</v>
      </c>
      <c r="H6" s="15" t="s">
        <v>111</v>
      </c>
      <c r="I6" s="15" t="s">
        <v>109</v>
      </c>
      <c r="J6" s="15" t="s">
        <v>113</v>
      </c>
      <c r="K6" s="15" t="s">
        <v>658</v>
      </c>
      <c r="L6" s="15" t="s">
        <v>688</v>
      </c>
      <c r="M6" s="33" t="s">
        <v>703</v>
      </c>
      <c r="N6" s="33" t="s">
        <v>704</v>
      </c>
    </row>
    <row r="7" spans="1:35" ht="15" customHeigh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35">
        <f>SUMPRODUCT($B$5:$D$5, B7:D7)</f>
        <v>0.99999999999999978</v>
      </c>
      <c r="F7" s="301" cm="1">
        <f t="array" ref="F7">_xlfn.IFS(E7&lt;$E$58, 1, E7&gt;$E$59, 3, E7&lt;$E$59, 2)</f>
        <v>1</v>
      </c>
      <c r="G7" s="20" cm="1">
        <f t="array" ref="G7">_xlfn.XLOOKUP($G$6, 'Metric Categories 1-14'!$B$7:$FM$7, _xlfn.XLOOKUP(A7, 'Metric Categories 1-14'!$A$8:$A$57, 'Metric Categories 1-14'!$B$8:$FM$57))</f>
        <v>2.1999999999999997</v>
      </c>
      <c r="H7" s="20" cm="1">
        <f t="array" ref="H7">_xlfn.XLOOKUP($H$6, 'Metric Categories 1-14'!$B$7:$FM$7, _xlfn.XLOOKUP(A7, 'Metric Categories 1-14'!$A$8:$A$57, 'Metric Categories 1-14'!$B$8:$FM$57))</f>
        <v>1</v>
      </c>
      <c r="I7" s="20" cm="1">
        <f t="array" ref="I7">_xlfn.XLOOKUP($I$6, 'Metric Categories 1-14'!$B$7:$FM$7, _xlfn.XLOOKUP(A7, 'Metric Categories 1-14'!$A$8:$A$57, 'Metric Categories 1-14'!$B$8:$FM$57))</f>
        <v>1.8</v>
      </c>
      <c r="J7" s="20" cm="1">
        <f t="array" ref="J7">_xlfn.XLOOKUP($J$6, 'Metric Categories 1-14'!$B$7:$FM$7, _xlfn.XLOOKUP(A7, 'Metric Categories 1-14'!$A$8:$A$57, 'Metric Categories 1-14'!$B$8:$FM$57))</f>
        <v>1.4</v>
      </c>
      <c r="K7" s="20" cm="1">
        <f t="array" ref="K7">_xlfn.XLOOKUP($K$6, '15. Workforce Calcs'!$B$8:$BG$8, _xlfn.XLOOKUP(A7, '15. Workforce Calcs'!$A$10:$A$59, '15. Workforce Calcs'!$B$10:$BG$59))</f>
        <v>2</v>
      </c>
      <c r="L7" s="20" cm="1">
        <f t="array" ref="L7">_xlfn.XLOOKUP($L$6, '16. Existing HQs and Projects'!$B$8:$Q$8, _xlfn.XLOOKUP(A7,'16. Existing HQs and Projects'!$A$9:$A$58, '16. Existing HQs and Projects'!$B$9:$Q$58))</f>
        <v>1</v>
      </c>
      <c r="M7" s="37">
        <f>SUMPRODUCT($G$5:$L$5,G7:L7)</f>
        <v>1.71</v>
      </c>
      <c r="N7" s="37" cm="1">
        <f t="array" ref="N7">_xlfn.IFS(M7&lt;$M$58, 1, M7&gt;$M$59, 3, M7&lt;$M$59, 2)</f>
        <v>2</v>
      </c>
    </row>
    <row r="8" spans="1:35">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35">
        <f t="shared" ref="E8:E56" si="0">SUMPRODUCT($B$5:$D$5, B8:D8)</f>
        <v>0.99999999999999978</v>
      </c>
      <c r="F8" s="301" cm="1">
        <f t="array" ref="F8">_xlfn.IFS(E8&lt;$E$58, 1, E8&gt;$E$59, 3, E8&lt;$E$59, 2)</f>
        <v>1</v>
      </c>
      <c r="G8" s="20" cm="1">
        <f t="array" ref="G8">_xlfn.XLOOKUP($G$6, 'Metric Categories 1-14'!$B$7:$FM$7, _xlfn.XLOOKUP(A8, 'Metric Categories 1-14'!$A$8:$A$57, 'Metric Categories 1-14'!$B$8:$FM$57))</f>
        <v>3</v>
      </c>
      <c r="H8" s="20" cm="1">
        <f t="array" ref="H8">_xlfn.XLOOKUP($H$6, 'Metric Categories 1-14'!$B$7:$FM$7, _xlfn.XLOOKUP(A8, 'Metric Categories 1-14'!$A$8:$A$57, 'Metric Categories 1-14'!$B$8:$FM$57))</f>
        <v>2.333333333333333</v>
      </c>
      <c r="I8" s="20" cm="1">
        <f t="array" ref="I8">_xlfn.XLOOKUP($I$6, 'Metric Categories 1-14'!$B$7:$FM$7, _xlfn.XLOOKUP(A8, 'Metric Categories 1-14'!$A$8:$A$57, 'Metric Categories 1-14'!$B$8:$FM$57))</f>
        <v>0.99999999999999989</v>
      </c>
      <c r="J8" s="20" cm="1">
        <f t="array" ref="J8">_xlfn.XLOOKUP($J$6, 'Metric Categories 1-14'!$B$7:$FM$7, _xlfn.XLOOKUP(A8, 'Metric Categories 1-14'!$A$8:$A$57, 'Metric Categories 1-14'!$B$8:$FM$57))</f>
        <v>1</v>
      </c>
      <c r="K8" s="20" cm="1">
        <f t="array" ref="K8">_xlfn.XLOOKUP($K$6, '15. Workforce Calcs'!$B$8:$BG$8, _xlfn.XLOOKUP(A8, '15. Workforce Calcs'!$A$10:$A$59, '15. Workforce Calcs'!$B$10:$BG$59))</f>
        <v>1</v>
      </c>
      <c r="L8" s="20" cm="1">
        <f t="array" ref="L8">_xlfn.XLOOKUP($L$6, '16. Existing HQs and Projects'!$B$8:$Q$8, _xlfn.XLOOKUP(A8,'16. Existing HQs and Projects'!$A$9:$A$58, '16. Existing HQs and Projects'!$B$9:$Q$58))</f>
        <v>1</v>
      </c>
      <c r="M8" s="37">
        <f t="shared" ref="M8:M56" si="1">SUMPRODUCT($G$5:$L$5,G8:L8)</f>
        <v>2.0666666666666664</v>
      </c>
      <c r="N8" s="37" cm="1">
        <f t="array" ref="N8">_xlfn.IFS(M8&lt;$M$58, 1, M8&gt;$M$59, 3, M8&lt;$M$59, 2)</f>
        <v>3</v>
      </c>
    </row>
    <row r="9" spans="1:35">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35">
        <f t="shared" si="0"/>
        <v>1.0874999999999999</v>
      </c>
      <c r="F9" s="301" cm="1">
        <f t="array" ref="F9">_xlfn.IFS(E9&lt;$E$58, 1, E9&gt;$E$59, 3, E9&lt;$E$59, 2)</f>
        <v>1</v>
      </c>
      <c r="G9" s="20" cm="1">
        <f t="array" ref="G9">_xlfn.XLOOKUP($G$6, 'Metric Categories 1-14'!$B$7:$FM$7, _xlfn.XLOOKUP(A9, 'Metric Categories 1-14'!$A$8:$A$57, 'Metric Categories 1-14'!$B$8:$FM$57))</f>
        <v>2.5999999999999996</v>
      </c>
      <c r="H9" s="20" cm="1">
        <f t="array" ref="H9">_xlfn.XLOOKUP($H$6, 'Metric Categories 1-14'!$B$7:$FM$7, _xlfn.XLOOKUP(A9, 'Metric Categories 1-14'!$A$8:$A$57, 'Metric Categories 1-14'!$B$8:$FM$57))</f>
        <v>2.6666666666666665</v>
      </c>
      <c r="I9" s="20" cm="1">
        <f t="array" ref="I9">_xlfn.XLOOKUP($I$6, 'Metric Categories 1-14'!$B$7:$FM$7, _xlfn.XLOOKUP(A9, 'Metric Categories 1-14'!$A$8:$A$57, 'Metric Categories 1-14'!$B$8:$FM$57))</f>
        <v>2.5</v>
      </c>
      <c r="J9" s="20" cm="1">
        <f t="array" ref="J9">_xlfn.XLOOKUP($J$6, 'Metric Categories 1-14'!$B$7:$FM$7, _xlfn.XLOOKUP(A9, 'Metric Categories 1-14'!$A$8:$A$57, 'Metric Categories 1-14'!$B$8:$FM$57))</f>
        <v>1.2000000000000002</v>
      </c>
      <c r="K9" s="20" cm="1">
        <f t="array" ref="K9">_xlfn.XLOOKUP($K$6, '15. Workforce Calcs'!$B$8:$BG$8, _xlfn.XLOOKUP(A9, '15. Workforce Calcs'!$A$10:$A$59, '15. Workforce Calcs'!$B$10:$BG$59))</f>
        <v>2</v>
      </c>
      <c r="L9" s="20" cm="1">
        <f t="array" ref="L9">_xlfn.XLOOKUP($L$6, '16. Existing HQs and Projects'!$B$8:$Q$8, _xlfn.XLOOKUP(A9,'16. Existing HQs and Projects'!$A$9:$A$58, '16. Existing HQs and Projects'!$B$9:$Q$58))</f>
        <v>1</v>
      </c>
      <c r="M9" s="37">
        <f t="shared" si="1"/>
        <v>2.2783333333333333</v>
      </c>
      <c r="N9" s="37" cm="1">
        <f t="array" ref="N9">_xlfn.IFS(M9&lt;$M$58, 1, M9&gt;$M$59, 3, M9&lt;$M$59, 2)</f>
        <v>3</v>
      </c>
    </row>
    <row r="10" spans="1:35">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35">
        <f t="shared" si="0"/>
        <v>1.1749999999999998</v>
      </c>
      <c r="F10" s="301" cm="1">
        <f t="array" ref="F10">_xlfn.IFS(E10&lt;$E$58, 1, E10&gt;$E$59, 3, E10&lt;$E$59, 2)</f>
        <v>2</v>
      </c>
      <c r="G10" s="20" cm="1">
        <f t="array" ref="G10">_xlfn.XLOOKUP($G$6, 'Metric Categories 1-14'!$B$7:$FM$7, _xlfn.XLOOKUP(A10, 'Metric Categories 1-14'!$A$8:$A$57, 'Metric Categories 1-14'!$B$8:$FM$57))</f>
        <v>2.4000000000000004</v>
      </c>
      <c r="H10" s="20" cm="1">
        <f t="array" ref="H10">_xlfn.XLOOKUP($H$6, 'Metric Categories 1-14'!$B$7:$FM$7, _xlfn.XLOOKUP(A10, 'Metric Categories 1-14'!$A$8:$A$57, 'Metric Categories 1-14'!$B$8:$FM$57))</f>
        <v>1</v>
      </c>
      <c r="I10" s="20" cm="1">
        <f t="array" ref="I10">_xlfn.XLOOKUP($I$6, 'Metric Categories 1-14'!$B$7:$FM$7, _xlfn.XLOOKUP(A10, 'Metric Categories 1-14'!$A$8:$A$57, 'Metric Categories 1-14'!$B$8:$FM$57))</f>
        <v>2.1</v>
      </c>
      <c r="J10" s="20" cm="1">
        <f t="array" ref="J10">_xlfn.XLOOKUP($J$6, 'Metric Categories 1-14'!$B$7:$FM$7, _xlfn.XLOOKUP(A10, 'Metric Categories 1-14'!$A$8:$A$57, 'Metric Categories 1-14'!$B$8:$FM$57))</f>
        <v>1.2000000000000002</v>
      </c>
      <c r="K10" s="20" cm="1">
        <f t="array" ref="K10">_xlfn.XLOOKUP($K$6, '15. Workforce Calcs'!$B$8:$BG$8, _xlfn.XLOOKUP(A10, '15. Workforce Calcs'!$A$10:$A$59, '15. Workforce Calcs'!$B$10:$BG$59))</f>
        <v>1</v>
      </c>
      <c r="L10" s="20" cm="1">
        <f t="array" ref="L10">_xlfn.XLOOKUP($L$6, '16. Existing HQs and Projects'!$B$8:$Q$8, _xlfn.XLOOKUP(A10,'16. Existing HQs and Projects'!$A$9:$A$58, '16. Existing HQs and Projects'!$B$9:$Q$58))</f>
        <v>1</v>
      </c>
      <c r="M10" s="37">
        <f t="shared" si="1"/>
        <v>1.7550000000000001</v>
      </c>
      <c r="N10" s="37" cm="1">
        <f t="array" ref="N10">_xlfn.IFS(M10&lt;$M$58, 1, M10&gt;$M$59, 3, M10&lt;$M$59, 2)</f>
        <v>2</v>
      </c>
    </row>
    <row r="11" spans="1:35" ht="15">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35">
        <f t="shared" si="0"/>
        <v>2.3699999999999997</v>
      </c>
      <c r="F11" s="301" cm="1">
        <f t="array" ref="F11">_xlfn.IFS(E11&lt;$E$58, 1, E11&gt;$E$59, 3, E11&lt;$E$59, 2)</f>
        <v>3</v>
      </c>
      <c r="G11" s="20" cm="1">
        <f t="array" ref="G11">_xlfn.XLOOKUP($G$6, 'Metric Categories 1-14'!$B$7:$FM$7, _xlfn.XLOOKUP(A11, 'Metric Categories 1-14'!$A$8:$A$57, 'Metric Categories 1-14'!$B$8:$FM$57))</f>
        <v>3</v>
      </c>
      <c r="H11" s="20" cm="1">
        <f t="array" ref="H11">_xlfn.XLOOKUP($H$6, 'Metric Categories 1-14'!$B$7:$FM$7, _xlfn.XLOOKUP(A11, 'Metric Categories 1-14'!$A$8:$A$57, 'Metric Categories 1-14'!$B$8:$FM$57))</f>
        <v>2.333333333333333</v>
      </c>
      <c r="I11" s="20" cm="1">
        <f t="array" ref="I11">_xlfn.XLOOKUP($I$6, 'Metric Categories 1-14'!$B$7:$FM$7, _xlfn.XLOOKUP(A11, 'Metric Categories 1-14'!$A$8:$A$57, 'Metric Categories 1-14'!$B$8:$FM$57))</f>
        <v>2.8999999999999995</v>
      </c>
      <c r="J11" s="20" cm="1">
        <f t="array" ref="J11">_xlfn.XLOOKUP($J$6, 'Metric Categories 1-14'!$B$7:$FM$7, _xlfn.XLOOKUP(A11, 'Metric Categories 1-14'!$A$8:$A$57, 'Metric Categories 1-14'!$B$8:$FM$57))</f>
        <v>2.2000000000000002</v>
      </c>
      <c r="K11" s="20" cm="1">
        <f t="array" ref="K11">_xlfn.XLOOKUP($K$6, '15. Workforce Calcs'!$B$8:$BG$8, _xlfn.XLOOKUP(A11, '15. Workforce Calcs'!$A$10:$A$59, '15. Workforce Calcs'!$B$10:$BG$59))</f>
        <v>3</v>
      </c>
      <c r="L11" s="20" cm="1">
        <f t="array" ref="L11">_xlfn.XLOOKUP($L$6, '16. Existing HQs and Projects'!$B$8:$Q$8, _xlfn.XLOOKUP(A11,'16. Existing HQs and Projects'!$A$9:$A$58, '16. Existing HQs and Projects'!$B$9:$Q$58))</f>
        <v>3</v>
      </c>
      <c r="M11" s="37">
        <f t="shared" si="1"/>
        <v>2.7316666666666665</v>
      </c>
      <c r="N11" s="37" cm="1">
        <f t="array" ref="N11">_xlfn.IFS(M11&lt;$M$58, 1, M11&gt;$M$59, 3, M11&lt;$M$59, 2)</f>
        <v>3</v>
      </c>
    </row>
    <row r="12" spans="1:35" ht="15">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35">
        <f t="shared" si="0"/>
        <v>1.8624999999999998</v>
      </c>
      <c r="F12" s="301" cm="1">
        <f t="array" ref="F12">_xlfn.IFS(E12&lt;$E$58, 1, E12&gt;$E$59, 3, E12&lt;$E$59, 2)</f>
        <v>3</v>
      </c>
      <c r="G12" s="20" cm="1">
        <f t="array" ref="G12">_xlfn.XLOOKUP($G$6, 'Metric Categories 1-14'!$B$7:$FM$7, _xlfn.XLOOKUP(A12, 'Metric Categories 1-14'!$A$8:$A$57, 'Metric Categories 1-14'!$B$8:$FM$57))</f>
        <v>2.4000000000000004</v>
      </c>
      <c r="H12" s="20" cm="1">
        <f t="array" ref="H12">_xlfn.XLOOKUP($H$6, 'Metric Categories 1-14'!$B$7:$FM$7, _xlfn.XLOOKUP(A12, 'Metric Categories 1-14'!$A$8:$A$57, 'Metric Categories 1-14'!$B$8:$FM$57))</f>
        <v>2</v>
      </c>
      <c r="I12" s="20" cm="1">
        <f t="array" ref="I12">_xlfn.XLOOKUP($I$6, 'Metric Categories 1-14'!$B$7:$FM$7, _xlfn.XLOOKUP(A12, 'Metric Categories 1-14'!$A$8:$A$57, 'Metric Categories 1-14'!$B$8:$FM$57))</f>
        <v>2.4000000000000004</v>
      </c>
      <c r="J12" s="20" cm="1">
        <f t="array" ref="J12">_xlfn.XLOOKUP($J$6, 'Metric Categories 1-14'!$B$7:$FM$7, _xlfn.XLOOKUP(A12, 'Metric Categories 1-14'!$A$8:$A$57, 'Metric Categories 1-14'!$B$8:$FM$57))</f>
        <v>2.2000000000000002</v>
      </c>
      <c r="K12" s="20" cm="1">
        <f t="array" ref="K12">_xlfn.XLOOKUP($K$6, '15. Workforce Calcs'!$B$8:$BG$8, _xlfn.XLOOKUP(A12, '15. Workforce Calcs'!$A$10:$A$59, '15. Workforce Calcs'!$B$10:$BG$59))</f>
        <v>2</v>
      </c>
      <c r="L12" s="20" cm="1">
        <f t="array" ref="L12">_xlfn.XLOOKUP($L$6, '16. Existing HQs and Projects'!$B$8:$Q$8, _xlfn.XLOOKUP(A12,'16. Existing HQs and Projects'!$A$9:$A$58, '16. Existing HQs and Projects'!$B$9:$Q$58))</f>
        <v>1</v>
      </c>
      <c r="M12" s="37">
        <f t="shared" si="1"/>
        <v>2.2000000000000002</v>
      </c>
      <c r="N12" s="37" cm="1">
        <f t="array" ref="N12">_xlfn.IFS(M12&lt;$M$58, 1, M12&gt;$M$59, 3, M12&lt;$M$59, 2)</f>
        <v>3</v>
      </c>
      <c r="O12" s="422"/>
      <c r="P12" s="422"/>
    </row>
    <row r="13" spans="1:35" ht="15">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35">
        <f t="shared" si="0"/>
        <v>1.8299999999999998</v>
      </c>
      <c r="F13" s="301" cm="1">
        <f t="array" ref="F13">_xlfn.IFS(E13&lt;$E$58, 1, E13&gt;$E$59, 3, E13&lt;$E$59, 2)</f>
        <v>3</v>
      </c>
      <c r="G13" s="20" cm="1">
        <f t="array" ref="G13">_xlfn.XLOOKUP($G$6, 'Metric Categories 1-14'!$B$7:$FM$7, _xlfn.XLOOKUP(A13, 'Metric Categories 1-14'!$A$8:$A$57, 'Metric Categories 1-14'!$B$8:$FM$57))</f>
        <v>1</v>
      </c>
      <c r="H13" s="20" cm="1">
        <f t="array" ref="H13">_xlfn.XLOOKUP($H$6, 'Metric Categories 1-14'!$B$7:$FM$7, _xlfn.XLOOKUP(A13, 'Metric Categories 1-14'!$A$8:$A$57, 'Metric Categories 1-14'!$B$8:$FM$57))</f>
        <v>2</v>
      </c>
      <c r="I13" s="20" cm="1">
        <f t="array" ref="I13">_xlfn.XLOOKUP($I$6, 'Metric Categories 1-14'!$B$7:$FM$7, _xlfn.XLOOKUP(A13, 'Metric Categories 1-14'!$A$8:$A$57, 'Metric Categories 1-14'!$B$8:$FM$57))</f>
        <v>1.7</v>
      </c>
      <c r="J13" s="20" cm="1">
        <f t="array" ref="J13">_xlfn.XLOOKUP($J$6, 'Metric Categories 1-14'!$B$7:$FM$7, _xlfn.XLOOKUP(A13, 'Metric Categories 1-14'!$A$8:$A$57, 'Metric Categories 1-14'!$B$8:$FM$57))</f>
        <v>1</v>
      </c>
      <c r="K13" s="20" cm="1">
        <f t="array" ref="K13">_xlfn.XLOOKUP($K$6, '15. Workforce Calcs'!$B$8:$BG$8, _xlfn.XLOOKUP(A13, '15. Workforce Calcs'!$A$10:$A$59, '15. Workforce Calcs'!$B$10:$BG$59))</f>
        <v>1</v>
      </c>
      <c r="L13" s="20" cm="1">
        <f t="array" ref="L13">_xlfn.XLOOKUP($L$6, '16. Existing HQs and Projects'!$B$8:$Q$8, _xlfn.XLOOKUP(A13,'16. Existing HQs and Projects'!$A$9:$A$58, '16. Existing HQs and Projects'!$B$9:$Q$58))</f>
        <v>3</v>
      </c>
      <c r="M13" s="37">
        <f t="shared" si="1"/>
        <v>1.4050000000000002</v>
      </c>
      <c r="N13" s="37" cm="1">
        <f t="array" ref="N13">_xlfn.IFS(M13&lt;$M$58, 1, M13&gt;$M$59, 3, M13&lt;$M$59, 2)</f>
        <v>1</v>
      </c>
      <c r="O13" s="12"/>
    </row>
    <row r="14" spans="1:35" ht="15">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35">
        <f t="shared" si="0"/>
        <v>1.57</v>
      </c>
      <c r="F14" s="301" cm="1">
        <f t="array" ref="F14">_xlfn.IFS(E14&lt;$E$58, 1, E14&gt;$E$59, 3, E14&lt;$E$59, 2)</f>
        <v>3</v>
      </c>
      <c r="G14" s="20" cm="1">
        <f t="array" ref="G14">_xlfn.XLOOKUP($G$6, 'Metric Categories 1-14'!$B$7:$FM$7, _xlfn.XLOOKUP(A14, 'Metric Categories 1-14'!$A$8:$A$57, 'Metric Categories 1-14'!$B$8:$FM$57))</f>
        <v>1</v>
      </c>
      <c r="H14" s="20" cm="1">
        <f t="array" ref="H14">_xlfn.XLOOKUP($H$6, 'Metric Categories 1-14'!$B$7:$FM$7, _xlfn.XLOOKUP(A14, 'Metric Categories 1-14'!$A$8:$A$57, 'Metric Categories 1-14'!$B$8:$FM$57))</f>
        <v>1</v>
      </c>
      <c r="I14" s="20" cm="1">
        <f t="array" ref="I14">_xlfn.XLOOKUP($I$6, 'Metric Categories 1-14'!$B$7:$FM$7, _xlfn.XLOOKUP(A14, 'Metric Categories 1-14'!$A$8:$A$57, 'Metric Categories 1-14'!$B$8:$FM$57))</f>
        <v>1.3</v>
      </c>
      <c r="J14" s="20" cm="1">
        <f t="array" ref="J14">_xlfn.XLOOKUP($J$6, 'Metric Categories 1-14'!$B$7:$FM$7, _xlfn.XLOOKUP(A14, 'Metric Categories 1-14'!$A$8:$A$57, 'Metric Categories 1-14'!$B$8:$FM$57))</f>
        <v>1</v>
      </c>
      <c r="K14" s="20" cm="1">
        <f t="array" ref="K14">_xlfn.XLOOKUP($K$6, '15. Workforce Calcs'!$B$8:$BG$8, _xlfn.XLOOKUP(A14, '15. Workforce Calcs'!$A$10:$A$59, '15. Workforce Calcs'!$B$10:$BG$59))</f>
        <v>1</v>
      </c>
      <c r="L14" s="20" cm="1">
        <f t="array" ref="L14">_xlfn.XLOOKUP($L$6, '16. Existing HQs and Projects'!$B$8:$Q$8, _xlfn.XLOOKUP(A14,'16. Existing HQs and Projects'!$A$9:$A$58, '16. Existing HQs and Projects'!$B$9:$Q$58))</f>
        <v>1</v>
      </c>
      <c r="M14" s="37">
        <f t="shared" si="1"/>
        <v>1.0450000000000002</v>
      </c>
      <c r="N14" s="37" cm="1">
        <f t="array" ref="N14">_xlfn.IFS(M14&lt;$M$58, 1, M14&gt;$M$59, 3, M14&lt;$M$59, 2)</f>
        <v>1</v>
      </c>
      <c r="O14" s="12"/>
    </row>
    <row r="15" spans="1:35" ht="15">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35">
        <f t="shared" si="0"/>
        <v>1.3574999999999999</v>
      </c>
      <c r="F15" s="301" cm="1">
        <f t="array" ref="F15">_xlfn.IFS(E15&lt;$E$58, 1, E15&gt;$E$59, 3, E15&lt;$E$59, 2)</f>
        <v>2</v>
      </c>
      <c r="G15" s="20" cm="1">
        <f t="array" ref="G15">_xlfn.XLOOKUP($G$6, 'Metric Categories 1-14'!$B$7:$FM$7, _xlfn.XLOOKUP(A15, 'Metric Categories 1-14'!$A$8:$A$57, 'Metric Categories 1-14'!$B$8:$FM$57))</f>
        <v>3</v>
      </c>
      <c r="H15" s="20" cm="1">
        <f t="array" ref="H15">_xlfn.XLOOKUP($H$6, 'Metric Categories 1-14'!$B$7:$FM$7, _xlfn.XLOOKUP(A15, 'Metric Categories 1-14'!$A$8:$A$57, 'Metric Categories 1-14'!$B$8:$FM$57))</f>
        <v>1.3333333333333333</v>
      </c>
      <c r="I15" s="20" cm="1">
        <f t="array" ref="I15">_xlfn.XLOOKUP($I$6, 'Metric Categories 1-14'!$B$7:$FM$7, _xlfn.XLOOKUP(A15, 'Metric Categories 1-14'!$A$8:$A$57, 'Metric Categories 1-14'!$B$8:$FM$57))</f>
        <v>1.2</v>
      </c>
      <c r="J15" s="20" cm="1">
        <f t="array" ref="J15">_xlfn.XLOOKUP($J$6, 'Metric Categories 1-14'!$B$7:$FM$7, _xlfn.XLOOKUP(A15, 'Metric Categories 1-14'!$A$8:$A$57, 'Metric Categories 1-14'!$B$8:$FM$57))</f>
        <v>1.2000000000000002</v>
      </c>
      <c r="K15" s="20" cm="1">
        <f t="array" ref="K15">_xlfn.XLOOKUP($K$6, '15. Workforce Calcs'!$B$8:$BG$8, _xlfn.XLOOKUP(A15, '15. Workforce Calcs'!$A$10:$A$59, '15. Workforce Calcs'!$B$10:$BG$59))</f>
        <v>3</v>
      </c>
      <c r="L15" s="20" cm="1">
        <f t="array" ref="L15">_xlfn.XLOOKUP($L$6, '16. Existing HQs and Projects'!$B$8:$Q$8, _xlfn.XLOOKUP(A15,'16. Existing HQs and Projects'!$A$9:$A$58, '16. Existing HQs and Projects'!$B$9:$Q$58))</f>
        <v>1</v>
      </c>
      <c r="M15" s="37">
        <f t="shared" si="1"/>
        <v>2.0266666666666664</v>
      </c>
      <c r="N15" s="37" cm="1">
        <f t="array" ref="N15">_xlfn.IFS(M15&lt;$M$58, 1, M15&gt;$M$59, 3, M15&lt;$M$59, 2)</f>
        <v>3</v>
      </c>
    </row>
    <row r="16" spans="1:35" ht="15">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35">
        <f t="shared" si="0"/>
        <v>1.1499999999999997</v>
      </c>
      <c r="F16" s="301" cm="1">
        <f t="array" ref="F16">_xlfn.IFS(E16&lt;$E$58, 1, E16&gt;$E$59, 3, E16&lt;$E$59, 2)</f>
        <v>2</v>
      </c>
      <c r="G16" s="20" cm="1">
        <f t="array" ref="G16">_xlfn.XLOOKUP($G$6, 'Metric Categories 1-14'!$B$7:$FM$7, _xlfn.XLOOKUP(A16, 'Metric Categories 1-14'!$A$8:$A$57, 'Metric Categories 1-14'!$B$8:$FM$57))</f>
        <v>2.5999999999999996</v>
      </c>
      <c r="H16" s="20" cm="1">
        <f t="array" ref="H16">_xlfn.XLOOKUP($H$6, 'Metric Categories 1-14'!$B$7:$FM$7, _xlfn.XLOOKUP(A16, 'Metric Categories 1-14'!$A$8:$A$57, 'Metric Categories 1-14'!$B$8:$FM$57))</f>
        <v>1.3333333333333333</v>
      </c>
      <c r="I16" s="20" cm="1">
        <f t="array" ref="I16">_xlfn.XLOOKUP($I$6, 'Metric Categories 1-14'!$B$7:$FM$7, _xlfn.XLOOKUP(A16, 'Metric Categories 1-14'!$A$8:$A$57, 'Metric Categories 1-14'!$B$8:$FM$57))</f>
        <v>1.9999999999999998</v>
      </c>
      <c r="J16" s="20" cm="1">
        <f t="array" ref="J16">_xlfn.XLOOKUP($J$6, 'Metric Categories 1-14'!$B$7:$FM$7, _xlfn.XLOOKUP(A16, 'Metric Categories 1-14'!$A$8:$A$57, 'Metric Categories 1-14'!$B$8:$FM$57))</f>
        <v>1.2000000000000002</v>
      </c>
      <c r="K16" s="20" cm="1">
        <f t="array" ref="K16">_xlfn.XLOOKUP($K$6, '15. Workforce Calcs'!$B$8:$BG$8, _xlfn.XLOOKUP(A16, '15. Workforce Calcs'!$A$10:$A$59, '15. Workforce Calcs'!$B$10:$BG$59))</f>
        <v>3</v>
      </c>
      <c r="L16" s="20" cm="1">
        <f t="array" ref="L16">_xlfn.XLOOKUP($L$6, '16. Existing HQs and Projects'!$B$8:$Q$8, _xlfn.XLOOKUP(A16,'16. Existing HQs and Projects'!$A$9:$A$58, '16. Existing HQs and Projects'!$B$9:$Q$58))</f>
        <v>1</v>
      </c>
      <c r="M16" s="37">
        <f t="shared" si="1"/>
        <v>1.9866666666666666</v>
      </c>
      <c r="N16" s="37" cm="1">
        <f t="array" ref="N16">_xlfn.IFS(M16&lt;$M$58, 1, M16&gt;$M$59, 3, M16&lt;$M$59, 2)</f>
        <v>2</v>
      </c>
    </row>
    <row r="17" spans="1:14">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35">
        <f t="shared" si="0"/>
        <v>1.6324999999999998</v>
      </c>
      <c r="F17" s="301" cm="1">
        <f t="array" ref="F17">_xlfn.IFS(E17&lt;$E$58, 1, E17&gt;$E$59, 3, E17&lt;$E$59, 2)</f>
        <v>3</v>
      </c>
      <c r="G17" s="20" cm="1">
        <f t="array" ref="G17">_xlfn.XLOOKUP($G$6, 'Metric Categories 1-14'!$B$7:$FM$7, _xlfn.XLOOKUP(A17, 'Metric Categories 1-14'!$A$8:$A$57, 'Metric Categories 1-14'!$B$8:$FM$57))</f>
        <v>1</v>
      </c>
      <c r="H17" s="20" cm="1">
        <f t="array" ref="H17">_xlfn.XLOOKUP($H$6, 'Metric Categories 1-14'!$B$7:$FM$7, _xlfn.XLOOKUP(A17, 'Metric Categories 1-14'!$A$8:$A$57, 'Metric Categories 1-14'!$B$8:$FM$57))</f>
        <v>1</v>
      </c>
      <c r="I17" s="20" cm="1">
        <f t="array" ref="I17">_xlfn.XLOOKUP($I$6, 'Metric Categories 1-14'!$B$7:$FM$7, _xlfn.XLOOKUP(A17, 'Metric Categories 1-14'!$A$8:$A$57, 'Metric Categories 1-14'!$B$8:$FM$57))</f>
        <v>1.8000000000000003</v>
      </c>
      <c r="J17" s="20" cm="1">
        <f t="array" ref="J17">_xlfn.XLOOKUP($J$6, 'Metric Categories 1-14'!$B$7:$FM$7, _xlfn.XLOOKUP(A17, 'Metric Categories 1-14'!$A$8:$A$57, 'Metric Categories 1-14'!$B$8:$FM$57))</f>
        <v>1</v>
      </c>
      <c r="K17" s="20" cm="1">
        <f t="array" ref="K17">_xlfn.XLOOKUP($K$6, '15. Workforce Calcs'!$B$8:$BG$8, _xlfn.XLOOKUP(A17, '15. Workforce Calcs'!$A$10:$A$59, '15. Workforce Calcs'!$B$10:$BG$59))</f>
        <v>1</v>
      </c>
      <c r="L17" s="20" cm="1">
        <f t="array" ref="L17">_xlfn.XLOOKUP($L$6, '16. Existing HQs and Projects'!$B$8:$Q$8, _xlfn.XLOOKUP(A17,'16. Existing HQs and Projects'!$A$9:$A$58, '16. Existing HQs and Projects'!$B$9:$Q$58))</f>
        <v>1</v>
      </c>
      <c r="M17" s="37">
        <f t="shared" si="1"/>
        <v>1.1200000000000001</v>
      </c>
      <c r="N17" s="37" cm="1">
        <f t="array" ref="N17">_xlfn.IFS(M17&lt;$M$58, 1, M17&gt;$M$59, 3, M17&lt;$M$59, 2)</f>
        <v>1</v>
      </c>
    </row>
    <row r="18" spans="1:14">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35">
        <f t="shared" si="0"/>
        <v>1.1499999999999997</v>
      </c>
      <c r="F18" s="301" cm="1">
        <f t="array" ref="F18">_xlfn.IFS(E18&lt;$E$58, 1, E18&gt;$E$59, 3, E18&lt;$E$59, 2)</f>
        <v>2</v>
      </c>
      <c r="G18" s="20" cm="1">
        <f t="array" ref="G18">_xlfn.XLOOKUP($G$6, 'Metric Categories 1-14'!$B$7:$FM$7, _xlfn.XLOOKUP(A18, 'Metric Categories 1-14'!$A$8:$A$57, 'Metric Categories 1-14'!$B$8:$FM$57))</f>
        <v>1.8000000000000003</v>
      </c>
      <c r="H18" s="20" cm="1">
        <f t="array" ref="H18">_xlfn.XLOOKUP($H$6, 'Metric Categories 1-14'!$B$7:$FM$7, _xlfn.XLOOKUP(A18, 'Metric Categories 1-14'!$A$8:$A$57, 'Metric Categories 1-14'!$B$8:$FM$57))</f>
        <v>2</v>
      </c>
      <c r="I18" s="20" cm="1">
        <f t="array" ref="I18">_xlfn.XLOOKUP($I$6, 'Metric Categories 1-14'!$B$7:$FM$7, _xlfn.XLOOKUP(A18, 'Metric Categories 1-14'!$A$8:$A$57, 'Metric Categories 1-14'!$B$8:$FM$57))</f>
        <v>2.8999999999999995</v>
      </c>
      <c r="J18" s="20" cm="1">
        <f t="array" ref="J18">_xlfn.XLOOKUP($J$6, 'Metric Categories 1-14'!$B$7:$FM$7, _xlfn.XLOOKUP(A18, 'Metric Categories 1-14'!$A$8:$A$57, 'Metric Categories 1-14'!$B$8:$FM$57))</f>
        <v>1</v>
      </c>
      <c r="K18" s="20" cm="1">
        <f t="array" ref="K18">_xlfn.XLOOKUP($K$6, '15. Workforce Calcs'!$B$8:$BG$8, _xlfn.XLOOKUP(A18, '15. Workforce Calcs'!$A$10:$A$59, '15. Workforce Calcs'!$B$10:$BG$59))</f>
        <v>1</v>
      </c>
      <c r="L18" s="20" cm="1">
        <f t="array" ref="L18">_xlfn.XLOOKUP($L$6, '16. Existing HQs and Projects'!$B$8:$Q$8, _xlfn.XLOOKUP(A18,'16. Existing HQs and Projects'!$A$9:$A$58, '16. Existing HQs and Projects'!$B$9:$Q$58))</f>
        <v>1</v>
      </c>
      <c r="M18" s="37">
        <f t="shared" si="1"/>
        <v>1.8049999999999999</v>
      </c>
      <c r="N18" s="37" cm="1">
        <f t="array" ref="N18">_xlfn.IFS(M18&lt;$M$58, 1, M18&gt;$M$59, 3, M18&lt;$M$59, 2)</f>
        <v>2</v>
      </c>
    </row>
    <row r="19" spans="1:14">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35">
        <f t="shared" si="0"/>
        <v>1.6549999999999998</v>
      </c>
      <c r="F19" s="301" cm="1">
        <f t="array" ref="F19">_xlfn.IFS(E19&lt;$E$58, 1, E19&gt;$E$59, 3, E19&lt;$E$59, 2)</f>
        <v>3</v>
      </c>
      <c r="G19" s="20" cm="1">
        <f t="array" ref="G19">_xlfn.XLOOKUP($G$6, 'Metric Categories 1-14'!$B$7:$FM$7, _xlfn.XLOOKUP(A19, 'Metric Categories 1-14'!$A$8:$A$57, 'Metric Categories 1-14'!$B$8:$FM$57))</f>
        <v>1.6</v>
      </c>
      <c r="H19" s="20" cm="1">
        <f t="array" ref="H19">_xlfn.XLOOKUP($H$6, 'Metric Categories 1-14'!$B$7:$FM$7, _xlfn.XLOOKUP(A19, 'Metric Categories 1-14'!$A$8:$A$57, 'Metric Categories 1-14'!$B$8:$FM$57))</f>
        <v>1</v>
      </c>
      <c r="I19" s="20" cm="1">
        <f t="array" ref="I19">_xlfn.XLOOKUP($I$6, 'Metric Categories 1-14'!$B$7:$FM$7, _xlfn.XLOOKUP(A19, 'Metric Categories 1-14'!$A$8:$A$57, 'Metric Categories 1-14'!$B$8:$FM$57))</f>
        <v>1.9999999999999998</v>
      </c>
      <c r="J19" s="20" cm="1">
        <f t="array" ref="J19">_xlfn.XLOOKUP($J$6, 'Metric Categories 1-14'!$B$7:$FM$7, _xlfn.XLOOKUP(A19, 'Metric Categories 1-14'!$A$8:$A$57, 'Metric Categories 1-14'!$B$8:$FM$57))</f>
        <v>2.2000000000000002</v>
      </c>
      <c r="K19" s="20" cm="1">
        <f t="array" ref="K19">_xlfn.XLOOKUP($K$6, '15. Workforce Calcs'!$B$8:$BG$8, _xlfn.XLOOKUP(A19, '15. Workforce Calcs'!$A$10:$A$59, '15. Workforce Calcs'!$B$10:$BG$59))</f>
        <v>3</v>
      </c>
      <c r="L19" s="20" cm="1">
        <f t="array" ref="L19">_xlfn.XLOOKUP($L$6, '16. Existing HQs and Projects'!$B$8:$Q$8, _xlfn.XLOOKUP(A19,'16. Existing HQs and Projects'!$A$9:$A$58, '16. Existing HQs and Projects'!$B$9:$Q$58))</f>
        <v>1</v>
      </c>
      <c r="M19" s="37">
        <f t="shared" si="1"/>
        <v>1.6700000000000002</v>
      </c>
      <c r="N19" s="37" cm="1">
        <f t="array" ref="N19">_xlfn.IFS(M19&lt;$M$58, 1, M19&gt;$M$59, 3, M19&lt;$M$59, 2)</f>
        <v>2</v>
      </c>
    </row>
    <row r="20" spans="1:14">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35">
        <f t="shared" si="0"/>
        <v>1.1499999999999997</v>
      </c>
      <c r="F20" s="301" cm="1">
        <f t="array" ref="F20">_xlfn.IFS(E20&lt;$E$58, 1, E20&gt;$E$59, 3, E20&lt;$E$59, 2)</f>
        <v>2</v>
      </c>
      <c r="G20" s="20" cm="1">
        <f t="array" ref="G20">_xlfn.XLOOKUP($G$6, 'Metric Categories 1-14'!$B$7:$FM$7, _xlfn.XLOOKUP(A20, 'Metric Categories 1-14'!$A$8:$A$57, 'Metric Categories 1-14'!$B$8:$FM$57))</f>
        <v>2.4000000000000004</v>
      </c>
      <c r="H20" s="20" cm="1">
        <f t="array" ref="H20">_xlfn.XLOOKUP($H$6, 'Metric Categories 1-14'!$B$7:$FM$7, _xlfn.XLOOKUP(A20, 'Metric Categories 1-14'!$A$8:$A$57, 'Metric Categories 1-14'!$B$8:$FM$57))</f>
        <v>1</v>
      </c>
      <c r="I20" s="20" cm="1">
        <f t="array" ref="I20">_xlfn.XLOOKUP($I$6, 'Metric Categories 1-14'!$B$7:$FM$7, _xlfn.XLOOKUP(A20, 'Metric Categories 1-14'!$A$8:$A$57, 'Metric Categories 1-14'!$B$8:$FM$57))</f>
        <v>1.7999999999999998</v>
      </c>
      <c r="J20" s="20" cm="1">
        <f t="array" ref="J20">_xlfn.XLOOKUP($J$6, 'Metric Categories 1-14'!$B$7:$FM$7, _xlfn.XLOOKUP(A20, 'Metric Categories 1-14'!$A$8:$A$57, 'Metric Categories 1-14'!$B$8:$FM$57))</f>
        <v>2.2000000000000002</v>
      </c>
      <c r="K20" s="20" cm="1">
        <f t="array" ref="K20">_xlfn.XLOOKUP($K$6, '15. Workforce Calcs'!$B$8:$BG$8, _xlfn.XLOOKUP(A20, '15. Workforce Calcs'!$A$10:$A$59, '15. Workforce Calcs'!$B$10:$BG$59))</f>
        <v>3</v>
      </c>
      <c r="L20" s="20" cm="1">
        <f t="array" ref="L20">_xlfn.XLOOKUP($L$6, '16. Existing HQs and Projects'!$B$8:$Q$8, _xlfn.XLOOKUP(A20,'16. Existing HQs and Projects'!$A$9:$A$58, '16. Existing HQs and Projects'!$B$9:$Q$58))</f>
        <v>1</v>
      </c>
      <c r="M20" s="37">
        <f t="shared" si="1"/>
        <v>1.9600000000000002</v>
      </c>
      <c r="N20" s="37" cm="1">
        <f t="array" ref="N20">_xlfn.IFS(M20&lt;$M$58, 1, M20&gt;$M$59, 3, M20&lt;$M$59, 2)</f>
        <v>2</v>
      </c>
    </row>
    <row r="21" spans="1:14">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35">
        <f t="shared" si="0"/>
        <v>1.1749999999999998</v>
      </c>
      <c r="F21" s="301" cm="1">
        <f t="array" ref="F21">_xlfn.IFS(E21&lt;$E$58, 1, E21&gt;$E$59, 3, E21&lt;$E$59, 2)</f>
        <v>2</v>
      </c>
      <c r="G21" s="20" cm="1">
        <f t="array" ref="G21">_xlfn.XLOOKUP($G$6, 'Metric Categories 1-14'!$B$7:$FM$7, _xlfn.XLOOKUP(A21, 'Metric Categories 1-14'!$A$8:$A$57, 'Metric Categories 1-14'!$B$8:$FM$57))</f>
        <v>2.4000000000000004</v>
      </c>
      <c r="H21" s="20" cm="1">
        <f t="array" ref="H21">_xlfn.XLOOKUP($H$6, 'Metric Categories 1-14'!$B$7:$FM$7, _xlfn.XLOOKUP(A21, 'Metric Categories 1-14'!$A$8:$A$57, 'Metric Categories 1-14'!$B$8:$FM$57))</f>
        <v>1</v>
      </c>
      <c r="I21" s="20" cm="1">
        <f t="array" ref="I21">_xlfn.XLOOKUP($I$6, 'Metric Categories 1-14'!$B$7:$FM$7, _xlfn.XLOOKUP(A21, 'Metric Categories 1-14'!$A$8:$A$57, 'Metric Categories 1-14'!$B$8:$FM$57))</f>
        <v>2.5000000000000004</v>
      </c>
      <c r="J21" s="20" cm="1">
        <f t="array" ref="J21">_xlfn.XLOOKUP($J$6, 'Metric Categories 1-14'!$B$7:$FM$7, _xlfn.XLOOKUP(A21, 'Metric Categories 1-14'!$A$8:$A$57, 'Metric Categories 1-14'!$B$8:$FM$57))</f>
        <v>1.4</v>
      </c>
      <c r="K21" s="20" cm="1">
        <f t="array" ref="K21">_xlfn.XLOOKUP($K$6, '15. Workforce Calcs'!$B$8:$BG$8, _xlfn.XLOOKUP(A21, '15. Workforce Calcs'!$A$10:$A$59, '15. Workforce Calcs'!$B$10:$BG$59))</f>
        <v>2</v>
      </c>
      <c r="L21" s="20" cm="1">
        <f t="array" ref="L21">_xlfn.XLOOKUP($L$6, '16. Existing HQs and Projects'!$B$8:$Q$8, _xlfn.XLOOKUP(A21,'16. Existing HQs and Projects'!$A$9:$A$58, '16. Existing HQs and Projects'!$B$9:$Q$58))</f>
        <v>1</v>
      </c>
      <c r="M21" s="37">
        <f t="shared" si="1"/>
        <v>1.8950000000000002</v>
      </c>
      <c r="N21" s="37" cm="1">
        <f t="array" ref="N21">_xlfn.IFS(M21&lt;$M$58, 1, M21&gt;$M$59, 3, M21&lt;$M$59, 2)</f>
        <v>2</v>
      </c>
    </row>
    <row r="22" spans="1:14">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35">
        <f t="shared" si="0"/>
        <v>0.91999999999999993</v>
      </c>
      <c r="F22" s="301" cm="1">
        <f t="array" ref="F22">_xlfn.IFS(E22&lt;$E$58, 1, E22&gt;$E$59, 3, E22&lt;$E$59, 2)</f>
        <v>1</v>
      </c>
      <c r="G22" s="20" cm="1">
        <f t="array" ref="G22">_xlfn.XLOOKUP($G$6, 'Metric Categories 1-14'!$B$7:$FM$7, _xlfn.XLOOKUP(A22, 'Metric Categories 1-14'!$A$8:$A$57, 'Metric Categories 1-14'!$B$8:$FM$57))</f>
        <v>2.4000000000000004</v>
      </c>
      <c r="H22" s="20" cm="1">
        <f t="array" ref="H22">_xlfn.XLOOKUP($H$6, 'Metric Categories 1-14'!$B$7:$FM$7, _xlfn.XLOOKUP(A22, 'Metric Categories 1-14'!$A$8:$A$57, 'Metric Categories 1-14'!$B$8:$FM$57))</f>
        <v>1</v>
      </c>
      <c r="I22" s="20" cm="1">
        <f t="array" ref="I22">_xlfn.XLOOKUP($I$6, 'Metric Categories 1-14'!$B$7:$FM$7, _xlfn.XLOOKUP(A22, 'Metric Categories 1-14'!$A$8:$A$57, 'Metric Categories 1-14'!$B$8:$FM$57))</f>
        <v>2.8</v>
      </c>
      <c r="J22" s="20" cm="1">
        <f t="array" ref="J22">_xlfn.XLOOKUP($J$6, 'Metric Categories 1-14'!$B$7:$FM$7, _xlfn.XLOOKUP(A22, 'Metric Categories 1-14'!$A$8:$A$57, 'Metric Categories 1-14'!$B$8:$FM$57))</f>
        <v>1.8000000000000003</v>
      </c>
      <c r="K22" s="20" cm="1">
        <f t="array" ref="K22">_xlfn.XLOOKUP($K$6, '15. Workforce Calcs'!$B$8:$BG$8, _xlfn.XLOOKUP(A22, '15. Workforce Calcs'!$A$10:$A$59, '15. Workforce Calcs'!$B$10:$BG$59))</f>
        <v>2</v>
      </c>
      <c r="L22" s="20" cm="1">
        <f t="array" ref="L22">_xlfn.XLOOKUP($L$6, '16. Existing HQs and Projects'!$B$8:$Q$8, _xlfn.XLOOKUP(A22,'16. Existing HQs and Projects'!$A$9:$A$58, '16. Existing HQs and Projects'!$B$9:$Q$58))</f>
        <v>1</v>
      </c>
      <c r="M22" s="37">
        <f t="shared" si="1"/>
        <v>2</v>
      </c>
      <c r="N22" s="37" cm="1">
        <f t="array" ref="N22">_xlfn.IFS(M22&lt;$M$58, 1, M22&gt;$M$59, 3, M22&lt;$M$59, 2)</f>
        <v>3</v>
      </c>
    </row>
    <row r="23" spans="1:14">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35">
        <f t="shared" si="0"/>
        <v>1.3325</v>
      </c>
      <c r="F23" s="301" cm="1">
        <f t="array" ref="F23">_xlfn.IFS(E23&lt;$E$58, 1, E23&gt;$E$59, 3, E23&lt;$E$59, 2)</f>
        <v>2</v>
      </c>
      <c r="G23" s="20" cm="1">
        <f t="array" ref="G23">_xlfn.XLOOKUP($G$6, 'Metric Categories 1-14'!$B$7:$FM$7, _xlfn.XLOOKUP(A23, 'Metric Categories 1-14'!$A$8:$A$57, 'Metric Categories 1-14'!$B$8:$FM$57))</f>
        <v>2</v>
      </c>
      <c r="H23" s="20" cm="1">
        <f t="array" ref="H23">_xlfn.XLOOKUP($H$6, 'Metric Categories 1-14'!$B$7:$FM$7, _xlfn.XLOOKUP(A23, 'Metric Categories 1-14'!$A$8:$A$57, 'Metric Categories 1-14'!$B$8:$FM$57))</f>
        <v>1</v>
      </c>
      <c r="I23" s="20" cm="1">
        <f t="array" ref="I23">_xlfn.XLOOKUP($I$6, 'Metric Categories 1-14'!$B$7:$FM$7, _xlfn.XLOOKUP(A23, 'Metric Categories 1-14'!$A$8:$A$57, 'Metric Categories 1-14'!$B$8:$FM$57))</f>
        <v>1.2</v>
      </c>
      <c r="J23" s="20" cm="1">
        <f t="array" ref="J23">_xlfn.XLOOKUP($J$6, 'Metric Categories 1-14'!$B$7:$FM$7, _xlfn.XLOOKUP(A23, 'Metric Categories 1-14'!$A$8:$A$57, 'Metric Categories 1-14'!$B$8:$FM$57))</f>
        <v>1.2000000000000002</v>
      </c>
      <c r="K23" s="20" cm="1">
        <f t="array" ref="K23">_xlfn.XLOOKUP($K$6, '15. Workforce Calcs'!$B$8:$BG$8, _xlfn.XLOOKUP(A23, '15. Workforce Calcs'!$A$10:$A$59, '15. Workforce Calcs'!$B$10:$BG$59))</f>
        <v>2</v>
      </c>
      <c r="L23" s="20" cm="1">
        <f t="array" ref="L23">_xlfn.XLOOKUP($L$6, '16. Existing HQs and Projects'!$B$8:$Q$8, _xlfn.XLOOKUP(A23,'16. Existing HQs and Projects'!$A$9:$A$58, '16. Existing HQs and Projects'!$B$9:$Q$58))</f>
        <v>1</v>
      </c>
      <c r="M23" s="37">
        <f t="shared" si="1"/>
        <v>1.51</v>
      </c>
      <c r="N23" s="37" cm="1">
        <f t="array" ref="N23">_xlfn.IFS(M23&lt;$M$58, 1, M23&gt;$M$59, 3, M23&lt;$M$59, 2)</f>
        <v>1</v>
      </c>
    </row>
    <row r="24" spans="1:14">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35">
        <f t="shared" si="0"/>
        <v>1.355</v>
      </c>
      <c r="F24" s="301" cm="1">
        <f t="array" ref="F24">_xlfn.IFS(E24&lt;$E$58, 1, E24&gt;$E$59, 3, E24&lt;$E$59, 2)</f>
        <v>2</v>
      </c>
      <c r="G24" s="20" cm="1">
        <f t="array" ref="G24">_xlfn.XLOOKUP($G$6, 'Metric Categories 1-14'!$B$7:$FM$7, _xlfn.XLOOKUP(A24, 'Metric Categories 1-14'!$A$8:$A$57, 'Metric Categories 1-14'!$B$8:$FM$57))</f>
        <v>1.6</v>
      </c>
      <c r="H24" s="20" cm="1">
        <f t="array" ref="H24">_xlfn.XLOOKUP($H$6, 'Metric Categories 1-14'!$B$7:$FM$7, _xlfn.XLOOKUP(A24, 'Metric Categories 1-14'!$A$8:$A$57, 'Metric Categories 1-14'!$B$8:$FM$57))</f>
        <v>1</v>
      </c>
      <c r="I24" s="20" cm="1">
        <f t="array" ref="I24">_xlfn.XLOOKUP($I$6, 'Metric Categories 1-14'!$B$7:$FM$7, _xlfn.XLOOKUP(A24, 'Metric Categories 1-14'!$A$8:$A$57, 'Metric Categories 1-14'!$B$8:$FM$57))</f>
        <v>1.2999999999999998</v>
      </c>
      <c r="J24" s="20" cm="1">
        <f t="array" ref="J24">_xlfn.XLOOKUP($J$6, 'Metric Categories 1-14'!$B$7:$FM$7, _xlfn.XLOOKUP(A24, 'Metric Categories 1-14'!$A$8:$A$57, 'Metric Categories 1-14'!$B$8:$FM$57))</f>
        <v>3.0000000000000004</v>
      </c>
      <c r="K24" s="20" cm="1">
        <f t="array" ref="K24">_xlfn.XLOOKUP($K$6, '15. Workforce Calcs'!$B$8:$BG$8, _xlfn.XLOOKUP(A24, '15. Workforce Calcs'!$A$10:$A$59, '15. Workforce Calcs'!$B$10:$BG$59))</f>
        <v>3</v>
      </c>
      <c r="L24" s="20" cm="1">
        <f t="array" ref="L24">_xlfn.XLOOKUP($L$6, '16. Existing HQs and Projects'!$B$8:$Q$8, _xlfn.XLOOKUP(A24,'16. Existing HQs and Projects'!$A$9:$A$58, '16. Existing HQs and Projects'!$B$9:$Q$58))</f>
        <v>1</v>
      </c>
      <c r="M24" s="37">
        <f t="shared" si="1"/>
        <v>1.6850000000000003</v>
      </c>
      <c r="N24" s="37" cm="1">
        <f t="array" ref="N24">_xlfn.IFS(M24&lt;$M$58, 1, M24&gt;$M$59, 3, M24&lt;$M$59, 2)</f>
        <v>2</v>
      </c>
    </row>
    <row r="25" spans="1:14">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35">
        <f t="shared" si="0"/>
        <v>1.6500000000000001</v>
      </c>
      <c r="F25" s="301" cm="1">
        <f t="array" ref="F25">_xlfn.IFS(E25&lt;$E$58, 1, E25&gt;$E$59, 3, E25&lt;$E$59, 2)</f>
        <v>3</v>
      </c>
      <c r="G25" s="20" cm="1">
        <f t="array" ref="G25">_xlfn.XLOOKUP($G$6, 'Metric Categories 1-14'!$B$7:$FM$7, _xlfn.XLOOKUP(A25, 'Metric Categories 1-14'!$A$8:$A$57, 'Metric Categories 1-14'!$B$8:$FM$57))</f>
        <v>1</v>
      </c>
      <c r="H25" s="20" cm="1">
        <f t="array" ref="H25">_xlfn.XLOOKUP($H$6, 'Metric Categories 1-14'!$B$7:$FM$7, _xlfn.XLOOKUP(A25, 'Metric Categories 1-14'!$A$8:$A$57, 'Metric Categories 1-14'!$B$8:$FM$57))</f>
        <v>1.3333333333333333</v>
      </c>
      <c r="I25" s="20" cm="1">
        <f t="array" ref="I25">_xlfn.XLOOKUP($I$6, 'Metric Categories 1-14'!$B$7:$FM$7, _xlfn.XLOOKUP(A25, 'Metric Categories 1-14'!$A$8:$A$57, 'Metric Categories 1-14'!$B$8:$FM$57))</f>
        <v>2.5</v>
      </c>
      <c r="J25" s="20" cm="1">
        <f t="array" ref="J25">_xlfn.XLOOKUP($J$6, 'Metric Categories 1-14'!$B$7:$FM$7, _xlfn.XLOOKUP(A25, 'Metric Categories 1-14'!$A$8:$A$57, 'Metric Categories 1-14'!$B$8:$FM$57))</f>
        <v>1</v>
      </c>
      <c r="K25" s="20" cm="1">
        <f t="array" ref="K25">_xlfn.XLOOKUP($K$6, '15. Workforce Calcs'!$B$8:$BG$8, _xlfn.XLOOKUP(A25, '15. Workforce Calcs'!$A$10:$A$59, '15. Workforce Calcs'!$B$10:$BG$59))</f>
        <v>1</v>
      </c>
      <c r="L25" s="20" cm="1">
        <f t="array" ref="L25">_xlfn.XLOOKUP($L$6, '16. Existing HQs and Projects'!$B$8:$Q$8, _xlfn.XLOOKUP(A25,'16. Existing HQs and Projects'!$A$9:$A$58, '16. Existing HQs and Projects'!$B$9:$Q$58))</f>
        <v>1</v>
      </c>
      <c r="M25" s="37">
        <f t="shared" si="1"/>
        <v>1.2916666666666667</v>
      </c>
      <c r="N25" s="37" cm="1">
        <f t="array" ref="N25">_xlfn.IFS(M25&lt;$M$58, 1, M25&gt;$M$59, 3, M25&lt;$M$59, 2)</f>
        <v>1</v>
      </c>
    </row>
    <row r="26" spans="1:14">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35">
        <f t="shared" si="0"/>
        <v>1.77</v>
      </c>
      <c r="F26" s="301" cm="1">
        <f t="array" ref="F26">_xlfn.IFS(E26&lt;$E$58, 1, E26&gt;$E$59, 3, E26&lt;$E$59, 2)</f>
        <v>3</v>
      </c>
      <c r="G26" s="20" cm="1">
        <f t="array" ref="G26">_xlfn.XLOOKUP($G$6, 'Metric Categories 1-14'!$B$7:$FM$7, _xlfn.XLOOKUP(A26, 'Metric Categories 1-14'!$A$8:$A$57, 'Metric Categories 1-14'!$B$8:$FM$57))</f>
        <v>1.8000000000000003</v>
      </c>
      <c r="H26" s="20" cm="1">
        <f t="array" ref="H26">_xlfn.XLOOKUP($H$6, 'Metric Categories 1-14'!$B$7:$FM$7, _xlfn.XLOOKUP(A26, 'Metric Categories 1-14'!$A$8:$A$57, 'Metric Categories 1-14'!$B$8:$FM$57))</f>
        <v>1</v>
      </c>
      <c r="I26" s="20" cm="1">
        <f t="array" ref="I26">_xlfn.XLOOKUP($I$6, 'Metric Categories 1-14'!$B$7:$FM$7, _xlfn.XLOOKUP(A26, 'Metric Categories 1-14'!$A$8:$A$57, 'Metric Categories 1-14'!$B$8:$FM$57))</f>
        <v>1.2</v>
      </c>
      <c r="J26" s="20" cm="1">
        <f t="array" ref="J26">_xlfn.XLOOKUP($J$6, 'Metric Categories 1-14'!$B$7:$FM$7, _xlfn.XLOOKUP(A26, 'Metric Categories 1-14'!$A$8:$A$57, 'Metric Categories 1-14'!$B$8:$FM$57))</f>
        <v>1</v>
      </c>
      <c r="K26" s="20" cm="1">
        <f t="array" ref="K26">_xlfn.XLOOKUP($K$6, '15. Workforce Calcs'!$B$8:$BG$8, _xlfn.XLOOKUP(A26, '15. Workforce Calcs'!$A$10:$A$59, '15. Workforce Calcs'!$B$10:$BG$59))</f>
        <v>2</v>
      </c>
      <c r="L26" s="20" cm="1">
        <f t="array" ref="L26">_xlfn.XLOOKUP($L$6, '16. Existing HQs and Projects'!$B$8:$Q$8, _xlfn.XLOOKUP(A26,'16. Existing HQs and Projects'!$A$9:$A$58, '16. Existing HQs and Projects'!$B$9:$Q$58))</f>
        <v>1</v>
      </c>
      <c r="M26" s="37">
        <f t="shared" si="1"/>
        <v>1.4000000000000001</v>
      </c>
      <c r="N26" s="37" cm="1">
        <f t="array" ref="N26">_xlfn.IFS(M26&lt;$M$58, 1, M26&gt;$M$59, 3, M26&lt;$M$59, 2)</f>
        <v>1</v>
      </c>
    </row>
    <row r="27" spans="1:14">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35">
        <f t="shared" si="0"/>
        <v>2.1</v>
      </c>
      <c r="F27" s="301" cm="1">
        <f t="array" ref="F27">_xlfn.IFS(E27&lt;$E$58, 1, E27&gt;$E$59, 3, E27&lt;$E$59, 2)</f>
        <v>3</v>
      </c>
      <c r="G27" s="20" cm="1">
        <f t="array" ref="G27">_xlfn.XLOOKUP($G$6, 'Metric Categories 1-14'!$B$7:$FM$7, _xlfn.XLOOKUP(A27, 'Metric Categories 1-14'!$A$8:$A$57, 'Metric Categories 1-14'!$B$8:$FM$57))</f>
        <v>1.4</v>
      </c>
      <c r="H27" s="20" cm="1">
        <f t="array" ref="H27">_xlfn.XLOOKUP($H$6, 'Metric Categories 1-14'!$B$7:$FM$7, _xlfn.XLOOKUP(A27, 'Metric Categories 1-14'!$A$8:$A$57, 'Metric Categories 1-14'!$B$8:$FM$57))</f>
        <v>1</v>
      </c>
      <c r="I27" s="20" cm="1">
        <f t="array" ref="I27">_xlfn.XLOOKUP($I$6, 'Metric Categories 1-14'!$B$7:$FM$7, _xlfn.XLOOKUP(A27, 'Metric Categories 1-14'!$A$8:$A$57, 'Metric Categories 1-14'!$B$8:$FM$57))</f>
        <v>1.4000000000000001</v>
      </c>
      <c r="J27" s="20" cm="1">
        <f t="array" ref="J27">_xlfn.XLOOKUP($J$6, 'Metric Categories 1-14'!$B$7:$FM$7, _xlfn.XLOOKUP(A27, 'Metric Categories 1-14'!$A$8:$A$57, 'Metric Categories 1-14'!$B$8:$FM$57))</f>
        <v>1</v>
      </c>
      <c r="K27" s="20" cm="1">
        <f t="array" ref="K27">_xlfn.XLOOKUP($K$6, '15. Workforce Calcs'!$B$8:$BG$8, _xlfn.XLOOKUP(A27, '15. Workforce Calcs'!$A$10:$A$59, '15. Workforce Calcs'!$B$10:$BG$59))</f>
        <v>2</v>
      </c>
      <c r="L27" s="20" cm="1">
        <f t="array" ref="L27">_xlfn.XLOOKUP($L$6, '16. Existing HQs and Projects'!$B$8:$Q$8, _xlfn.XLOOKUP(A27,'16. Existing HQs and Projects'!$A$9:$A$58, '16. Existing HQs and Projects'!$B$9:$Q$58))</f>
        <v>1</v>
      </c>
      <c r="M27" s="37">
        <f t="shared" si="1"/>
        <v>1.27</v>
      </c>
      <c r="N27" s="37" cm="1">
        <f t="array" ref="N27">_xlfn.IFS(M27&lt;$M$58, 1, M27&gt;$M$59, 3, M27&lt;$M$59, 2)</f>
        <v>1</v>
      </c>
    </row>
    <row r="28" spans="1:14">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35">
        <f t="shared" si="0"/>
        <v>1.5274999999999999</v>
      </c>
      <c r="F28" s="301" cm="1">
        <f t="array" ref="F28">_xlfn.IFS(E28&lt;$E$58, 1, E28&gt;$E$59, 3, E28&lt;$E$59, 2)</f>
        <v>2</v>
      </c>
      <c r="G28" s="20" cm="1">
        <f t="array" ref="G28">_xlfn.XLOOKUP($G$6, 'Metric Categories 1-14'!$B$7:$FM$7, _xlfn.XLOOKUP(A28, 'Metric Categories 1-14'!$A$8:$A$57, 'Metric Categories 1-14'!$B$8:$FM$57))</f>
        <v>3</v>
      </c>
      <c r="H28" s="20" cm="1">
        <f t="array" ref="H28">_xlfn.XLOOKUP($H$6, 'Metric Categories 1-14'!$B$7:$FM$7, _xlfn.XLOOKUP(A28, 'Metric Categories 1-14'!$A$8:$A$57, 'Metric Categories 1-14'!$B$8:$FM$57))</f>
        <v>1.3333333333333333</v>
      </c>
      <c r="I28" s="20" cm="1">
        <f t="array" ref="I28">_xlfn.XLOOKUP($I$6, 'Metric Categories 1-14'!$B$7:$FM$7, _xlfn.XLOOKUP(A28, 'Metric Categories 1-14'!$A$8:$A$57, 'Metric Categories 1-14'!$B$8:$FM$57))</f>
        <v>1.4999999999999998</v>
      </c>
      <c r="J28" s="20" cm="1">
        <f t="array" ref="J28">_xlfn.XLOOKUP($J$6, 'Metric Categories 1-14'!$B$7:$FM$7, _xlfn.XLOOKUP(A28, 'Metric Categories 1-14'!$A$8:$A$57, 'Metric Categories 1-14'!$B$8:$FM$57))</f>
        <v>1.4</v>
      </c>
      <c r="K28" s="20" cm="1">
        <f t="array" ref="K28">_xlfn.XLOOKUP($K$6, '15. Workforce Calcs'!$B$8:$BG$8, _xlfn.XLOOKUP(A28, '15. Workforce Calcs'!$A$10:$A$59, '15. Workforce Calcs'!$B$10:$BG$59))</f>
        <v>3</v>
      </c>
      <c r="L28" s="20" cm="1">
        <f t="array" ref="L28">_xlfn.XLOOKUP($L$6, '16. Existing HQs and Projects'!$B$8:$Q$8, _xlfn.XLOOKUP(A28,'16. Existing HQs and Projects'!$A$9:$A$58, '16. Existing HQs and Projects'!$B$9:$Q$58))</f>
        <v>1</v>
      </c>
      <c r="M28" s="37">
        <f t="shared" si="1"/>
        <v>2.1016666666666666</v>
      </c>
      <c r="N28" s="37" cm="1">
        <f t="array" ref="N28">_xlfn.IFS(M28&lt;$M$58, 1, M28&gt;$M$59, 3, M28&lt;$M$59, 2)</f>
        <v>3</v>
      </c>
    </row>
    <row r="29" spans="1:14">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35">
        <f t="shared" si="0"/>
        <v>1.93</v>
      </c>
      <c r="F29" s="301" cm="1">
        <f t="array" ref="F29">_xlfn.IFS(E29&lt;$E$58, 1, E29&gt;$E$59, 3, E29&lt;$E$59, 2)</f>
        <v>3</v>
      </c>
      <c r="G29" s="20" cm="1">
        <f t="array" ref="G29">_xlfn.XLOOKUP($G$6, 'Metric Categories 1-14'!$B$7:$FM$7, _xlfn.XLOOKUP(A29, 'Metric Categories 1-14'!$A$8:$A$57, 'Metric Categories 1-14'!$B$8:$FM$57))</f>
        <v>2.1999999999999997</v>
      </c>
      <c r="H29" s="20" cm="1">
        <f t="array" ref="H29">_xlfn.XLOOKUP($H$6, 'Metric Categories 1-14'!$B$7:$FM$7, _xlfn.XLOOKUP(A29, 'Metric Categories 1-14'!$A$8:$A$57, 'Metric Categories 1-14'!$B$8:$FM$57))</f>
        <v>1.3333333333333333</v>
      </c>
      <c r="I29" s="20" cm="1">
        <f t="array" ref="I29">_xlfn.XLOOKUP($I$6, 'Metric Categories 1-14'!$B$7:$FM$7, _xlfn.XLOOKUP(A29, 'Metric Categories 1-14'!$A$8:$A$57, 'Metric Categories 1-14'!$B$8:$FM$57))</f>
        <v>1.9000000000000001</v>
      </c>
      <c r="J29" s="20" cm="1">
        <f t="array" ref="J29">_xlfn.XLOOKUP($J$6, 'Metric Categories 1-14'!$B$7:$FM$7, _xlfn.XLOOKUP(A29, 'Metric Categories 1-14'!$A$8:$A$57, 'Metric Categories 1-14'!$B$8:$FM$57))</f>
        <v>1.4</v>
      </c>
      <c r="K29" s="20" cm="1">
        <f t="array" ref="K29">_xlfn.XLOOKUP($K$6, '15. Workforce Calcs'!$B$8:$BG$8, _xlfn.XLOOKUP(A29, '15. Workforce Calcs'!$A$10:$A$59, '15. Workforce Calcs'!$B$10:$BG$59))</f>
        <v>3</v>
      </c>
      <c r="L29" s="20" cm="1">
        <f t="array" ref="L29">_xlfn.XLOOKUP($L$6, '16. Existing HQs and Projects'!$B$8:$Q$8, _xlfn.XLOOKUP(A29,'16. Existing HQs and Projects'!$A$9:$A$58, '16. Existing HQs and Projects'!$B$9:$Q$58))</f>
        <v>3</v>
      </c>
      <c r="M29" s="37">
        <f t="shared" si="1"/>
        <v>1.9416666666666664</v>
      </c>
      <c r="N29" s="37" cm="1">
        <f t="array" ref="N29">_xlfn.IFS(M29&lt;$M$58, 1, M29&gt;$M$59, 3, M29&lt;$M$59, 2)</f>
        <v>2</v>
      </c>
    </row>
    <row r="30" spans="1:14">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35">
        <f t="shared" si="0"/>
        <v>1.0499999999999998</v>
      </c>
      <c r="F30" s="301" cm="1">
        <f t="array" ref="F30">_xlfn.IFS(E30&lt;$E$58, 1, E30&gt;$E$59, 3, E30&lt;$E$59, 2)</f>
        <v>1</v>
      </c>
      <c r="G30" s="20" cm="1">
        <f t="array" ref="G30">_xlfn.XLOOKUP($G$6, 'Metric Categories 1-14'!$B$7:$FM$7, _xlfn.XLOOKUP(A30, 'Metric Categories 1-14'!$A$8:$A$57, 'Metric Categories 1-14'!$B$8:$FM$57))</f>
        <v>1.8000000000000003</v>
      </c>
      <c r="H30" s="20" cm="1">
        <f t="array" ref="H30">_xlfn.XLOOKUP($H$6, 'Metric Categories 1-14'!$B$7:$FM$7, _xlfn.XLOOKUP(A30, 'Metric Categories 1-14'!$A$8:$A$57, 'Metric Categories 1-14'!$B$8:$FM$57))</f>
        <v>1</v>
      </c>
      <c r="I30" s="20" cm="1">
        <f t="array" ref="I30">_xlfn.XLOOKUP($I$6, 'Metric Categories 1-14'!$B$7:$FM$7, _xlfn.XLOOKUP(A30, 'Metric Categories 1-14'!$A$8:$A$57, 'Metric Categories 1-14'!$B$8:$FM$57))</f>
        <v>1.4000000000000001</v>
      </c>
      <c r="J30" s="20" cm="1">
        <f t="array" ref="J30">_xlfn.XLOOKUP($J$6, 'Metric Categories 1-14'!$B$7:$FM$7, _xlfn.XLOOKUP(A30, 'Metric Categories 1-14'!$A$8:$A$57, 'Metric Categories 1-14'!$B$8:$FM$57))</f>
        <v>2</v>
      </c>
      <c r="K30" s="20" cm="1">
        <f t="array" ref="K30">_xlfn.XLOOKUP($K$6, '15. Workforce Calcs'!$B$8:$BG$8, _xlfn.XLOOKUP(A30, '15. Workforce Calcs'!$A$10:$A$59, '15. Workforce Calcs'!$B$10:$BG$59))</f>
        <v>1</v>
      </c>
      <c r="L30" s="20" cm="1">
        <f t="array" ref="L30">_xlfn.XLOOKUP($L$6, '16. Existing HQs and Projects'!$B$8:$Q$8, _xlfn.XLOOKUP(A30,'16. Existing HQs and Projects'!$A$9:$A$58, '16. Existing HQs and Projects'!$B$9:$Q$58))</f>
        <v>1</v>
      </c>
      <c r="M30" s="37">
        <f t="shared" si="1"/>
        <v>1.5300000000000002</v>
      </c>
      <c r="N30" s="37" cm="1">
        <f t="array" ref="N30">_xlfn.IFS(M30&lt;$M$58, 1, M30&gt;$M$59, 3, M30&lt;$M$59, 2)</f>
        <v>1</v>
      </c>
    </row>
    <row r="31" spans="1:14">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35">
        <f t="shared" si="0"/>
        <v>0.99999999999999978</v>
      </c>
      <c r="F31" s="301" cm="1">
        <f t="array" ref="F31">_xlfn.IFS(E31&lt;$E$58, 1, E31&gt;$E$59, 3, E31&lt;$E$59, 2)</f>
        <v>1</v>
      </c>
      <c r="G31" s="20" cm="1">
        <f t="array" ref="G31">_xlfn.XLOOKUP($G$6, 'Metric Categories 1-14'!$B$7:$FM$7, _xlfn.XLOOKUP(A31, 'Metric Categories 1-14'!$A$8:$A$57, 'Metric Categories 1-14'!$B$8:$FM$57))</f>
        <v>2.1999999999999997</v>
      </c>
      <c r="H31" s="20" cm="1">
        <f t="array" ref="H31">_xlfn.XLOOKUP($H$6, 'Metric Categories 1-14'!$B$7:$FM$7, _xlfn.XLOOKUP(A31, 'Metric Categories 1-14'!$A$8:$A$57, 'Metric Categories 1-14'!$B$8:$FM$57))</f>
        <v>1</v>
      </c>
      <c r="I31" s="20" cm="1">
        <f t="array" ref="I31">_xlfn.XLOOKUP($I$6, 'Metric Categories 1-14'!$B$7:$FM$7, _xlfn.XLOOKUP(A31, 'Metric Categories 1-14'!$A$8:$A$57, 'Metric Categories 1-14'!$B$8:$FM$57))</f>
        <v>1.6999999999999997</v>
      </c>
      <c r="J31" s="20" cm="1">
        <f t="array" ref="J31">_xlfn.XLOOKUP($J$6, 'Metric Categories 1-14'!$B$7:$FM$7, _xlfn.XLOOKUP(A31, 'Metric Categories 1-14'!$A$8:$A$57, 'Metric Categories 1-14'!$B$8:$FM$57))</f>
        <v>1.2000000000000002</v>
      </c>
      <c r="K31" s="20" cm="1">
        <f t="array" ref="K31">_xlfn.XLOOKUP($K$6, '15. Workforce Calcs'!$B$8:$BG$8, _xlfn.XLOOKUP(A31, '15. Workforce Calcs'!$A$10:$A$59, '15. Workforce Calcs'!$B$10:$BG$59))</f>
        <v>2</v>
      </c>
      <c r="L31" s="20" cm="1">
        <f t="array" ref="L31">_xlfn.XLOOKUP($L$6, '16. Existing HQs and Projects'!$B$8:$Q$8, _xlfn.XLOOKUP(A31,'16. Existing HQs and Projects'!$A$9:$A$58, '16. Existing HQs and Projects'!$B$9:$Q$58))</f>
        <v>1</v>
      </c>
      <c r="M31" s="37">
        <f t="shared" si="1"/>
        <v>1.6649999999999998</v>
      </c>
      <c r="N31" s="37" cm="1">
        <f t="array" ref="N31">_xlfn.IFS(M31&lt;$M$58, 1, M31&gt;$M$59, 3, M31&lt;$M$59, 2)</f>
        <v>2</v>
      </c>
    </row>
    <row r="32" spans="1:14">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35">
        <f t="shared" si="0"/>
        <v>1.3674999999999999</v>
      </c>
      <c r="F32" s="301" cm="1">
        <f t="array" ref="F32">_xlfn.IFS(E32&lt;$E$58, 1, E32&gt;$E$59, 3, E32&lt;$E$59, 2)</f>
        <v>2</v>
      </c>
      <c r="G32" s="20" cm="1">
        <f t="array" ref="G32">_xlfn.XLOOKUP($G$6, 'Metric Categories 1-14'!$B$7:$FM$7, _xlfn.XLOOKUP(A32, 'Metric Categories 1-14'!$A$8:$A$57, 'Metric Categories 1-14'!$B$8:$FM$57))</f>
        <v>2.4000000000000004</v>
      </c>
      <c r="H32" s="20" cm="1">
        <f t="array" ref="H32">_xlfn.XLOOKUP($H$6, 'Metric Categories 1-14'!$B$7:$FM$7, _xlfn.XLOOKUP(A32, 'Metric Categories 1-14'!$A$8:$A$57, 'Metric Categories 1-14'!$B$8:$FM$57))</f>
        <v>1.6666666666666665</v>
      </c>
      <c r="I32" s="20" cm="1">
        <f t="array" ref="I32">_xlfn.XLOOKUP($I$6, 'Metric Categories 1-14'!$B$7:$FM$7, _xlfn.XLOOKUP(A32, 'Metric Categories 1-14'!$A$8:$A$57, 'Metric Categories 1-14'!$B$8:$FM$57))</f>
        <v>2.8</v>
      </c>
      <c r="J32" s="20" cm="1">
        <f t="array" ref="J32">_xlfn.XLOOKUP($J$6, 'Metric Categories 1-14'!$B$7:$FM$7, _xlfn.XLOOKUP(A32, 'Metric Categories 1-14'!$A$8:$A$57, 'Metric Categories 1-14'!$B$8:$FM$57))</f>
        <v>2</v>
      </c>
      <c r="K32" s="20" cm="1">
        <f t="array" ref="K32">_xlfn.XLOOKUP($K$6, '15. Workforce Calcs'!$B$8:$BG$8, _xlfn.XLOOKUP(A32, '15. Workforce Calcs'!$A$10:$A$59, '15. Workforce Calcs'!$B$10:$BG$59))</f>
        <v>1</v>
      </c>
      <c r="L32" s="20" cm="1">
        <f t="array" ref="L32">_xlfn.XLOOKUP($L$6, '16. Existing HQs and Projects'!$B$8:$Q$8, _xlfn.XLOOKUP(A32,'16. Existing HQs and Projects'!$A$9:$A$58, '16. Existing HQs and Projects'!$B$9:$Q$58))</f>
        <v>1</v>
      </c>
      <c r="M32" s="37">
        <f t="shared" si="1"/>
        <v>2.1133333333333328</v>
      </c>
      <c r="N32" s="37" cm="1">
        <f t="array" ref="N32">_xlfn.IFS(M32&lt;$M$58, 1, M32&gt;$M$59, 3, M32&lt;$M$59, 2)</f>
        <v>3</v>
      </c>
    </row>
    <row r="33" spans="1:14">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35">
        <f t="shared" si="0"/>
        <v>1.0499999999999998</v>
      </c>
      <c r="F33" s="301" cm="1">
        <f t="array" ref="F33">_xlfn.IFS(E33&lt;$E$58, 1, E33&gt;$E$59, 3, E33&lt;$E$59, 2)</f>
        <v>1</v>
      </c>
      <c r="G33" s="20" cm="1">
        <f t="array" ref="G33">_xlfn.XLOOKUP($G$6, 'Metric Categories 1-14'!$B$7:$FM$7, _xlfn.XLOOKUP(A33, 'Metric Categories 1-14'!$A$8:$A$57, 'Metric Categories 1-14'!$B$8:$FM$57))</f>
        <v>1</v>
      </c>
      <c r="H33" s="20" cm="1">
        <f t="array" ref="H33">_xlfn.XLOOKUP($H$6, 'Metric Categories 1-14'!$B$7:$FM$7, _xlfn.XLOOKUP(A33, 'Metric Categories 1-14'!$A$8:$A$57, 'Metric Categories 1-14'!$B$8:$FM$57))</f>
        <v>1</v>
      </c>
      <c r="I33" s="20" cm="1">
        <f t="array" ref="I33">_xlfn.XLOOKUP($I$6, 'Metric Categories 1-14'!$B$7:$FM$7, _xlfn.XLOOKUP(A33, 'Metric Categories 1-14'!$A$8:$A$57, 'Metric Categories 1-14'!$B$8:$FM$57))</f>
        <v>2.3000000000000003</v>
      </c>
      <c r="J33" s="20" cm="1">
        <f t="array" ref="J33">_xlfn.XLOOKUP($J$6, 'Metric Categories 1-14'!$B$7:$FM$7, _xlfn.XLOOKUP(A33, 'Metric Categories 1-14'!$A$8:$A$57, 'Metric Categories 1-14'!$B$8:$FM$57))</f>
        <v>1.4</v>
      </c>
      <c r="K33" s="20" cm="1">
        <f t="array" ref="K33">_xlfn.XLOOKUP($K$6, '15. Workforce Calcs'!$B$8:$BG$8, _xlfn.XLOOKUP(A33, '15. Workforce Calcs'!$A$10:$A$59, '15. Workforce Calcs'!$B$10:$BG$59))</f>
        <v>1</v>
      </c>
      <c r="L33" s="20" cm="1">
        <f t="array" ref="L33">_xlfn.XLOOKUP($L$6, '16. Existing HQs and Projects'!$B$8:$Q$8, _xlfn.XLOOKUP(A33,'16. Existing HQs and Projects'!$A$9:$A$58, '16. Existing HQs and Projects'!$B$9:$Q$58))</f>
        <v>1</v>
      </c>
      <c r="M33" s="37">
        <f t="shared" si="1"/>
        <v>1.2550000000000001</v>
      </c>
      <c r="N33" s="37" cm="1">
        <f t="array" ref="N33">_xlfn.IFS(M33&lt;$M$58, 1, M33&gt;$M$59, 3, M33&lt;$M$59, 2)</f>
        <v>1</v>
      </c>
    </row>
    <row r="34" spans="1:14">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35">
        <f t="shared" si="0"/>
        <v>1.4024999999999999</v>
      </c>
      <c r="F34" s="301" cm="1">
        <f t="array" ref="F34">_xlfn.IFS(E34&lt;$E$58, 1, E34&gt;$E$59, 3, E34&lt;$E$59, 2)</f>
        <v>2</v>
      </c>
      <c r="G34" s="20" cm="1">
        <f t="array" ref="G34">_xlfn.XLOOKUP($G$6, 'Metric Categories 1-14'!$B$7:$FM$7, _xlfn.XLOOKUP(A34, 'Metric Categories 1-14'!$A$8:$A$57, 'Metric Categories 1-14'!$B$8:$FM$57))</f>
        <v>2.1999999999999997</v>
      </c>
      <c r="H34" s="20" cm="1">
        <f t="array" ref="H34">_xlfn.XLOOKUP($H$6, 'Metric Categories 1-14'!$B$7:$FM$7, _xlfn.XLOOKUP(A34, 'Metric Categories 1-14'!$A$8:$A$57, 'Metric Categories 1-14'!$B$8:$FM$57))</f>
        <v>1.6666666666666665</v>
      </c>
      <c r="I34" s="20" cm="1">
        <f t="array" ref="I34">_xlfn.XLOOKUP($I$6, 'Metric Categories 1-14'!$B$7:$FM$7, _xlfn.XLOOKUP(A34, 'Metric Categories 1-14'!$A$8:$A$57, 'Metric Categories 1-14'!$B$8:$FM$57))</f>
        <v>2.8</v>
      </c>
      <c r="J34" s="20" cm="1">
        <f t="array" ref="J34">_xlfn.XLOOKUP($J$6, 'Metric Categories 1-14'!$B$7:$FM$7, _xlfn.XLOOKUP(A34, 'Metric Categories 1-14'!$A$8:$A$57, 'Metric Categories 1-14'!$B$8:$FM$57))</f>
        <v>1</v>
      </c>
      <c r="K34" s="20" cm="1">
        <f t="array" ref="K34">_xlfn.XLOOKUP($K$6, '15. Workforce Calcs'!$B$8:$BG$8, _xlfn.XLOOKUP(A34, '15. Workforce Calcs'!$A$10:$A$59, '15. Workforce Calcs'!$B$10:$BG$59))</f>
        <v>1</v>
      </c>
      <c r="L34" s="20" cm="1">
        <f t="array" ref="L34">_xlfn.XLOOKUP($L$6, '16. Existing HQs and Projects'!$B$8:$Q$8, _xlfn.XLOOKUP(A34,'16. Existing HQs and Projects'!$A$9:$A$58, '16. Existing HQs and Projects'!$B$9:$Q$58))</f>
        <v>1</v>
      </c>
      <c r="M34" s="37">
        <f t="shared" si="1"/>
        <v>1.8833333333333331</v>
      </c>
      <c r="N34" s="37" cm="1">
        <f t="array" ref="N34">_xlfn.IFS(M34&lt;$M$58, 1, M34&gt;$M$59, 3, M34&lt;$M$59, 2)</f>
        <v>2</v>
      </c>
    </row>
    <row r="35" spans="1:14">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35">
        <f t="shared" si="0"/>
        <v>1.4124999999999999</v>
      </c>
      <c r="F35" s="301" cm="1">
        <f t="array" ref="F35">_xlfn.IFS(E35&lt;$E$58, 1, E35&gt;$E$59, 3, E35&lt;$E$59, 2)</f>
        <v>2</v>
      </c>
      <c r="G35" s="20" cm="1">
        <f t="array" ref="G35">_xlfn.XLOOKUP($G$6, 'Metric Categories 1-14'!$B$7:$FM$7, _xlfn.XLOOKUP(A35, 'Metric Categories 1-14'!$A$8:$A$57, 'Metric Categories 1-14'!$B$8:$FM$57))</f>
        <v>1.4</v>
      </c>
      <c r="H35" s="20" cm="1">
        <f t="array" ref="H35">_xlfn.XLOOKUP($H$6, 'Metric Categories 1-14'!$B$7:$FM$7, _xlfn.XLOOKUP(A35, 'Metric Categories 1-14'!$A$8:$A$57, 'Metric Categories 1-14'!$B$8:$FM$57))</f>
        <v>1</v>
      </c>
      <c r="I35" s="20" cm="1">
        <f t="array" ref="I35">_xlfn.XLOOKUP($I$6, 'Metric Categories 1-14'!$B$7:$FM$7, _xlfn.XLOOKUP(A35, 'Metric Categories 1-14'!$A$8:$A$57, 'Metric Categories 1-14'!$B$8:$FM$57))</f>
        <v>2.1</v>
      </c>
      <c r="J35" s="20" cm="1">
        <f t="array" ref="J35">_xlfn.XLOOKUP($J$6, 'Metric Categories 1-14'!$B$7:$FM$7, _xlfn.XLOOKUP(A35, 'Metric Categories 1-14'!$A$8:$A$57, 'Metric Categories 1-14'!$B$8:$FM$57))</f>
        <v>1</v>
      </c>
      <c r="K35" s="20" cm="1">
        <f t="array" ref="K35">_xlfn.XLOOKUP($K$6, '15. Workforce Calcs'!$B$8:$BG$8, _xlfn.XLOOKUP(A35, '15. Workforce Calcs'!$A$10:$A$59, '15. Workforce Calcs'!$B$10:$BG$59))</f>
        <v>1</v>
      </c>
      <c r="L35" s="20" cm="1">
        <f t="array" ref="L35">_xlfn.XLOOKUP($L$6, '16. Existing HQs and Projects'!$B$8:$Q$8, _xlfn.XLOOKUP(A35,'16. Existing HQs and Projects'!$A$9:$A$58, '16. Existing HQs and Projects'!$B$9:$Q$58))</f>
        <v>1</v>
      </c>
      <c r="M35" s="37">
        <f t="shared" si="1"/>
        <v>1.325</v>
      </c>
      <c r="N35" s="37" cm="1">
        <f t="array" ref="N35">_xlfn.IFS(M35&lt;$M$58, 1, M35&gt;$M$59, 3, M35&lt;$M$59, 2)</f>
        <v>1</v>
      </c>
    </row>
    <row r="36" spans="1:14">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35">
        <f t="shared" si="0"/>
        <v>2.0474999999999999</v>
      </c>
      <c r="F36" s="301" cm="1">
        <f t="array" ref="F36">_xlfn.IFS(E36&lt;$E$58, 1, E36&gt;$E$59, 3, E36&lt;$E$59, 2)</f>
        <v>3</v>
      </c>
      <c r="G36" s="20" cm="1">
        <f t="array" ref="G36">_xlfn.XLOOKUP($G$6, 'Metric Categories 1-14'!$B$7:$FM$7, _xlfn.XLOOKUP(A36, 'Metric Categories 1-14'!$A$8:$A$57, 'Metric Categories 1-14'!$B$8:$FM$57))</f>
        <v>1</v>
      </c>
      <c r="H36" s="20" cm="1">
        <f t="array" ref="H36">_xlfn.XLOOKUP($H$6, 'Metric Categories 1-14'!$B$7:$FM$7, _xlfn.XLOOKUP(A36, 'Metric Categories 1-14'!$A$8:$A$57, 'Metric Categories 1-14'!$B$8:$FM$57))</f>
        <v>1.6666666666666665</v>
      </c>
      <c r="I36" s="20" cm="1">
        <f t="array" ref="I36">_xlfn.XLOOKUP($I$6, 'Metric Categories 1-14'!$B$7:$FM$7, _xlfn.XLOOKUP(A36, 'Metric Categories 1-14'!$A$8:$A$57, 'Metric Categories 1-14'!$B$8:$FM$57))</f>
        <v>1.3</v>
      </c>
      <c r="J36" s="20" cm="1">
        <f t="array" ref="J36">_xlfn.XLOOKUP($J$6, 'Metric Categories 1-14'!$B$7:$FM$7, _xlfn.XLOOKUP(A36, 'Metric Categories 1-14'!$A$8:$A$57, 'Metric Categories 1-14'!$B$8:$FM$57))</f>
        <v>1</v>
      </c>
      <c r="K36" s="20" cm="1">
        <f t="array" ref="K36">_xlfn.XLOOKUP($K$6, '15. Workforce Calcs'!$B$8:$BG$8, _xlfn.XLOOKUP(A36, '15. Workforce Calcs'!$A$10:$A$59, '15. Workforce Calcs'!$B$10:$BG$59))</f>
        <v>3</v>
      </c>
      <c r="L36" s="20" cm="1">
        <f t="array" ref="L36">_xlfn.XLOOKUP($L$6, '16. Existing HQs and Projects'!$B$8:$Q$8, _xlfn.XLOOKUP(A36,'16. Existing HQs and Projects'!$A$9:$A$58, '16. Existing HQs and Projects'!$B$9:$Q$58))</f>
        <v>1</v>
      </c>
      <c r="M36" s="37">
        <f t="shared" si="1"/>
        <v>1.2783333333333335</v>
      </c>
      <c r="N36" s="37" cm="1">
        <f t="array" ref="N36">_xlfn.IFS(M36&lt;$M$58, 1, M36&gt;$M$59, 3, M36&lt;$M$59, 2)</f>
        <v>1</v>
      </c>
    </row>
    <row r="37" spans="1:14">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35">
        <f t="shared" si="0"/>
        <v>1.325</v>
      </c>
      <c r="F37" s="301" cm="1">
        <f t="array" ref="F37">_xlfn.IFS(E37&lt;$E$58, 1, E37&gt;$E$59, 3, E37&lt;$E$59, 2)</f>
        <v>2</v>
      </c>
      <c r="G37" s="20" cm="1">
        <f t="array" ref="G37">_xlfn.XLOOKUP($G$6, 'Metric Categories 1-14'!$B$7:$FM$7, _xlfn.XLOOKUP(A37, 'Metric Categories 1-14'!$A$8:$A$57, 'Metric Categories 1-14'!$B$8:$FM$57))</f>
        <v>1.6</v>
      </c>
      <c r="H37" s="20" cm="1">
        <f t="array" ref="H37">_xlfn.XLOOKUP($H$6, 'Metric Categories 1-14'!$B$7:$FM$7, _xlfn.XLOOKUP(A37, 'Metric Categories 1-14'!$A$8:$A$57, 'Metric Categories 1-14'!$B$8:$FM$57))</f>
        <v>1.9999999999999998</v>
      </c>
      <c r="I37" s="20" cm="1">
        <f t="array" ref="I37">_xlfn.XLOOKUP($I$6, 'Metric Categories 1-14'!$B$7:$FM$7, _xlfn.XLOOKUP(A37, 'Metric Categories 1-14'!$A$8:$A$57, 'Metric Categories 1-14'!$B$8:$FM$57))</f>
        <v>2.8</v>
      </c>
      <c r="J37" s="20" cm="1">
        <f t="array" ref="J37">_xlfn.XLOOKUP($J$6, 'Metric Categories 1-14'!$B$7:$FM$7, _xlfn.XLOOKUP(A37, 'Metric Categories 1-14'!$A$8:$A$57, 'Metric Categories 1-14'!$B$8:$FM$57))</f>
        <v>2</v>
      </c>
      <c r="K37" s="20" cm="1">
        <f t="array" ref="K37">_xlfn.XLOOKUP($K$6, '15. Workforce Calcs'!$B$8:$BG$8, _xlfn.XLOOKUP(A37, '15. Workforce Calcs'!$A$10:$A$59, '15. Workforce Calcs'!$B$10:$BG$59))</f>
        <v>2</v>
      </c>
      <c r="L37" s="20" cm="1">
        <f t="array" ref="L37">_xlfn.XLOOKUP($L$6, '16. Existing HQs and Projects'!$B$8:$Q$8, _xlfn.XLOOKUP(A37,'16. Existing HQs and Projects'!$A$9:$A$58, '16. Existing HQs and Projects'!$B$9:$Q$58))</f>
        <v>1</v>
      </c>
      <c r="M37" s="37">
        <f t="shared" si="1"/>
        <v>1.9100000000000001</v>
      </c>
      <c r="N37" s="37" cm="1">
        <f t="array" ref="N37">_xlfn.IFS(M37&lt;$M$58, 1, M37&gt;$M$59, 3, M37&lt;$M$59, 2)</f>
        <v>2</v>
      </c>
    </row>
    <row r="38" spans="1:14">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35">
        <f t="shared" si="0"/>
        <v>2.1</v>
      </c>
      <c r="F38" s="301" cm="1">
        <f t="array" ref="F38">_xlfn.IFS(E38&lt;$E$58, 1, E38&gt;$E$59, 3, E38&lt;$E$59, 2)</f>
        <v>3</v>
      </c>
      <c r="G38" s="20" cm="1">
        <f t="array" ref="G38">_xlfn.XLOOKUP($G$6, 'Metric Categories 1-14'!$B$7:$FM$7, _xlfn.XLOOKUP(A38, 'Metric Categories 1-14'!$A$8:$A$57, 'Metric Categories 1-14'!$B$8:$FM$57))</f>
        <v>2.5999999999999996</v>
      </c>
      <c r="H38" s="20" cm="1">
        <f t="array" ref="H38">_xlfn.XLOOKUP($H$6, 'Metric Categories 1-14'!$B$7:$FM$7, _xlfn.XLOOKUP(A38, 'Metric Categories 1-14'!$A$8:$A$57, 'Metric Categories 1-14'!$B$8:$FM$57))</f>
        <v>1.6666666666666665</v>
      </c>
      <c r="I38" s="20" cm="1">
        <f t="array" ref="I38">_xlfn.XLOOKUP($I$6, 'Metric Categories 1-14'!$B$7:$FM$7, _xlfn.XLOOKUP(A38, 'Metric Categories 1-14'!$A$8:$A$57, 'Metric Categories 1-14'!$B$8:$FM$57))</f>
        <v>2</v>
      </c>
      <c r="J38" s="20" cm="1">
        <f t="array" ref="J38">_xlfn.XLOOKUP($J$6, 'Metric Categories 1-14'!$B$7:$FM$7, _xlfn.XLOOKUP(A38, 'Metric Categories 1-14'!$A$8:$A$57, 'Metric Categories 1-14'!$B$8:$FM$57))</f>
        <v>1</v>
      </c>
      <c r="K38" s="20" cm="1">
        <f t="array" ref="K38">_xlfn.XLOOKUP($K$6, '15. Workforce Calcs'!$B$8:$BG$8, _xlfn.XLOOKUP(A38, '15. Workforce Calcs'!$A$10:$A$59, '15. Workforce Calcs'!$B$10:$BG$59))</f>
        <v>3</v>
      </c>
      <c r="L38" s="20" cm="1">
        <f t="array" ref="L38">_xlfn.XLOOKUP($L$6, '16. Existing HQs and Projects'!$B$8:$Q$8, _xlfn.XLOOKUP(A38,'16. Existing HQs and Projects'!$A$9:$A$58, '16. Existing HQs and Projects'!$B$9:$Q$58))</f>
        <v>1</v>
      </c>
      <c r="M38" s="37">
        <f t="shared" si="1"/>
        <v>2.023333333333333</v>
      </c>
      <c r="N38" s="37" cm="1">
        <f t="array" ref="N38">_xlfn.IFS(M38&lt;$M$58, 1, M38&gt;$M$59, 3, M38&lt;$M$59, 2)</f>
        <v>3</v>
      </c>
    </row>
    <row r="39" spans="1:14">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35">
        <f t="shared" si="0"/>
        <v>1.6475</v>
      </c>
      <c r="F39" s="301" cm="1">
        <f t="array" ref="F39">_xlfn.IFS(E39&lt;$E$58, 1, E39&gt;$E$59, 3, E39&lt;$E$59, 2)</f>
        <v>3</v>
      </c>
      <c r="G39" s="20" cm="1">
        <f t="array" ref="G39">_xlfn.XLOOKUP($G$6, 'Metric Categories 1-14'!$B$7:$FM$7, _xlfn.XLOOKUP(A39, 'Metric Categories 1-14'!$A$8:$A$57, 'Metric Categories 1-14'!$B$8:$FM$57))</f>
        <v>2.5999999999999996</v>
      </c>
      <c r="H39" s="20" cm="1">
        <f t="array" ref="H39">_xlfn.XLOOKUP($H$6, 'Metric Categories 1-14'!$B$7:$FM$7, _xlfn.XLOOKUP(A39, 'Metric Categories 1-14'!$A$8:$A$57, 'Metric Categories 1-14'!$B$8:$FM$57))</f>
        <v>1.6666666666666665</v>
      </c>
      <c r="I39" s="20" cm="1">
        <f t="array" ref="I39">_xlfn.XLOOKUP($I$6, 'Metric Categories 1-14'!$B$7:$FM$7, _xlfn.XLOOKUP(A39, 'Metric Categories 1-14'!$A$8:$A$57, 'Metric Categories 1-14'!$B$8:$FM$57))</f>
        <v>1.9</v>
      </c>
      <c r="J39" s="20" cm="1">
        <f t="array" ref="J39">_xlfn.XLOOKUP($J$6, 'Metric Categories 1-14'!$B$7:$FM$7, _xlfn.XLOOKUP(A39, 'Metric Categories 1-14'!$A$8:$A$57, 'Metric Categories 1-14'!$B$8:$FM$57))</f>
        <v>1</v>
      </c>
      <c r="K39" s="20" cm="1">
        <f t="array" ref="K39">_xlfn.XLOOKUP($K$6, '15. Workforce Calcs'!$B$8:$BG$8, _xlfn.XLOOKUP(A39, '15. Workforce Calcs'!$A$10:$A$59, '15. Workforce Calcs'!$B$10:$BG$59))</f>
        <v>3</v>
      </c>
      <c r="L39" s="20" cm="1">
        <f t="array" ref="L39">_xlfn.XLOOKUP($L$6, '16. Existing HQs and Projects'!$B$8:$Q$8, _xlfn.XLOOKUP(A39,'16. Existing HQs and Projects'!$A$9:$A$58, '16. Existing HQs and Projects'!$B$9:$Q$58))</f>
        <v>1</v>
      </c>
      <c r="M39" s="37">
        <f t="shared" si="1"/>
        <v>2.0083333333333329</v>
      </c>
      <c r="N39" s="37" cm="1">
        <f t="array" ref="N39">_xlfn.IFS(M39&lt;$M$58, 1, M39&gt;$M$59, 3, M39&lt;$M$59, 2)</f>
        <v>3</v>
      </c>
    </row>
    <row r="40" spans="1:14">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35">
        <f t="shared" si="0"/>
        <v>0.99999999999999978</v>
      </c>
      <c r="F40" s="301" cm="1">
        <f t="array" ref="F40">_xlfn.IFS(E40&lt;$E$58, 1, E40&gt;$E$59, 3, E40&lt;$E$59, 2)</f>
        <v>1</v>
      </c>
      <c r="G40" s="20" cm="1">
        <f t="array" ref="G40">_xlfn.XLOOKUP($G$6, 'Metric Categories 1-14'!$B$7:$FM$7, _xlfn.XLOOKUP(A40, 'Metric Categories 1-14'!$A$8:$A$57, 'Metric Categories 1-14'!$B$8:$FM$57))</f>
        <v>1.8000000000000003</v>
      </c>
      <c r="H40" s="20" cm="1">
        <f t="array" ref="H40">_xlfn.XLOOKUP($H$6, 'Metric Categories 1-14'!$B$7:$FM$7, _xlfn.XLOOKUP(A40, 'Metric Categories 1-14'!$A$8:$A$57, 'Metric Categories 1-14'!$B$8:$FM$57))</f>
        <v>1</v>
      </c>
      <c r="I40" s="20" cm="1">
        <f t="array" ref="I40">_xlfn.XLOOKUP($I$6, 'Metric Categories 1-14'!$B$7:$FM$7, _xlfn.XLOOKUP(A40, 'Metric Categories 1-14'!$A$8:$A$57, 'Metric Categories 1-14'!$B$8:$FM$57))</f>
        <v>2.7</v>
      </c>
      <c r="J40" s="20" cm="1">
        <f t="array" ref="J40">_xlfn.XLOOKUP($J$6, 'Metric Categories 1-14'!$B$7:$FM$7, _xlfn.XLOOKUP(A40, 'Metric Categories 1-14'!$A$8:$A$57, 'Metric Categories 1-14'!$B$8:$FM$57))</f>
        <v>2.6000000000000005</v>
      </c>
      <c r="K40" s="20" cm="1">
        <f t="array" ref="K40">_xlfn.XLOOKUP($K$6, '15. Workforce Calcs'!$B$8:$BG$8, _xlfn.XLOOKUP(A40, '15. Workforce Calcs'!$A$10:$A$59, '15. Workforce Calcs'!$B$10:$BG$59))</f>
        <v>2</v>
      </c>
      <c r="L40" s="20" cm="1">
        <f t="array" ref="L40">_xlfn.XLOOKUP($L$6, '16. Existing HQs and Projects'!$B$8:$Q$8, _xlfn.XLOOKUP(A40,'16. Existing HQs and Projects'!$A$9:$A$58, '16. Existing HQs and Projects'!$B$9:$Q$58))</f>
        <v>1</v>
      </c>
      <c r="M40" s="37">
        <f t="shared" si="1"/>
        <v>1.8650000000000004</v>
      </c>
      <c r="N40" s="37" cm="1">
        <f t="array" ref="N40">_xlfn.IFS(M40&lt;$M$58, 1, M40&gt;$M$59, 3, M40&lt;$M$59, 2)</f>
        <v>2</v>
      </c>
    </row>
    <row r="41" spans="1:14">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35">
        <f t="shared" si="0"/>
        <v>0.99999999999999978</v>
      </c>
      <c r="F41" s="301" cm="1">
        <f t="array" ref="F41">_xlfn.IFS(E41&lt;$E$58, 1, E41&gt;$E$59, 3, E41&lt;$E$59, 2)</f>
        <v>1</v>
      </c>
      <c r="G41" s="20" cm="1">
        <f t="array" ref="G41">_xlfn.XLOOKUP($G$6, 'Metric Categories 1-14'!$B$7:$FM$7, _xlfn.XLOOKUP(A41, 'Metric Categories 1-14'!$A$8:$A$57, 'Metric Categories 1-14'!$B$8:$FM$57))</f>
        <v>2.4000000000000004</v>
      </c>
      <c r="H41" s="20" cm="1">
        <f t="array" ref="H41">_xlfn.XLOOKUP($H$6, 'Metric Categories 1-14'!$B$7:$FM$7, _xlfn.XLOOKUP(A41, 'Metric Categories 1-14'!$A$8:$A$57, 'Metric Categories 1-14'!$B$8:$FM$57))</f>
        <v>1</v>
      </c>
      <c r="I41" s="20" cm="1">
        <f t="array" ref="I41">_xlfn.XLOOKUP($I$6, 'Metric Categories 1-14'!$B$7:$FM$7, _xlfn.XLOOKUP(A41, 'Metric Categories 1-14'!$A$8:$A$57, 'Metric Categories 1-14'!$B$8:$FM$57))</f>
        <v>1.4</v>
      </c>
      <c r="J41" s="20" cm="1">
        <f t="array" ref="J41">_xlfn.XLOOKUP($J$6, 'Metric Categories 1-14'!$B$7:$FM$7, _xlfn.XLOOKUP(A41, 'Metric Categories 1-14'!$A$8:$A$57, 'Metric Categories 1-14'!$B$8:$FM$57))</f>
        <v>1.6</v>
      </c>
      <c r="K41" s="20" cm="1">
        <f t="array" ref="K41">_xlfn.XLOOKUP($K$6, '15. Workforce Calcs'!$B$8:$BG$8, _xlfn.XLOOKUP(A41, '15. Workforce Calcs'!$A$10:$A$59, '15. Workforce Calcs'!$B$10:$BG$59))</f>
        <v>3</v>
      </c>
      <c r="L41" s="20" cm="1">
        <f t="array" ref="L41">_xlfn.XLOOKUP($L$6, '16. Existing HQs and Projects'!$B$8:$Q$8, _xlfn.XLOOKUP(A41,'16. Existing HQs and Projects'!$A$9:$A$58, '16. Existing HQs and Projects'!$B$9:$Q$58))</f>
        <v>1</v>
      </c>
      <c r="M41" s="37">
        <f t="shared" si="1"/>
        <v>1.8100000000000003</v>
      </c>
      <c r="N41" s="37" cm="1">
        <f t="array" ref="N41">_xlfn.IFS(M41&lt;$M$58, 1, M41&gt;$M$59, 3, M41&lt;$M$59, 2)</f>
        <v>2</v>
      </c>
    </row>
    <row r="42" spans="1:14">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35">
        <f t="shared" si="0"/>
        <v>0.91999999999999993</v>
      </c>
      <c r="F42" s="301" cm="1">
        <f t="array" ref="F42">_xlfn.IFS(E42&lt;$E$58, 1, E42&gt;$E$59, 3, E42&lt;$E$59, 2)</f>
        <v>1</v>
      </c>
      <c r="G42" s="20" cm="1">
        <f t="array" ref="G42">_xlfn.XLOOKUP($G$6, 'Metric Categories 1-14'!$B$7:$FM$7, _xlfn.XLOOKUP(A42, 'Metric Categories 1-14'!$A$8:$A$57, 'Metric Categories 1-14'!$B$8:$FM$57))</f>
        <v>2.4000000000000004</v>
      </c>
      <c r="H42" s="20" cm="1">
        <f t="array" ref="H42">_xlfn.XLOOKUP($H$6, 'Metric Categories 1-14'!$B$7:$FM$7, _xlfn.XLOOKUP(A42, 'Metric Categories 1-14'!$A$8:$A$57, 'Metric Categories 1-14'!$B$8:$FM$57))</f>
        <v>1.3333333333333333</v>
      </c>
      <c r="I42" s="20" cm="1">
        <f t="array" ref="I42">_xlfn.XLOOKUP($I$6, 'Metric Categories 1-14'!$B$7:$FM$7, _xlfn.XLOOKUP(A42, 'Metric Categories 1-14'!$A$8:$A$57, 'Metric Categories 1-14'!$B$8:$FM$57))</f>
        <v>2.7</v>
      </c>
      <c r="J42" s="20" cm="1">
        <f t="array" ref="J42">_xlfn.XLOOKUP($J$6, 'Metric Categories 1-14'!$B$7:$FM$7, _xlfn.XLOOKUP(A42, 'Metric Categories 1-14'!$A$8:$A$57, 'Metric Categories 1-14'!$B$8:$FM$57))</f>
        <v>2.2000000000000002</v>
      </c>
      <c r="K42" s="20" cm="1">
        <f t="array" ref="K42">_xlfn.XLOOKUP($K$6, '15. Workforce Calcs'!$B$8:$BG$8, _xlfn.XLOOKUP(A42, '15. Workforce Calcs'!$A$10:$A$59, '15. Workforce Calcs'!$B$10:$BG$59))</f>
        <v>3</v>
      </c>
      <c r="L42" s="20" cm="1">
        <f t="array" ref="L42">_xlfn.XLOOKUP($L$6, '16. Existing HQs and Projects'!$B$8:$Q$8, _xlfn.XLOOKUP(A42,'16. Existing HQs and Projects'!$A$9:$A$58, '16. Existing HQs and Projects'!$B$9:$Q$58))</f>
        <v>1</v>
      </c>
      <c r="M42" s="37">
        <f t="shared" si="1"/>
        <v>2.1616666666666666</v>
      </c>
      <c r="N42" s="37" cm="1">
        <f t="array" ref="N42">_xlfn.IFS(M42&lt;$M$58, 1, M42&gt;$M$59, 3, M42&lt;$M$59, 2)</f>
        <v>3</v>
      </c>
    </row>
    <row r="43" spans="1:14">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35">
        <f t="shared" si="0"/>
        <v>1.6399999999999997</v>
      </c>
      <c r="F43" s="301" cm="1">
        <f t="array" ref="F43">_xlfn.IFS(E43&lt;$E$58, 1, E43&gt;$E$59, 3, E43&lt;$E$59, 2)</f>
        <v>3</v>
      </c>
      <c r="G43" s="20" cm="1">
        <f t="array" ref="G43">_xlfn.XLOOKUP($G$6, 'Metric Categories 1-14'!$B$7:$FM$7, _xlfn.XLOOKUP(A43, 'Metric Categories 1-14'!$A$8:$A$57, 'Metric Categories 1-14'!$B$8:$FM$57))</f>
        <v>1.4</v>
      </c>
      <c r="H43" s="20" cm="1">
        <f t="array" ref="H43">_xlfn.XLOOKUP($H$6, 'Metric Categories 1-14'!$B$7:$FM$7, _xlfn.XLOOKUP(A43, 'Metric Categories 1-14'!$A$8:$A$57, 'Metric Categories 1-14'!$B$8:$FM$57))</f>
        <v>2.333333333333333</v>
      </c>
      <c r="I43" s="20" cm="1">
        <f t="array" ref="I43">_xlfn.XLOOKUP($I$6, 'Metric Categories 1-14'!$B$7:$FM$7, _xlfn.XLOOKUP(A43, 'Metric Categories 1-14'!$A$8:$A$57, 'Metric Categories 1-14'!$B$8:$FM$57))</f>
        <v>2.8</v>
      </c>
      <c r="J43" s="20" cm="1">
        <f t="array" ref="J43">_xlfn.XLOOKUP($J$6, 'Metric Categories 1-14'!$B$7:$FM$7, _xlfn.XLOOKUP(A43, 'Metric Categories 1-14'!$A$8:$A$57, 'Metric Categories 1-14'!$B$8:$FM$57))</f>
        <v>1.2000000000000002</v>
      </c>
      <c r="K43" s="20" cm="1">
        <f t="array" ref="K43">_xlfn.XLOOKUP($K$6, '15. Workforce Calcs'!$B$8:$BG$8, _xlfn.XLOOKUP(A43, '15. Workforce Calcs'!$A$10:$A$59, '15. Workforce Calcs'!$B$10:$BG$59))</f>
        <v>1</v>
      </c>
      <c r="L43" s="20" cm="1">
        <f t="array" ref="L43">_xlfn.XLOOKUP($L$6, '16. Existing HQs and Projects'!$B$8:$Q$8, _xlfn.XLOOKUP(A43,'16. Existing HQs and Projects'!$A$9:$A$58, '16. Existing HQs and Projects'!$B$9:$Q$58))</f>
        <v>1</v>
      </c>
      <c r="M43" s="37">
        <f t="shared" si="1"/>
        <v>1.7266666666666666</v>
      </c>
      <c r="N43" s="37" cm="1">
        <f t="array" ref="N43">_xlfn.IFS(M43&lt;$M$58, 1, M43&gt;$M$59, 3, M43&lt;$M$59, 2)</f>
        <v>2</v>
      </c>
    </row>
    <row r="44" spans="1:14">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35">
        <f t="shared" si="0"/>
        <v>1.4824999999999999</v>
      </c>
      <c r="F44" s="301" cm="1">
        <f t="array" ref="F44">_xlfn.IFS(E44&lt;$E$58, 1, E44&gt;$E$59, 3, E44&lt;$E$59, 2)</f>
        <v>2</v>
      </c>
      <c r="G44" s="20" cm="1">
        <f t="array" ref="G44">_xlfn.XLOOKUP($G$6, 'Metric Categories 1-14'!$B$7:$FM$7, _xlfn.XLOOKUP(A44, 'Metric Categories 1-14'!$A$8:$A$57, 'Metric Categories 1-14'!$B$8:$FM$57))</f>
        <v>3</v>
      </c>
      <c r="H44" s="20" cm="1">
        <f t="array" ref="H44">_xlfn.XLOOKUP($H$6, 'Metric Categories 1-14'!$B$7:$FM$7, _xlfn.XLOOKUP(A44, 'Metric Categories 1-14'!$A$8:$A$57, 'Metric Categories 1-14'!$B$8:$FM$57))</f>
        <v>1.3333333333333333</v>
      </c>
      <c r="I44" s="20" cm="1">
        <f t="array" ref="I44">_xlfn.XLOOKUP($I$6, 'Metric Categories 1-14'!$B$7:$FM$7, _xlfn.XLOOKUP(A44, 'Metric Categories 1-14'!$A$8:$A$57, 'Metric Categories 1-14'!$B$8:$FM$57))</f>
        <v>1.2</v>
      </c>
      <c r="J44" s="20" cm="1">
        <f t="array" ref="J44">_xlfn.XLOOKUP($J$6, 'Metric Categories 1-14'!$B$7:$FM$7, _xlfn.XLOOKUP(A44, 'Metric Categories 1-14'!$A$8:$A$57, 'Metric Categories 1-14'!$B$8:$FM$57))</f>
        <v>1.2000000000000002</v>
      </c>
      <c r="K44" s="20" cm="1">
        <f t="array" ref="K44">_xlfn.XLOOKUP($K$6, '15. Workforce Calcs'!$B$8:$BG$8, _xlfn.XLOOKUP(A44, '15. Workforce Calcs'!$A$10:$A$59, '15. Workforce Calcs'!$B$10:$BG$59))</f>
        <v>3</v>
      </c>
      <c r="L44" s="20" cm="1">
        <f t="array" ref="L44">_xlfn.XLOOKUP($L$6, '16. Existing HQs and Projects'!$B$8:$Q$8, _xlfn.XLOOKUP(A44,'16. Existing HQs and Projects'!$A$9:$A$58, '16. Existing HQs and Projects'!$B$9:$Q$58))</f>
        <v>1</v>
      </c>
      <c r="M44" s="37">
        <f t="shared" si="1"/>
        <v>2.0266666666666664</v>
      </c>
      <c r="N44" s="37" cm="1">
        <f t="array" ref="N44">_xlfn.IFS(M44&lt;$M$58, 1, M44&gt;$M$59, 3, M44&lt;$M$59, 2)</f>
        <v>3</v>
      </c>
    </row>
    <row r="45" spans="1:14">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35">
        <f t="shared" si="0"/>
        <v>1.62</v>
      </c>
      <c r="F45" s="301" cm="1">
        <f t="array" ref="F45">_xlfn.IFS(E45&lt;$E$58, 1, E45&gt;$E$59, 3, E45&lt;$E$59, 2)</f>
        <v>3</v>
      </c>
      <c r="G45" s="20" cm="1">
        <f t="array" ref="G45">_xlfn.XLOOKUP($G$6, 'Metric Categories 1-14'!$B$7:$FM$7, _xlfn.XLOOKUP(A45, 'Metric Categories 1-14'!$A$8:$A$57, 'Metric Categories 1-14'!$B$8:$FM$57))</f>
        <v>1</v>
      </c>
      <c r="H45" s="20" cm="1">
        <f t="array" ref="H45">_xlfn.XLOOKUP($H$6, 'Metric Categories 1-14'!$B$7:$FM$7, _xlfn.XLOOKUP(A45, 'Metric Categories 1-14'!$A$8:$A$57, 'Metric Categories 1-14'!$B$8:$FM$57))</f>
        <v>1</v>
      </c>
      <c r="I45" s="20" cm="1">
        <f t="array" ref="I45">_xlfn.XLOOKUP($I$6, 'Metric Categories 1-14'!$B$7:$FM$7, _xlfn.XLOOKUP(A45, 'Metric Categories 1-14'!$A$8:$A$57, 'Metric Categories 1-14'!$B$8:$FM$57))</f>
        <v>1.5</v>
      </c>
      <c r="J45" s="20" cm="1">
        <f t="array" ref="J45">_xlfn.XLOOKUP($J$6, 'Metric Categories 1-14'!$B$7:$FM$7, _xlfn.XLOOKUP(A45, 'Metric Categories 1-14'!$A$8:$A$57, 'Metric Categories 1-14'!$B$8:$FM$57))</f>
        <v>1</v>
      </c>
      <c r="K45" s="20" cm="1">
        <f t="array" ref="K45">_xlfn.XLOOKUP($K$6, '15. Workforce Calcs'!$B$8:$BG$8, _xlfn.XLOOKUP(A45, '15. Workforce Calcs'!$A$10:$A$59, '15. Workforce Calcs'!$B$10:$BG$59))</f>
        <v>1</v>
      </c>
      <c r="L45" s="20" cm="1">
        <f t="array" ref="L45">_xlfn.XLOOKUP($L$6, '16. Existing HQs and Projects'!$B$8:$Q$8, _xlfn.XLOOKUP(A45,'16. Existing HQs and Projects'!$A$9:$A$58, '16. Existing HQs and Projects'!$B$9:$Q$58))</f>
        <v>1</v>
      </c>
      <c r="M45" s="37">
        <f t="shared" si="1"/>
        <v>1.0750000000000002</v>
      </c>
      <c r="N45" s="37" cm="1">
        <f t="array" ref="N45">_xlfn.IFS(M45&lt;$M$58, 1, M45&gt;$M$59, 3, M45&lt;$M$59, 2)</f>
        <v>1</v>
      </c>
    </row>
    <row r="46" spans="1:14">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35">
        <f t="shared" si="0"/>
        <v>1.1749999999999998</v>
      </c>
      <c r="F46" s="301" cm="1">
        <f t="array" ref="F46">_xlfn.IFS(E46&lt;$E$58, 1, E46&gt;$E$59, 3, E46&lt;$E$59, 2)</f>
        <v>2</v>
      </c>
      <c r="G46" s="20" cm="1">
        <f t="array" ref="G46">_xlfn.XLOOKUP($G$6, 'Metric Categories 1-14'!$B$7:$FM$7, _xlfn.XLOOKUP(A46, 'Metric Categories 1-14'!$A$8:$A$57, 'Metric Categories 1-14'!$B$8:$FM$57))</f>
        <v>2.4000000000000004</v>
      </c>
      <c r="H46" s="20" cm="1">
        <f t="array" ref="H46">_xlfn.XLOOKUP($H$6, 'Metric Categories 1-14'!$B$7:$FM$7, _xlfn.XLOOKUP(A46, 'Metric Categories 1-14'!$A$8:$A$57, 'Metric Categories 1-14'!$B$8:$FM$57))</f>
        <v>1</v>
      </c>
      <c r="I46" s="20" cm="1">
        <f t="array" ref="I46">_xlfn.XLOOKUP($I$6, 'Metric Categories 1-14'!$B$7:$FM$7, _xlfn.XLOOKUP(A46, 'Metric Categories 1-14'!$A$8:$A$57, 'Metric Categories 1-14'!$B$8:$FM$57))</f>
        <v>1.9000000000000001</v>
      </c>
      <c r="J46" s="20" cm="1">
        <f t="array" ref="J46">_xlfn.XLOOKUP($J$6, 'Metric Categories 1-14'!$B$7:$FM$7, _xlfn.XLOOKUP(A46, 'Metric Categories 1-14'!$A$8:$A$57, 'Metric Categories 1-14'!$B$8:$FM$57))</f>
        <v>1</v>
      </c>
      <c r="K46" s="20" cm="1">
        <f t="array" ref="K46">_xlfn.XLOOKUP($K$6, '15. Workforce Calcs'!$B$8:$BG$8, _xlfn.XLOOKUP(A46, '15. Workforce Calcs'!$A$10:$A$59, '15. Workforce Calcs'!$B$10:$BG$59))</f>
        <v>2</v>
      </c>
      <c r="L46" s="20" cm="1">
        <f t="array" ref="L46">_xlfn.XLOOKUP($L$6, '16. Existing HQs and Projects'!$B$8:$Q$8, _xlfn.XLOOKUP(A46,'16. Existing HQs and Projects'!$A$9:$A$58, '16. Existing HQs and Projects'!$B$9:$Q$58))</f>
        <v>1</v>
      </c>
      <c r="M46" s="37">
        <f t="shared" si="1"/>
        <v>1.7450000000000003</v>
      </c>
      <c r="N46" s="37" cm="1">
        <f t="array" ref="N46">_xlfn.IFS(M46&lt;$M$58, 1, M46&gt;$M$59, 3, M46&lt;$M$59, 2)</f>
        <v>2</v>
      </c>
    </row>
    <row r="47" spans="1:14">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35">
        <f t="shared" si="0"/>
        <v>1.1499999999999997</v>
      </c>
      <c r="F47" s="301" cm="1">
        <f t="array" ref="F47">_xlfn.IFS(E47&lt;$E$58, 1, E47&gt;$E$59, 3, E47&lt;$E$59, 2)</f>
        <v>2</v>
      </c>
      <c r="G47" s="20" cm="1">
        <f t="array" ref="G47">_xlfn.XLOOKUP($G$6, 'Metric Categories 1-14'!$B$7:$FM$7, _xlfn.XLOOKUP(A47, 'Metric Categories 1-14'!$A$8:$A$57, 'Metric Categories 1-14'!$B$8:$FM$57))</f>
        <v>1.4</v>
      </c>
      <c r="H47" s="20" cm="1">
        <f t="array" ref="H47">_xlfn.XLOOKUP($H$6, 'Metric Categories 1-14'!$B$7:$FM$7, _xlfn.XLOOKUP(A47, 'Metric Categories 1-14'!$A$8:$A$57, 'Metric Categories 1-14'!$B$8:$FM$57))</f>
        <v>1</v>
      </c>
      <c r="I47" s="20" cm="1">
        <f t="array" ref="I47">_xlfn.XLOOKUP($I$6, 'Metric Categories 1-14'!$B$7:$FM$7, _xlfn.XLOOKUP(A47, 'Metric Categories 1-14'!$A$8:$A$57, 'Metric Categories 1-14'!$B$8:$FM$57))</f>
        <v>2.6000000000000005</v>
      </c>
      <c r="J47" s="20" cm="1">
        <f t="array" ref="J47">_xlfn.XLOOKUP($J$6, 'Metric Categories 1-14'!$B$7:$FM$7, _xlfn.XLOOKUP(A47, 'Metric Categories 1-14'!$A$8:$A$57, 'Metric Categories 1-14'!$B$8:$FM$57))</f>
        <v>1.4</v>
      </c>
      <c r="K47" s="20" cm="1">
        <f t="array" ref="K47">_xlfn.XLOOKUP($K$6, '15. Workforce Calcs'!$B$8:$BG$8, _xlfn.XLOOKUP(A47, '15. Workforce Calcs'!$A$10:$A$59, '15. Workforce Calcs'!$B$10:$BG$59))</f>
        <v>1</v>
      </c>
      <c r="L47" s="20" cm="1">
        <f t="array" ref="L47">_xlfn.XLOOKUP($L$6, '16. Existing HQs and Projects'!$B$8:$Q$8, _xlfn.XLOOKUP(A47,'16. Existing HQs and Projects'!$A$9:$A$58, '16. Existing HQs and Projects'!$B$9:$Q$58))</f>
        <v>1</v>
      </c>
      <c r="M47" s="37">
        <f t="shared" si="1"/>
        <v>1.4600000000000002</v>
      </c>
      <c r="N47" s="37" cm="1">
        <f t="array" ref="N47">_xlfn.IFS(M47&lt;$M$58, 1, M47&gt;$M$59, 3, M47&lt;$M$59, 2)</f>
        <v>1</v>
      </c>
    </row>
    <row r="48" spans="1:14">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35">
        <f t="shared" si="0"/>
        <v>0.99999999999999978</v>
      </c>
      <c r="F48" s="301" cm="1">
        <f t="array" ref="F48">_xlfn.IFS(E48&lt;$E$58, 1, E48&gt;$E$59, 3, E48&lt;$E$59, 2)</f>
        <v>1</v>
      </c>
      <c r="G48" s="20" cm="1">
        <f t="array" ref="G48">_xlfn.XLOOKUP($G$6, 'Metric Categories 1-14'!$B$7:$FM$7, _xlfn.XLOOKUP(A48, 'Metric Categories 1-14'!$A$8:$A$57, 'Metric Categories 1-14'!$B$8:$FM$57))</f>
        <v>3</v>
      </c>
      <c r="H48" s="20" cm="1">
        <f t="array" ref="H48">_xlfn.XLOOKUP($H$6, 'Metric Categories 1-14'!$B$7:$FM$7, _xlfn.XLOOKUP(A48, 'Metric Categories 1-14'!$A$8:$A$57, 'Metric Categories 1-14'!$B$8:$FM$57))</f>
        <v>1</v>
      </c>
      <c r="I48" s="20" cm="1">
        <f t="array" ref="I48">_xlfn.XLOOKUP($I$6, 'Metric Categories 1-14'!$B$7:$FM$7, _xlfn.XLOOKUP(A48, 'Metric Categories 1-14'!$A$8:$A$57, 'Metric Categories 1-14'!$B$8:$FM$57))</f>
        <v>1.8</v>
      </c>
      <c r="J48" s="20" cm="1">
        <f t="array" ref="J48">_xlfn.XLOOKUP($J$6, 'Metric Categories 1-14'!$B$7:$FM$7, _xlfn.XLOOKUP(A48, 'Metric Categories 1-14'!$A$8:$A$57, 'Metric Categories 1-14'!$B$8:$FM$57))</f>
        <v>1</v>
      </c>
      <c r="K48" s="20" cm="1">
        <f t="array" ref="K48">_xlfn.XLOOKUP($K$6, '15. Workforce Calcs'!$B$8:$BG$8, _xlfn.XLOOKUP(A48, '15. Workforce Calcs'!$A$10:$A$59, '15. Workforce Calcs'!$B$10:$BG$59))</f>
        <v>3</v>
      </c>
      <c r="L48" s="20" cm="1">
        <f t="array" ref="L48">_xlfn.XLOOKUP($L$6, '16. Existing HQs and Projects'!$B$8:$Q$8, _xlfn.XLOOKUP(A48,'16. Existing HQs and Projects'!$A$9:$A$58, '16. Existing HQs and Projects'!$B$9:$Q$58))</f>
        <v>1</v>
      </c>
      <c r="M48" s="37">
        <f t="shared" si="1"/>
        <v>2.02</v>
      </c>
      <c r="N48" s="37" cm="1">
        <f t="array" ref="N48">_xlfn.IFS(M48&lt;$M$58, 1, M48&gt;$M$59, 3, M48&lt;$M$59, 2)</f>
        <v>3</v>
      </c>
    </row>
    <row r="49" spans="1:14">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35">
        <f t="shared" si="0"/>
        <v>0.99999999999999978</v>
      </c>
      <c r="F49" s="301" cm="1">
        <f t="array" ref="F49">_xlfn.IFS(E49&lt;$E$58, 1, E49&gt;$E$59, 3, E49&lt;$E$59, 2)</f>
        <v>1</v>
      </c>
      <c r="G49" s="20" cm="1">
        <f t="array" ref="G49">_xlfn.XLOOKUP($G$6, 'Metric Categories 1-14'!$B$7:$FM$7, _xlfn.XLOOKUP(A49, 'Metric Categories 1-14'!$A$8:$A$57, 'Metric Categories 1-14'!$B$8:$FM$57))</f>
        <v>3</v>
      </c>
      <c r="H49" s="20" cm="1">
        <f t="array" ref="H49">_xlfn.XLOOKUP($H$6, 'Metric Categories 1-14'!$B$7:$FM$7, _xlfn.XLOOKUP(A49, 'Metric Categories 1-14'!$A$8:$A$57, 'Metric Categories 1-14'!$B$8:$FM$57))</f>
        <v>1.6666666666666665</v>
      </c>
      <c r="I49" s="20" cm="1">
        <f t="array" ref="I49">_xlfn.XLOOKUP($I$6, 'Metric Categories 1-14'!$B$7:$FM$7, _xlfn.XLOOKUP(A49, 'Metric Categories 1-14'!$A$8:$A$57, 'Metric Categories 1-14'!$B$8:$FM$57))</f>
        <v>2.1</v>
      </c>
      <c r="J49" s="20" cm="1">
        <f t="array" ref="J49">_xlfn.XLOOKUP($J$6, 'Metric Categories 1-14'!$B$7:$FM$7, _xlfn.XLOOKUP(A49, 'Metric Categories 1-14'!$A$8:$A$57, 'Metric Categories 1-14'!$B$8:$FM$57))</f>
        <v>2.6000000000000005</v>
      </c>
      <c r="K49" s="20" cm="1">
        <f t="array" ref="K49">_xlfn.XLOOKUP($K$6, '15. Workforce Calcs'!$B$8:$BG$8, _xlfn.XLOOKUP(A49, '15. Workforce Calcs'!$A$10:$A$59, '15. Workforce Calcs'!$B$10:$BG$59))</f>
        <v>3</v>
      </c>
      <c r="L49" s="20" cm="1">
        <f t="array" ref="L49">_xlfn.XLOOKUP($L$6, '16. Existing HQs and Projects'!$B$8:$Q$8, _xlfn.XLOOKUP(A49,'16. Existing HQs and Projects'!$A$9:$A$58, '16. Existing HQs and Projects'!$B$9:$Q$58))</f>
        <v>1</v>
      </c>
      <c r="M49" s="37">
        <f t="shared" si="1"/>
        <v>2.438333333333333</v>
      </c>
      <c r="N49" s="37" cm="1">
        <f t="array" ref="N49">_xlfn.IFS(M49&lt;$M$58, 1, M49&gt;$M$59, 3, M49&lt;$M$59, 2)</f>
        <v>3</v>
      </c>
    </row>
    <row r="50" spans="1:14">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35">
        <f t="shared" si="0"/>
        <v>0.99999999999999978</v>
      </c>
      <c r="F50" s="301" cm="1">
        <f t="array" ref="F50">_xlfn.IFS(E50&lt;$E$58, 1, E50&gt;$E$59, 3, E50&lt;$E$59, 2)</f>
        <v>1</v>
      </c>
      <c r="G50" s="20" cm="1">
        <f t="array" ref="G50">_xlfn.XLOOKUP($G$6, 'Metric Categories 1-14'!$B$7:$FM$7, _xlfn.XLOOKUP(A50, 'Metric Categories 1-14'!$A$8:$A$57, 'Metric Categories 1-14'!$B$8:$FM$57))</f>
        <v>3</v>
      </c>
      <c r="H50" s="20" cm="1">
        <f t="array" ref="H50">_xlfn.XLOOKUP($H$6, 'Metric Categories 1-14'!$B$7:$FM$7, _xlfn.XLOOKUP(A50, 'Metric Categories 1-14'!$A$8:$A$57, 'Metric Categories 1-14'!$B$8:$FM$57))</f>
        <v>2.6666666666666665</v>
      </c>
      <c r="I50" s="20" cm="1">
        <f t="array" ref="I50">_xlfn.XLOOKUP($I$6, 'Metric Categories 1-14'!$B$7:$FM$7, _xlfn.XLOOKUP(A50, 'Metric Categories 1-14'!$A$8:$A$57, 'Metric Categories 1-14'!$B$8:$FM$57))</f>
        <v>2</v>
      </c>
      <c r="J50" s="20" cm="1">
        <f t="array" ref="J50">_xlfn.XLOOKUP($J$6, 'Metric Categories 1-14'!$B$7:$FM$7, _xlfn.XLOOKUP(A50, 'Metric Categories 1-14'!$A$8:$A$57, 'Metric Categories 1-14'!$B$8:$FM$57))</f>
        <v>1.6</v>
      </c>
      <c r="K50" s="20" cm="1">
        <f t="array" ref="K50">_xlfn.XLOOKUP($K$6, '15. Workforce Calcs'!$B$8:$BG$8, _xlfn.XLOOKUP(A50, '15. Workforce Calcs'!$A$10:$A$59, '15. Workforce Calcs'!$B$10:$BG$59))</f>
        <v>2</v>
      </c>
      <c r="L50" s="20" cm="1">
        <f t="array" ref="L50">_xlfn.XLOOKUP($L$6, '16. Existing HQs and Projects'!$B$8:$Q$8, _xlfn.XLOOKUP(A50,'16. Existing HQs and Projects'!$A$9:$A$58, '16. Existing HQs and Projects'!$B$9:$Q$58))</f>
        <v>1</v>
      </c>
      <c r="M50" s="37">
        <f t="shared" si="1"/>
        <v>2.4233333333333333</v>
      </c>
      <c r="N50" s="37" cm="1">
        <f t="array" ref="N50">_xlfn.IFS(M50&lt;$M$58, 1, M50&gt;$M$59, 3, M50&lt;$M$59, 2)</f>
        <v>3</v>
      </c>
    </row>
    <row r="51" spans="1:14">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35">
        <f t="shared" si="0"/>
        <v>1.48</v>
      </c>
      <c r="F51" s="301" cm="1">
        <f t="array" ref="F51">_xlfn.IFS(E51&lt;$E$58, 1, E51&gt;$E$59, 3, E51&lt;$E$59, 2)</f>
        <v>2</v>
      </c>
      <c r="G51" s="20" cm="1">
        <f t="array" ref="G51">_xlfn.XLOOKUP($G$6, 'Metric Categories 1-14'!$B$7:$FM$7, _xlfn.XLOOKUP(A51, 'Metric Categories 1-14'!$A$8:$A$57, 'Metric Categories 1-14'!$B$8:$FM$57))</f>
        <v>1.4</v>
      </c>
      <c r="H51" s="20" cm="1">
        <f t="array" ref="H51">_xlfn.XLOOKUP($H$6, 'Metric Categories 1-14'!$B$7:$FM$7, _xlfn.XLOOKUP(A51, 'Metric Categories 1-14'!$A$8:$A$57, 'Metric Categories 1-14'!$B$8:$FM$57))</f>
        <v>1.3333333333333333</v>
      </c>
      <c r="I51" s="20" cm="1">
        <f t="array" ref="I51">_xlfn.XLOOKUP($I$6, 'Metric Categories 1-14'!$B$7:$FM$7, _xlfn.XLOOKUP(A51, 'Metric Categories 1-14'!$A$8:$A$57, 'Metric Categories 1-14'!$B$8:$FM$57))</f>
        <v>1.9000000000000004</v>
      </c>
      <c r="J51" s="20" cm="1">
        <f t="array" ref="J51">_xlfn.XLOOKUP($J$6, 'Metric Categories 1-14'!$B$7:$FM$7, _xlfn.XLOOKUP(A51, 'Metric Categories 1-14'!$A$8:$A$57, 'Metric Categories 1-14'!$B$8:$FM$57))</f>
        <v>1</v>
      </c>
      <c r="K51" s="20" cm="1">
        <f t="array" ref="K51">_xlfn.XLOOKUP($K$6, '15. Workforce Calcs'!$B$8:$BG$8, _xlfn.XLOOKUP(A51, '15. Workforce Calcs'!$A$10:$A$59, '15. Workforce Calcs'!$B$10:$BG$59))</f>
        <v>1</v>
      </c>
      <c r="L51" s="20" cm="1">
        <f t="array" ref="L51">_xlfn.XLOOKUP($L$6, '16. Existing HQs and Projects'!$B$8:$Q$8, _xlfn.XLOOKUP(A51,'16. Existing HQs and Projects'!$A$9:$A$58, '16. Existing HQs and Projects'!$B$9:$Q$58))</f>
        <v>1</v>
      </c>
      <c r="M51" s="37">
        <f t="shared" si="1"/>
        <v>1.3616666666666668</v>
      </c>
      <c r="N51" s="37" cm="1">
        <f t="array" ref="N51">_xlfn.IFS(M51&lt;$M$58, 1, M51&gt;$M$59, 3, M51&lt;$M$59, 2)</f>
        <v>1</v>
      </c>
    </row>
    <row r="52" spans="1:14">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35">
        <f t="shared" si="0"/>
        <v>1.7899999999999998</v>
      </c>
      <c r="F52" s="301" cm="1">
        <f t="array" ref="F52">_xlfn.IFS(E52&lt;$E$58, 1, E52&gt;$E$59, 3, E52&lt;$E$59, 2)</f>
        <v>3</v>
      </c>
      <c r="G52" s="20" cm="1">
        <f t="array" ref="G52">_xlfn.XLOOKUP($G$6, 'Metric Categories 1-14'!$B$7:$FM$7, _xlfn.XLOOKUP(A52, 'Metric Categories 1-14'!$A$8:$A$57, 'Metric Categories 1-14'!$B$8:$FM$57))</f>
        <v>1.6</v>
      </c>
      <c r="H52" s="20" cm="1">
        <f t="array" ref="H52">_xlfn.XLOOKUP($H$6, 'Metric Categories 1-14'!$B$7:$FM$7, _xlfn.XLOOKUP(A52, 'Metric Categories 1-14'!$A$8:$A$57, 'Metric Categories 1-14'!$B$8:$FM$57))</f>
        <v>1.3333333333333333</v>
      </c>
      <c r="I52" s="20" cm="1">
        <f t="array" ref="I52">_xlfn.XLOOKUP($I$6, 'Metric Categories 1-14'!$B$7:$FM$7, _xlfn.XLOOKUP(A52, 'Metric Categories 1-14'!$A$8:$A$57, 'Metric Categories 1-14'!$B$8:$FM$57))</f>
        <v>1.7</v>
      </c>
      <c r="J52" s="20" cm="1">
        <f t="array" ref="J52">_xlfn.XLOOKUP($J$6, 'Metric Categories 1-14'!$B$7:$FM$7, _xlfn.XLOOKUP(A52, 'Metric Categories 1-14'!$A$8:$A$57, 'Metric Categories 1-14'!$B$8:$FM$57))</f>
        <v>1</v>
      </c>
      <c r="K52" s="20" cm="1">
        <f t="array" ref="K52">_xlfn.XLOOKUP($K$6, '15. Workforce Calcs'!$B$8:$BG$8, _xlfn.XLOOKUP(A52, '15. Workforce Calcs'!$A$10:$A$59, '15. Workforce Calcs'!$B$10:$BG$59))</f>
        <v>2</v>
      </c>
      <c r="L52" s="20" cm="1">
        <f t="array" ref="L52">_xlfn.XLOOKUP($L$6, '16. Existing HQs and Projects'!$B$8:$Q$8, _xlfn.XLOOKUP(A52,'16. Existing HQs and Projects'!$A$9:$A$58, '16. Existing HQs and Projects'!$B$9:$Q$58))</f>
        <v>1</v>
      </c>
      <c r="M52" s="37">
        <f t="shared" si="1"/>
        <v>1.4616666666666667</v>
      </c>
      <c r="N52" s="37" cm="1">
        <f t="array" ref="N52">_xlfn.IFS(M52&lt;$M$58, 1, M52&gt;$M$59, 3, M52&lt;$M$59, 2)</f>
        <v>1</v>
      </c>
    </row>
    <row r="53" spans="1:14">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35">
        <f t="shared" si="0"/>
        <v>2.2524999999999999</v>
      </c>
      <c r="F53" s="301" cm="1">
        <f t="array" ref="F53">_xlfn.IFS(E53&lt;$E$58, 1, E53&gt;$E$59, 3, E53&lt;$E$59, 2)</f>
        <v>3</v>
      </c>
      <c r="G53" s="20" cm="1">
        <f t="array" ref="G53">_xlfn.XLOOKUP($G$6, 'Metric Categories 1-14'!$B$7:$FM$7, _xlfn.XLOOKUP(A53, 'Metric Categories 1-14'!$A$8:$A$57, 'Metric Categories 1-14'!$B$8:$FM$57))</f>
        <v>2</v>
      </c>
      <c r="H53" s="20" cm="1">
        <f t="array" ref="H53">_xlfn.XLOOKUP($H$6, 'Metric Categories 1-14'!$B$7:$FM$7, _xlfn.XLOOKUP(A53, 'Metric Categories 1-14'!$A$8:$A$57, 'Metric Categories 1-14'!$B$8:$FM$57))</f>
        <v>2.333333333333333</v>
      </c>
      <c r="I53" s="20" cm="1">
        <f t="array" ref="I53">_xlfn.XLOOKUP($I$6, 'Metric Categories 1-14'!$B$7:$FM$7, _xlfn.XLOOKUP(A53, 'Metric Categories 1-14'!$A$8:$A$57, 'Metric Categories 1-14'!$B$8:$FM$57))</f>
        <v>2.7</v>
      </c>
      <c r="J53" s="20" cm="1">
        <f t="array" ref="J53">_xlfn.XLOOKUP($J$6, 'Metric Categories 1-14'!$B$7:$FM$7, _xlfn.XLOOKUP(A53, 'Metric Categories 1-14'!$A$8:$A$57, 'Metric Categories 1-14'!$B$8:$FM$57))</f>
        <v>1.2000000000000002</v>
      </c>
      <c r="K53" s="20" cm="1">
        <f t="array" ref="K53">_xlfn.XLOOKUP($K$6, '15. Workforce Calcs'!$B$8:$BG$8, _xlfn.XLOOKUP(A53, '15. Workforce Calcs'!$A$10:$A$59, '15. Workforce Calcs'!$B$10:$BG$59))</f>
        <v>2</v>
      </c>
      <c r="L53" s="20" cm="1">
        <f t="array" ref="L53">_xlfn.XLOOKUP($L$6, '16. Existing HQs and Projects'!$B$8:$Q$8, _xlfn.XLOOKUP(A53,'16. Existing HQs and Projects'!$A$9:$A$58, '16. Existing HQs and Projects'!$B$9:$Q$58))</f>
        <v>1</v>
      </c>
      <c r="M53" s="37">
        <f t="shared" si="1"/>
        <v>2.0016666666666665</v>
      </c>
      <c r="N53" s="37" cm="1">
        <f t="array" ref="N53">_xlfn.IFS(M53&lt;$M$58, 1, M53&gt;$M$59, 3, M53&lt;$M$59, 2)</f>
        <v>3</v>
      </c>
    </row>
    <row r="54" spans="1:14">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35">
        <f t="shared" si="0"/>
        <v>1.1499999999999999</v>
      </c>
      <c r="F54" s="301" cm="1">
        <f t="array" ref="F54">_xlfn.IFS(E54&lt;$E$58, 1, E54&gt;$E$59, 3, E54&lt;$E$59, 2)</f>
        <v>2</v>
      </c>
      <c r="G54" s="20" cm="1">
        <f t="array" ref="G54">_xlfn.XLOOKUP($G$6, 'Metric Categories 1-14'!$B$7:$FM$7, _xlfn.XLOOKUP(A54, 'Metric Categories 1-14'!$A$8:$A$57, 'Metric Categories 1-14'!$B$8:$FM$57))</f>
        <v>1</v>
      </c>
      <c r="H54" s="20" cm="1">
        <f t="array" ref="H54">_xlfn.XLOOKUP($H$6, 'Metric Categories 1-14'!$B$7:$FM$7, _xlfn.XLOOKUP(A54, 'Metric Categories 1-14'!$A$8:$A$57, 'Metric Categories 1-14'!$B$8:$FM$57))</f>
        <v>1</v>
      </c>
      <c r="I54" s="20" cm="1">
        <f t="array" ref="I54">_xlfn.XLOOKUP($I$6, 'Metric Categories 1-14'!$B$7:$FM$7, _xlfn.XLOOKUP(A54, 'Metric Categories 1-14'!$A$8:$A$57, 'Metric Categories 1-14'!$B$8:$FM$57))</f>
        <v>1.2000000000000002</v>
      </c>
      <c r="J54" s="20" cm="1">
        <f t="array" ref="J54">_xlfn.XLOOKUP($J$6, 'Metric Categories 1-14'!$B$7:$FM$7, _xlfn.XLOOKUP(A54, 'Metric Categories 1-14'!$A$8:$A$57, 'Metric Categories 1-14'!$B$8:$FM$57))</f>
        <v>1.4</v>
      </c>
      <c r="K54" s="20" cm="1">
        <f t="array" ref="K54">_xlfn.XLOOKUP($K$6, '15. Workforce Calcs'!$B$8:$BG$8, _xlfn.XLOOKUP(A54, '15. Workforce Calcs'!$A$10:$A$59, '15. Workforce Calcs'!$B$10:$BG$59))</f>
        <v>2</v>
      </c>
      <c r="L54" s="20" cm="1">
        <f t="array" ref="L54">_xlfn.XLOOKUP($L$6, '16. Existing HQs and Projects'!$B$8:$Q$8, _xlfn.XLOOKUP(A54,'16. Existing HQs and Projects'!$A$9:$A$58, '16. Existing HQs and Projects'!$B$9:$Q$58))</f>
        <v>1</v>
      </c>
      <c r="M54" s="37">
        <f t="shared" si="1"/>
        <v>1.1400000000000001</v>
      </c>
      <c r="N54" s="37" cm="1">
        <f t="array" ref="N54">_xlfn.IFS(M54&lt;$M$58, 1, M54&gt;$M$59, 3, M54&lt;$M$59, 2)</f>
        <v>1</v>
      </c>
    </row>
    <row r="55" spans="1:14">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35">
        <f t="shared" si="0"/>
        <v>1.2374999999999998</v>
      </c>
      <c r="F55" s="301" cm="1">
        <f t="array" ref="F55">_xlfn.IFS(E55&lt;$E$58, 1, E55&gt;$E$59, 3, E55&lt;$E$59, 2)</f>
        <v>2</v>
      </c>
      <c r="G55" s="20" cm="1">
        <f t="array" ref="G55">_xlfn.XLOOKUP($G$6, 'Metric Categories 1-14'!$B$7:$FM$7, _xlfn.XLOOKUP(A55, 'Metric Categories 1-14'!$A$8:$A$57, 'Metric Categories 1-14'!$B$8:$FM$57))</f>
        <v>2</v>
      </c>
      <c r="H55" s="20" cm="1">
        <f t="array" ref="H55">_xlfn.XLOOKUP($H$6, 'Metric Categories 1-14'!$B$7:$FM$7, _xlfn.XLOOKUP(A55, 'Metric Categories 1-14'!$A$8:$A$57, 'Metric Categories 1-14'!$B$8:$FM$57))</f>
        <v>1.3333333333333333</v>
      </c>
      <c r="I55" s="20" cm="1">
        <f t="array" ref="I55">_xlfn.XLOOKUP($I$6, 'Metric Categories 1-14'!$B$7:$FM$7, _xlfn.XLOOKUP(A55, 'Metric Categories 1-14'!$A$8:$A$57, 'Metric Categories 1-14'!$B$8:$FM$57))</f>
        <v>1.2</v>
      </c>
      <c r="J55" s="20" cm="1">
        <f t="array" ref="J55">_xlfn.XLOOKUP($J$6, 'Metric Categories 1-14'!$B$7:$FM$7, _xlfn.XLOOKUP(A55, 'Metric Categories 1-14'!$A$8:$A$57, 'Metric Categories 1-14'!$B$8:$FM$57))</f>
        <v>1</v>
      </c>
      <c r="K55" s="20" cm="1">
        <f t="array" ref="K55">_xlfn.XLOOKUP($K$6, '15. Workforce Calcs'!$B$8:$BG$8, _xlfn.XLOOKUP(A55, '15. Workforce Calcs'!$A$10:$A$59, '15. Workforce Calcs'!$B$10:$BG$59))</f>
        <v>3</v>
      </c>
      <c r="L55" s="20" cm="1">
        <f t="array" ref="L55">_xlfn.XLOOKUP($L$6, '16. Existing HQs and Projects'!$B$8:$Q$8, _xlfn.XLOOKUP(A55,'16. Existing HQs and Projects'!$A$9:$A$58, '16. Existing HQs and Projects'!$B$9:$Q$58))</f>
        <v>1</v>
      </c>
      <c r="M55" s="37">
        <f t="shared" si="1"/>
        <v>1.5966666666666665</v>
      </c>
      <c r="N55" s="37" cm="1">
        <f t="array" ref="N55">_xlfn.IFS(M55&lt;$M$58, 1, M55&gt;$M$59, 3, M55&lt;$M$59, 2)</f>
        <v>1</v>
      </c>
    </row>
    <row r="56" spans="1:14">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35">
        <f t="shared" si="0"/>
        <v>1.0699999999999998</v>
      </c>
      <c r="F56" s="301" cm="1">
        <f t="array" ref="F56">_xlfn.IFS(E56&lt;$E$58, 1, E56&gt;$E$59, 3, E56&lt;$E$59, 2)</f>
        <v>1</v>
      </c>
      <c r="G56" s="20" cm="1">
        <f t="array" ref="G56">_xlfn.XLOOKUP($G$6, 'Metric Categories 1-14'!$B$7:$FM$7, _xlfn.XLOOKUP(A56, 'Metric Categories 1-14'!$A$8:$A$57, 'Metric Categories 1-14'!$B$8:$FM$57))</f>
        <v>2.5999999999999996</v>
      </c>
      <c r="H56" s="20" cm="1">
        <f t="array" ref="H56">_xlfn.XLOOKUP($H$6, 'Metric Categories 1-14'!$B$7:$FM$7, _xlfn.XLOOKUP(A56, 'Metric Categories 1-14'!$A$8:$A$57, 'Metric Categories 1-14'!$B$8:$FM$57))</f>
        <v>1.3333333333333333</v>
      </c>
      <c r="I56" s="20" cm="1">
        <f t="array" ref="I56">_xlfn.XLOOKUP($I$6, 'Metric Categories 1-14'!$B$7:$FM$7, _xlfn.XLOOKUP(A56, 'Metric Categories 1-14'!$A$8:$A$57, 'Metric Categories 1-14'!$B$8:$FM$57))</f>
        <v>2.8</v>
      </c>
      <c r="J56" s="20" cm="1">
        <f t="array" ref="J56">_xlfn.XLOOKUP($J$6, 'Metric Categories 1-14'!$B$7:$FM$7, _xlfn.XLOOKUP(A56, 'Metric Categories 1-14'!$A$8:$A$57, 'Metric Categories 1-14'!$B$8:$FM$57))</f>
        <v>2.2000000000000002</v>
      </c>
      <c r="K56" s="20" cm="1">
        <f t="array" ref="K56">_xlfn.XLOOKUP($K$6, '15. Workforce Calcs'!$B$8:$BG$8, _xlfn.XLOOKUP(A56, '15. Workforce Calcs'!$A$10:$A$59, '15. Workforce Calcs'!$B$10:$BG$59))</f>
        <v>1</v>
      </c>
      <c r="L56" s="20" cm="1">
        <f t="array" ref="L56">_xlfn.XLOOKUP($L$6, '16. Existing HQs and Projects'!$B$8:$Q$8, _xlfn.XLOOKUP(A56,'16. Existing HQs and Projects'!$A$9:$A$58, '16. Existing HQs and Projects'!$B$9:$Q$58))</f>
        <v>1</v>
      </c>
      <c r="M56" s="37">
        <f t="shared" si="1"/>
        <v>2.1566666666666658</v>
      </c>
      <c r="N56" s="37" cm="1">
        <f t="array" ref="N56">_xlfn.IFS(M56&lt;$M$58, 1, M56&gt;$M$59, 3, M56&lt;$M$59, 2)</f>
        <v>3</v>
      </c>
    </row>
    <row r="57" spans="1:14">
      <c r="L57" s="20"/>
    </row>
    <row r="58" spans="1:14">
      <c r="E58" s="35">
        <f>PERCENTILE(E7:E56, 1/3)</f>
        <v>1.1499999999999997</v>
      </c>
      <c r="M58" s="37">
        <f>PERCENTILE(M7:M56, 1/3)</f>
        <v>1.6194444444444442</v>
      </c>
    </row>
    <row r="59" spans="1:14">
      <c r="E59" s="35">
        <f>PERCENTILE(E7:E56, 2/3)</f>
        <v>1.5558333333333332</v>
      </c>
      <c r="M59" s="37">
        <f>PERCENTILE(M7:M56, 2/3)</f>
        <v>1.9955555555555555</v>
      </c>
    </row>
  </sheetData>
  <mergeCells count="2">
    <mergeCell ref="B4:E4"/>
    <mergeCell ref="G4:L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C38E9-C43F-9A47-B273-23A016D0A9F0}">
  <sheetPr>
    <tabColor rgb="FF7F7F7F"/>
  </sheetPr>
  <dimension ref="A1:AG59"/>
  <sheetViews>
    <sheetView workbookViewId="0">
      <selection activeCell="D1" sqref="D1"/>
    </sheetView>
  </sheetViews>
  <sheetFormatPr defaultColWidth="15.85546875" defaultRowHeight="14.45"/>
  <cols>
    <col min="1" max="1" width="15.85546875" style="16"/>
    <col min="2" max="4" width="15.85546875" style="13"/>
    <col min="5" max="5" width="15.85546875" style="304"/>
    <col min="6" max="6" width="15.85546875" style="303"/>
    <col min="7" max="10" width="15.85546875" style="13"/>
    <col min="11" max="11" width="15.85546875" style="23"/>
    <col min="12" max="16384" width="15.85546875" style="13"/>
  </cols>
  <sheetData>
    <row r="1" spans="1:33" s="4" customFormat="1" ht="27" customHeight="1">
      <c r="C1" s="2" t="s">
        <v>0</v>
      </c>
      <c r="D1" s="2"/>
      <c r="F1" s="297"/>
    </row>
    <row r="2" spans="1:33" s="5" customFormat="1" ht="27" customHeight="1" thickBot="1">
      <c r="C2" s="307" t="s">
        <v>710</v>
      </c>
      <c r="D2" s="3"/>
      <c r="E2" s="3"/>
      <c r="F2" s="298"/>
    </row>
    <row r="3" spans="1:33" s="6" customFormat="1" ht="23.45" thickTop="1">
      <c r="B3" s="7"/>
      <c r="E3" s="8"/>
      <c r="F3" s="19"/>
      <c r="AG3" s="14"/>
    </row>
    <row r="4" spans="1:33" ht="15" customHeight="1">
      <c r="A4" s="21"/>
      <c r="B4" s="576" t="s">
        <v>699</v>
      </c>
      <c r="C4" s="577"/>
      <c r="D4" s="577"/>
      <c r="E4" s="577"/>
      <c r="F4" s="299"/>
      <c r="G4" s="578" t="s">
        <v>700</v>
      </c>
      <c r="H4" s="578"/>
      <c r="I4" s="578"/>
      <c r="J4" s="579"/>
      <c r="L4" s="23"/>
    </row>
    <row r="5" spans="1:33" ht="15" customHeight="1">
      <c r="A5" s="21" t="s">
        <v>440</v>
      </c>
      <c r="B5" s="26">
        <v>0.3</v>
      </c>
      <c r="C5" s="26">
        <v>0.4</v>
      </c>
      <c r="D5" s="26">
        <v>0.3</v>
      </c>
      <c r="E5" s="26">
        <f>SUM(B5:D5)</f>
        <v>1</v>
      </c>
      <c r="F5" s="300"/>
      <c r="G5" s="28">
        <v>0.4</v>
      </c>
      <c r="H5" s="28">
        <v>0.3</v>
      </c>
      <c r="I5" s="28">
        <v>0.2</v>
      </c>
      <c r="J5" s="28">
        <v>0.1</v>
      </c>
      <c r="K5" s="29">
        <f>SUM(G5:J5)</f>
        <v>0.99999999999999989</v>
      </c>
      <c r="L5" s="23"/>
    </row>
    <row r="6" spans="1:33" s="34" customFormat="1" ht="72.95" thickBot="1">
      <c r="A6" s="30" t="s">
        <v>75</v>
      </c>
      <c r="B6" s="15" t="s">
        <v>82</v>
      </c>
      <c r="C6" s="15" t="s">
        <v>84</v>
      </c>
      <c r="D6" s="15" t="s">
        <v>86</v>
      </c>
      <c r="E6" s="31" t="s">
        <v>701</v>
      </c>
      <c r="F6" s="32" t="s">
        <v>702</v>
      </c>
      <c r="G6" s="15" t="s">
        <v>94</v>
      </c>
      <c r="H6" s="15" t="s">
        <v>111</v>
      </c>
      <c r="I6" s="15" t="s">
        <v>711</v>
      </c>
      <c r="J6" s="15" t="s">
        <v>690</v>
      </c>
      <c r="K6" s="33" t="s">
        <v>703</v>
      </c>
      <c r="L6" s="33" t="s">
        <v>704</v>
      </c>
    </row>
    <row r="7" spans="1:33" ht="15" customHeigh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35">
        <f>SUMPRODUCT($B$5:$D$5, B7:D7)</f>
        <v>0.99999999999999978</v>
      </c>
      <c r="F7" s="301" cm="1">
        <f t="array" ref="F7">_xlfn.IFS(E7&lt;$E$58, 1, E7&gt;$E$59, 3, E7&lt;$E$59, 2)</f>
        <v>1</v>
      </c>
      <c r="G7" s="20" cm="1">
        <f t="array" ref="G7">_xlfn.XLOOKUP($G$6, 'Metric Categories 1-14'!$B$7:$FM$7, _xlfn.XLOOKUP(A7, 'Metric Categories 1-14'!$A$8:$A$57, 'Metric Categories 1-14'!$B$8:$FM$57))</f>
        <v>1.9499999999999997</v>
      </c>
      <c r="H7" s="20" cm="1">
        <f t="array" ref="H7">_xlfn.XLOOKUP($H$6, 'Metric Categories 1-14'!$B$7:$FM$7, _xlfn.XLOOKUP(A7, 'Metric Categories 1-14'!$A$8:$A$57, 'Metric Categories 1-14'!$B$8:$FM$57))</f>
        <v>1</v>
      </c>
      <c r="I7" s="20" cm="1">
        <f t="array" ref="I7">_xlfn.XLOOKUP($I$6, '15. Workforce Calcs'!$B$8:$BG$8, _xlfn.XLOOKUP(A7, '15. Workforce Calcs'!$A$10:$A$59, '15. Workforce Calcs'!$B$10:$BG$59))</f>
        <v>2</v>
      </c>
      <c r="J7" s="20" cm="1">
        <f t="array" ref="J7">_xlfn.XLOOKUP($J$6, '16. Existing HQs and Projects'!$B$8:$Q$8, _xlfn.XLOOKUP(A7,'16. Existing HQs and Projects'!$A$9:$A$58, '16. Existing HQs and Projects'!$B$9:$Q$58))</f>
        <v>1</v>
      </c>
      <c r="K7" s="37">
        <f>SUMPRODUCT($G$5:$J$5, G7:J7)</f>
        <v>1.58</v>
      </c>
      <c r="L7" s="37" cm="1">
        <f t="array" ref="L7">_xlfn.IFS(K7&lt;$K$58, 1, K7&gt;$K$59, 3, K7=$K$59, 3, K7&lt;$K$59, 2)</f>
        <v>1</v>
      </c>
    </row>
    <row r="8" spans="1:33">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35">
        <f t="shared" ref="E8:E56" si="0">SUMPRODUCT($B$5:$D$5, B8:D8)</f>
        <v>0.99999999999999978</v>
      </c>
      <c r="F8" s="301" cm="1">
        <f t="array" ref="F8">_xlfn.IFS(E8&lt;$E$58, 1, E8&gt;$E$59, 3, E8&lt;$E$59, 2)</f>
        <v>1</v>
      </c>
      <c r="G8" s="20" cm="1">
        <f t="array" ref="G8">_xlfn.XLOOKUP($G$6, 'Metric Categories 1-14'!$B$7:$FM$7, _xlfn.XLOOKUP(A8, 'Metric Categories 1-14'!$A$8:$A$57, 'Metric Categories 1-14'!$B$8:$FM$57))</f>
        <v>1</v>
      </c>
      <c r="H8" s="20" cm="1">
        <f t="array" ref="H8">_xlfn.XLOOKUP($H$6, 'Metric Categories 1-14'!$B$7:$FM$7, _xlfn.XLOOKUP(A8, 'Metric Categories 1-14'!$A$8:$A$57, 'Metric Categories 1-14'!$B$8:$FM$57))</f>
        <v>2.333333333333333</v>
      </c>
      <c r="I8" s="20" cm="1">
        <f t="array" ref="I8">_xlfn.XLOOKUP($I$6, '15. Workforce Calcs'!$B$8:$BG$8, _xlfn.XLOOKUP(A8, '15. Workforce Calcs'!$A$10:$A$59, '15. Workforce Calcs'!$B$10:$BG$59))</f>
        <v>1</v>
      </c>
      <c r="J8" s="20" cm="1">
        <f t="array" ref="J8">_xlfn.XLOOKUP($J$6, '16. Existing HQs and Projects'!$B$8:$Q$8, _xlfn.XLOOKUP(A8,'16. Existing HQs and Projects'!$A$9:$A$58, '16. Existing HQs and Projects'!$B$9:$Q$58))</f>
        <v>1</v>
      </c>
      <c r="K8" s="37">
        <f t="shared" ref="K8:K56" si="1">SUMPRODUCT($G$5:$J$5, G8:J8)</f>
        <v>1.4</v>
      </c>
      <c r="L8" s="37" cm="1">
        <f t="array" ref="L8">_xlfn.IFS(K8&lt;$K$58, 1, K8&gt;$K$59, 3, K8=$K$59, 3, K8&lt;$K$59, 2)</f>
        <v>1</v>
      </c>
    </row>
    <row r="9" spans="1:33">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35">
        <f t="shared" si="0"/>
        <v>1.075</v>
      </c>
      <c r="F9" s="301" cm="1">
        <f t="array" ref="F9">_xlfn.IFS(E9&lt;$E$58, 1, E9&gt;$E$59, 3, E9&lt;$E$59, 2)</f>
        <v>1</v>
      </c>
      <c r="G9" s="20" cm="1">
        <f t="array" ref="G9">_xlfn.XLOOKUP($G$6, 'Metric Categories 1-14'!$B$7:$FM$7, _xlfn.XLOOKUP(A9, 'Metric Categories 1-14'!$A$8:$A$57, 'Metric Categories 1-14'!$B$8:$FM$57))</f>
        <v>1.65</v>
      </c>
      <c r="H9" s="20" cm="1">
        <f t="array" ref="H9">_xlfn.XLOOKUP($H$6, 'Metric Categories 1-14'!$B$7:$FM$7, _xlfn.XLOOKUP(A9, 'Metric Categories 1-14'!$A$8:$A$57, 'Metric Categories 1-14'!$B$8:$FM$57))</f>
        <v>2.6666666666666665</v>
      </c>
      <c r="I9" s="20" cm="1">
        <f t="array" ref="I9">_xlfn.XLOOKUP($I$6, '15. Workforce Calcs'!$B$8:$BG$8, _xlfn.XLOOKUP(A9, '15. Workforce Calcs'!$A$10:$A$59, '15. Workforce Calcs'!$B$10:$BG$59))</f>
        <v>3</v>
      </c>
      <c r="J9" s="20" cm="1">
        <f t="array" ref="J9">_xlfn.XLOOKUP($J$6, '16. Existing HQs and Projects'!$B$8:$Q$8, _xlfn.XLOOKUP(A9,'16. Existing HQs and Projects'!$A$9:$A$58, '16. Existing HQs and Projects'!$B$9:$Q$58))</f>
        <v>1</v>
      </c>
      <c r="K9" s="37">
        <f t="shared" si="1"/>
        <v>2.16</v>
      </c>
      <c r="L9" s="37" cm="1">
        <f t="array" ref="L9">_xlfn.IFS(K9&lt;$K$58, 1, K9&gt;$K$59, 3, K9=$K$59, 3, K9&lt;$K$59, 2)</f>
        <v>3</v>
      </c>
    </row>
    <row r="10" spans="1:33" ht="15">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35">
        <f t="shared" si="0"/>
        <v>1.1499999999999999</v>
      </c>
      <c r="F10" s="301" cm="1">
        <f t="array" ref="F10">_xlfn.IFS(E10&lt;$E$58, 1, E10&gt;$E$59, 3, E10&lt;$E$59, 2)</f>
        <v>1</v>
      </c>
      <c r="G10" s="20" cm="1">
        <f t="array" ref="G10">_xlfn.XLOOKUP($G$6, 'Metric Categories 1-14'!$B$7:$FM$7, _xlfn.XLOOKUP(A10, 'Metric Categories 1-14'!$A$8:$A$57, 'Metric Categories 1-14'!$B$8:$FM$57))</f>
        <v>2.5999999999999996</v>
      </c>
      <c r="H10" s="20" cm="1">
        <f t="array" ref="H10">_xlfn.XLOOKUP($H$6, 'Metric Categories 1-14'!$B$7:$FM$7, _xlfn.XLOOKUP(A10, 'Metric Categories 1-14'!$A$8:$A$57, 'Metric Categories 1-14'!$B$8:$FM$57))</f>
        <v>1</v>
      </c>
      <c r="I10" s="20" cm="1">
        <f t="array" ref="I10">_xlfn.XLOOKUP($I$6, '15. Workforce Calcs'!$B$8:$BG$8, _xlfn.XLOOKUP(A10, '15. Workforce Calcs'!$A$10:$A$59, '15. Workforce Calcs'!$B$10:$BG$59))</f>
        <v>1</v>
      </c>
      <c r="J10" s="20" cm="1">
        <f t="array" ref="J10">_xlfn.XLOOKUP($J$6, '16. Existing HQs and Projects'!$B$8:$Q$8, _xlfn.XLOOKUP(A10,'16. Existing HQs and Projects'!$A$9:$A$58, '16. Existing HQs and Projects'!$B$9:$Q$58))</f>
        <v>1</v>
      </c>
      <c r="K10" s="37">
        <f t="shared" si="1"/>
        <v>1.64</v>
      </c>
      <c r="L10" s="37" cm="1">
        <f t="array" ref="L10">_xlfn.IFS(K10&lt;$K$58, 1, K10&gt;$K$59, 3, K10=$K$59, 3, K10&lt;$K$59, 2)</f>
        <v>2</v>
      </c>
    </row>
    <row r="11" spans="1:33" ht="15">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35">
        <f t="shared" si="0"/>
        <v>2.3699999999999997</v>
      </c>
      <c r="F11" s="301" cm="1">
        <f t="array" ref="F11">_xlfn.IFS(E11&lt;$E$58, 1, E11&gt;$E$59, 3, E11&lt;$E$59, 2)</f>
        <v>3</v>
      </c>
      <c r="G11" s="20" cm="1">
        <f t="array" ref="G11">_xlfn.XLOOKUP($G$6, 'Metric Categories 1-14'!$B$7:$FM$7, _xlfn.XLOOKUP(A11, 'Metric Categories 1-14'!$A$8:$A$57, 'Metric Categories 1-14'!$B$8:$FM$57))</f>
        <v>1.8499999999999999</v>
      </c>
      <c r="H11" s="20" cm="1">
        <f t="array" ref="H11">_xlfn.XLOOKUP($H$6, 'Metric Categories 1-14'!$B$7:$FM$7, _xlfn.XLOOKUP(A11, 'Metric Categories 1-14'!$A$8:$A$57, 'Metric Categories 1-14'!$B$8:$FM$57))</f>
        <v>2.333333333333333</v>
      </c>
      <c r="I11" s="20" cm="1">
        <f t="array" ref="I11">_xlfn.XLOOKUP($I$6, '15. Workforce Calcs'!$B$8:$BG$8, _xlfn.XLOOKUP(A11, '15. Workforce Calcs'!$A$10:$A$59, '15. Workforce Calcs'!$B$10:$BG$59))</f>
        <v>3</v>
      </c>
      <c r="J11" s="20" cm="1">
        <f t="array" ref="J11">_xlfn.XLOOKUP($J$6, '16. Existing HQs and Projects'!$B$8:$Q$8, _xlfn.XLOOKUP(A11,'16. Existing HQs and Projects'!$A$9:$A$58, '16. Existing HQs and Projects'!$B$9:$Q$58))</f>
        <v>3</v>
      </c>
      <c r="K11" s="37">
        <f t="shared" si="1"/>
        <v>2.34</v>
      </c>
      <c r="L11" s="37" cm="1">
        <f t="array" ref="L11">_xlfn.IFS(K11&lt;$K$58, 1, K11&gt;$K$59, 3, K11=$K$59, 3, K11&lt;$K$59, 2)</f>
        <v>3</v>
      </c>
    </row>
    <row r="12" spans="1:33" ht="15">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35">
        <f t="shared" si="0"/>
        <v>1.8249999999999997</v>
      </c>
      <c r="F12" s="301" cm="1">
        <f t="array" ref="F12">_xlfn.IFS(E12&lt;$E$58, 1, E12&gt;$E$59, 3, E12&lt;$E$59, 2)</f>
        <v>3</v>
      </c>
      <c r="G12" s="20" cm="1">
        <f t="array" ref="G12">_xlfn.XLOOKUP($G$6, 'Metric Categories 1-14'!$B$7:$FM$7, _xlfn.XLOOKUP(A12, 'Metric Categories 1-14'!$A$8:$A$57, 'Metric Categories 1-14'!$B$8:$FM$57))</f>
        <v>2.0500000000000003</v>
      </c>
      <c r="H12" s="20" cm="1">
        <f t="array" ref="H12">_xlfn.XLOOKUP($H$6, 'Metric Categories 1-14'!$B$7:$FM$7, _xlfn.XLOOKUP(A12, 'Metric Categories 1-14'!$A$8:$A$57, 'Metric Categories 1-14'!$B$8:$FM$57))</f>
        <v>2</v>
      </c>
      <c r="I12" s="20" cm="1">
        <f t="array" ref="I12">_xlfn.XLOOKUP($I$6, '15. Workforce Calcs'!$B$8:$BG$8, _xlfn.XLOOKUP(A12, '15. Workforce Calcs'!$A$10:$A$59, '15. Workforce Calcs'!$B$10:$BG$59))</f>
        <v>3</v>
      </c>
      <c r="J12" s="20" cm="1">
        <f t="array" ref="J12">_xlfn.XLOOKUP($J$6, '16. Existing HQs and Projects'!$B$8:$Q$8, _xlfn.XLOOKUP(A12,'16. Existing HQs and Projects'!$A$9:$A$58, '16. Existing HQs and Projects'!$B$9:$Q$58))</f>
        <v>1</v>
      </c>
      <c r="K12" s="37">
        <f t="shared" si="1"/>
        <v>2.1200000000000006</v>
      </c>
      <c r="L12" s="37" cm="1">
        <f t="array" ref="L12">_xlfn.IFS(K12&lt;$K$58, 1, K12&gt;$K$59, 3, K12=$K$59, 3, K12&lt;$K$59, 2)</f>
        <v>3</v>
      </c>
      <c r="M12" s="422"/>
      <c r="N12" s="422"/>
    </row>
    <row r="13" spans="1:33" ht="15">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35">
        <f t="shared" si="0"/>
        <v>1.8699999999999997</v>
      </c>
      <c r="F13" s="301" cm="1">
        <f t="array" ref="F13">_xlfn.IFS(E13&lt;$E$58, 1, E13&gt;$E$59, 3, E13&lt;$E$59, 2)</f>
        <v>3</v>
      </c>
      <c r="G13" s="20" cm="1">
        <f t="array" ref="G13">_xlfn.XLOOKUP($G$6, 'Metric Categories 1-14'!$B$7:$FM$7, _xlfn.XLOOKUP(A13, 'Metric Categories 1-14'!$A$8:$A$57, 'Metric Categories 1-14'!$B$8:$FM$57))</f>
        <v>1.6999999999999997</v>
      </c>
      <c r="H13" s="20" cm="1">
        <f t="array" ref="H13">_xlfn.XLOOKUP($H$6, 'Metric Categories 1-14'!$B$7:$FM$7, _xlfn.XLOOKUP(A13, 'Metric Categories 1-14'!$A$8:$A$57, 'Metric Categories 1-14'!$B$8:$FM$57))</f>
        <v>2</v>
      </c>
      <c r="I13" s="20" cm="1">
        <f t="array" ref="I13">_xlfn.XLOOKUP($I$6, '15. Workforce Calcs'!$B$8:$BG$8, _xlfn.XLOOKUP(A13, '15. Workforce Calcs'!$A$10:$A$59, '15. Workforce Calcs'!$B$10:$BG$59))</f>
        <v>1</v>
      </c>
      <c r="J13" s="20" cm="1">
        <f t="array" ref="J13">_xlfn.XLOOKUP($J$6, '16. Existing HQs and Projects'!$B$8:$Q$8, _xlfn.XLOOKUP(A13,'16. Existing HQs and Projects'!$A$9:$A$58, '16. Existing HQs and Projects'!$B$9:$Q$58))</f>
        <v>1</v>
      </c>
      <c r="K13" s="37">
        <f t="shared" si="1"/>
        <v>1.5799999999999998</v>
      </c>
      <c r="L13" s="37" cm="1">
        <f t="array" ref="L13">_xlfn.IFS(K13&lt;$K$58, 1, K13&gt;$K$59, 3, K13=$K$59, 3, K13&lt;$K$59, 2)</f>
        <v>1</v>
      </c>
      <c r="M13" s="12"/>
    </row>
    <row r="14" spans="1:33" ht="15">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35">
        <f t="shared" si="0"/>
        <v>1.5099999999999998</v>
      </c>
      <c r="F14" s="301" cm="1">
        <f t="array" ref="F14">_xlfn.IFS(E14&lt;$E$58, 1, E14&gt;$E$59, 3, E14&lt;$E$59, 2)</f>
        <v>2</v>
      </c>
      <c r="G14" s="20" cm="1">
        <f t="array" ref="G14">_xlfn.XLOOKUP($G$6, 'Metric Categories 1-14'!$B$7:$FM$7, _xlfn.XLOOKUP(A14, 'Metric Categories 1-14'!$A$8:$A$57, 'Metric Categories 1-14'!$B$8:$FM$57))</f>
        <v>2.0999999999999996</v>
      </c>
      <c r="H14" s="20" cm="1">
        <f t="array" ref="H14">_xlfn.XLOOKUP($H$6, 'Metric Categories 1-14'!$B$7:$FM$7, _xlfn.XLOOKUP(A14, 'Metric Categories 1-14'!$A$8:$A$57, 'Metric Categories 1-14'!$B$8:$FM$57))</f>
        <v>1</v>
      </c>
      <c r="I14" s="20" cm="1">
        <f t="array" ref="I14">_xlfn.XLOOKUP($I$6, '15. Workforce Calcs'!$B$8:$BG$8, _xlfn.XLOOKUP(A14, '15. Workforce Calcs'!$A$10:$A$59, '15. Workforce Calcs'!$B$10:$BG$59))</f>
        <v>1</v>
      </c>
      <c r="J14" s="20" cm="1">
        <f t="array" ref="J14">_xlfn.XLOOKUP($J$6, '16. Existing HQs and Projects'!$B$8:$Q$8, _xlfn.XLOOKUP(A14,'16. Existing HQs and Projects'!$A$9:$A$58, '16. Existing HQs and Projects'!$B$9:$Q$58))</f>
        <v>1</v>
      </c>
      <c r="K14" s="37">
        <f t="shared" si="1"/>
        <v>1.44</v>
      </c>
      <c r="L14" s="37" cm="1">
        <f t="array" ref="L14">_xlfn.IFS(K14&lt;$K$58, 1, K14&gt;$K$59, 3, K14=$K$59, 3, K14&lt;$K$59, 2)</f>
        <v>1</v>
      </c>
      <c r="M14" s="12"/>
    </row>
    <row r="15" spans="1:33" ht="15">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35">
        <f t="shared" si="0"/>
        <v>1.375</v>
      </c>
      <c r="F15" s="301" cm="1">
        <f t="array" ref="F15">_xlfn.IFS(E15&lt;$E$58, 1, E15&gt;$E$59, 3, E15&lt;$E$59, 2)</f>
        <v>2</v>
      </c>
      <c r="G15" s="20" cm="1">
        <f t="array" ref="G15">_xlfn.XLOOKUP($G$6, 'Metric Categories 1-14'!$B$7:$FM$7, _xlfn.XLOOKUP(A15, 'Metric Categories 1-14'!$A$8:$A$57, 'Metric Categories 1-14'!$B$8:$FM$57))</f>
        <v>2.3499999999999996</v>
      </c>
      <c r="H15" s="20" cm="1">
        <f t="array" ref="H15">_xlfn.XLOOKUP($H$6, 'Metric Categories 1-14'!$B$7:$FM$7, _xlfn.XLOOKUP(A15, 'Metric Categories 1-14'!$A$8:$A$57, 'Metric Categories 1-14'!$B$8:$FM$57))</f>
        <v>1.3333333333333333</v>
      </c>
      <c r="I15" s="20" cm="1">
        <f t="array" ref="I15">_xlfn.XLOOKUP($I$6, '15. Workforce Calcs'!$B$8:$BG$8, _xlfn.XLOOKUP(A15, '15. Workforce Calcs'!$A$10:$A$59, '15. Workforce Calcs'!$B$10:$BG$59))</f>
        <v>3</v>
      </c>
      <c r="J15" s="20" cm="1">
        <f t="array" ref="J15">_xlfn.XLOOKUP($J$6, '16. Existing HQs and Projects'!$B$8:$Q$8, _xlfn.XLOOKUP(A15,'16. Existing HQs and Projects'!$A$9:$A$58, '16. Existing HQs and Projects'!$B$9:$Q$58))</f>
        <v>1</v>
      </c>
      <c r="K15" s="37">
        <f t="shared" si="1"/>
        <v>2.04</v>
      </c>
      <c r="L15" s="37" cm="1">
        <f t="array" ref="L15">_xlfn.IFS(K15&lt;$K$58, 1, K15&gt;$K$59, 3, K15=$K$59, 3, K15&lt;$K$59, 2)</f>
        <v>3</v>
      </c>
    </row>
    <row r="16" spans="1:33" ht="15">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35">
        <f t="shared" si="0"/>
        <v>1.1799999999999997</v>
      </c>
      <c r="F16" s="301" cm="1">
        <f t="array" ref="F16">_xlfn.IFS(E16&lt;$E$58, 1, E16&gt;$E$59, 3, E16&lt;$E$59, 2)</f>
        <v>2</v>
      </c>
      <c r="G16" s="20" cm="1">
        <f t="array" ref="G16">_xlfn.XLOOKUP($G$6, 'Metric Categories 1-14'!$B$7:$FM$7, _xlfn.XLOOKUP(A16, 'Metric Categories 1-14'!$A$8:$A$57, 'Metric Categories 1-14'!$B$8:$FM$57))</f>
        <v>2.5999999999999996</v>
      </c>
      <c r="H16" s="20" cm="1">
        <f t="array" ref="H16">_xlfn.XLOOKUP($H$6, 'Metric Categories 1-14'!$B$7:$FM$7, _xlfn.XLOOKUP(A16, 'Metric Categories 1-14'!$A$8:$A$57, 'Metric Categories 1-14'!$B$8:$FM$57))</f>
        <v>1.3333333333333333</v>
      </c>
      <c r="I16" s="20" cm="1">
        <f t="array" ref="I16">_xlfn.XLOOKUP($I$6, '15. Workforce Calcs'!$B$8:$BG$8, _xlfn.XLOOKUP(A16, '15. Workforce Calcs'!$A$10:$A$59, '15. Workforce Calcs'!$B$10:$BG$59))</f>
        <v>3</v>
      </c>
      <c r="J16" s="20" cm="1">
        <f t="array" ref="J16">_xlfn.XLOOKUP($J$6, '16. Existing HQs and Projects'!$B$8:$Q$8, _xlfn.XLOOKUP(A16,'16. Existing HQs and Projects'!$A$9:$A$58, '16. Existing HQs and Projects'!$B$9:$Q$58))</f>
        <v>1</v>
      </c>
      <c r="K16" s="37">
        <f t="shared" si="1"/>
        <v>2.14</v>
      </c>
      <c r="L16" s="37" cm="1">
        <f t="array" ref="L16">_xlfn.IFS(K16&lt;$K$58, 1, K16&gt;$K$59, 3, K16=$K$59, 3, K16&lt;$K$59, 2)</f>
        <v>3</v>
      </c>
    </row>
    <row r="17" spans="1:12">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35">
        <f t="shared" si="0"/>
        <v>1.605</v>
      </c>
      <c r="F17" s="301" cm="1">
        <f t="array" ref="F17">_xlfn.IFS(E17&lt;$E$58, 1, E17&gt;$E$59, 3, E17&lt;$E$59, 2)</f>
        <v>3</v>
      </c>
      <c r="G17" s="20" cm="1">
        <f t="array" ref="G17">_xlfn.XLOOKUP($G$6, 'Metric Categories 1-14'!$B$7:$FM$7, _xlfn.XLOOKUP(A17, 'Metric Categories 1-14'!$A$8:$A$57, 'Metric Categories 1-14'!$B$8:$FM$57))</f>
        <v>1.4</v>
      </c>
      <c r="H17" s="20" cm="1">
        <f t="array" ref="H17">_xlfn.XLOOKUP($H$6, 'Metric Categories 1-14'!$B$7:$FM$7, _xlfn.XLOOKUP(A17, 'Metric Categories 1-14'!$A$8:$A$57, 'Metric Categories 1-14'!$B$8:$FM$57))</f>
        <v>1</v>
      </c>
      <c r="I17" s="20" cm="1">
        <f t="array" ref="I17">_xlfn.XLOOKUP($I$6, '15. Workforce Calcs'!$B$8:$BG$8, _xlfn.XLOOKUP(A17, '15. Workforce Calcs'!$A$10:$A$59, '15. Workforce Calcs'!$B$10:$BG$59))</f>
        <v>1</v>
      </c>
      <c r="J17" s="20" cm="1">
        <f t="array" ref="J17">_xlfn.XLOOKUP($J$6, '16. Existing HQs and Projects'!$B$8:$Q$8, _xlfn.XLOOKUP(A17,'16. Existing HQs and Projects'!$A$9:$A$58, '16. Existing HQs and Projects'!$B$9:$Q$58))</f>
        <v>1</v>
      </c>
      <c r="K17" s="37">
        <f t="shared" si="1"/>
        <v>1.1599999999999999</v>
      </c>
      <c r="L17" s="37" cm="1">
        <f t="array" ref="L17">_xlfn.IFS(K17&lt;$K$58, 1, K17&gt;$K$59, 3, K17=$K$59, 3, K17&lt;$K$59, 2)</f>
        <v>1</v>
      </c>
    </row>
    <row r="18" spans="1:12">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35">
        <f t="shared" si="0"/>
        <v>1.1799999999999997</v>
      </c>
      <c r="F18" s="301" cm="1">
        <f t="array" ref="F18">_xlfn.IFS(E18&lt;$E$58, 1, E18&gt;$E$59, 3, E18&lt;$E$59, 2)</f>
        <v>2</v>
      </c>
      <c r="G18" s="20" cm="1">
        <f t="array" ref="G18">_xlfn.XLOOKUP($G$6, 'Metric Categories 1-14'!$B$7:$FM$7, _xlfn.XLOOKUP(A18, 'Metric Categories 1-14'!$A$8:$A$57, 'Metric Categories 1-14'!$B$8:$FM$57))</f>
        <v>1.25</v>
      </c>
      <c r="H18" s="20" cm="1">
        <f t="array" ref="H18">_xlfn.XLOOKUP($H$6, 'Metric Categories 1-14'!$B$7:$FM$7, _xlfn.XLOOKUP(A18, 'Metric Categories 1-14'!$A$8:$A$57, 'Metric Categories 1-14'!$B$8:$FM$57))</f>
        <v>2</v>
      </c>
      <c r="I18" s="20" cm="1">
        <f t="array" ref="I18">_xlfn.XLOOKUP($I$6, '15. Workforce Calcs'!$B$8:$BG$8, _xlfn.XLOOKUP(A18, '15. Workforce Calcs'!$A$10:$A$59, '15. Workforce Calcs'!$B$10:$BG$59))</f>
        <v>1</v>
      </c>
      <c r="J18" s="20" cm="1">
        <f t="array" ref="J18">_xlfn.XLOOKUP($J$6, '16. Existing HQs and Projects'!$B$8:$Q$8, _xlfn.XLOOKUP(A18,'16. Existing HQs and Projects'!$A$9:$A$58, '16. Existing HQs and Projects'!$B$9:$Q$58))</f>
        <v>1</v>
      </c>
      <c r="K18" s="37">
        <f t="shared" si="1"/>
        <v>1.4000000000000001</v>
      </c>
      <c r="L18" s="37" cm="1">
        <f t="array" ref="L18">_xlfn.IFS(K18&lt;$K$58, 1, K18&gt;$K$59, 3, K18=$K$59, 3, K18&lt;$K$59, 2)</f>
        <v>1</v>
      </c>
    </row>
    <row r="19" spans="1:12">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35">
        <f t="shared" si="0"/>
        <v>1.71</v>
      </c>
      <c r="F19" s="301" cm="1">
        <f t="array" ref="F19">_xlfn.IFS(E19&lt;$E$58, 1, E19&gt;$E$59, 3, E19&lt;$E$59, 2)</f>
        <v>3</v>
      </c>
      <c r="G19" s="20" cm="1">
        <f t="array" ref="G19">_xlfn.XLOOKUP($G$6, 'Metric Categories 1-14'!$B$7:$FM$7, _xlfn.XLOOKUP(A19, 'Metric Categories 1-14'!$A$8:$A$57, 'Metric Categories 1-14'!$B$8:$FM$57))</f>
        <v>2.6500000000000004</v>
      </c>
      <c r="H19" s="20" cm="1">
        <f t="array" ref="H19">_xlfn.XLOOKUP($H$6, 'Metric Categories 1-14'!$B$7:$FM$7, _xlfn.XLOOKUP(A19, 'Metric Categories 1-14'!$A$8:$A$57, 'Metric Categories 1-14'!$B$8:$FM$57))</f>
        <v>1</v>
      </c>
      <c r="I19" s="20" cm="1">
        <f t="array" ref="I19">_xlfn.XLOOKUP($I$6, '15. Workforce Calcs'!$B$8:$BG$8, _xlfn.XLOOKUP(A19, '15. Workforce Calcs'!$A$10:$A$59, '15. Workforce Calcs'!$B$10:$BG$59))</f>
        <v>3</v>
      </c>
      <c r="J19" s="20" cm="1">
        <f t="array" ref="J19">_xlfn.XLOOKUP($J$6, '16. Existing HQs and Projects'!$B$8:$Q$8, _xlfn.XLOOKUP(A19,'16. Existing HQs and Projects'!$A$9:$A$58, '16. Existing HQs and Projects'!$B$9:$Q$58))</f>
        <v>1</v>
      </c>
      <c r="K19" s="37">
        <f t="shared" si="1"/>
        <v>2.0600000000000005</v>
      </c>
      <c r="L19" s="37" cm="1">
        <f t="array" ref="L19">_xlfn.IFS(K19&lt;$K$58, 1, K19&gt;$K$59, 3, K19=$K$59, 3, K19&lt;$K$59, 2)</f>
        <v>3</v>
      </c>
    </row>
    <row r="20" spans="1:12">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35">
        <f t="shared" si="0"/>
        <v>1.1799999999999997</v>
      </c>
      <c r="F20" s="301" cm="1">
        <f t="array" ref="F20">_xlfn.IFS(E20&lt;$E$58, 1, E20&gt;$E$59, 3, E20&lt;$E$59, 2)</f>
        <v>2</v>
      </c>
      <c r="G20" s="20" cm="1">
        <f t="array" ref="G20">_xlfn.XLOOKUP($G$6, 'Metric Categories 1-14'!$B$7:$FM$7, _xlfn.XLOOKUP(A20, 'Metric Categories 1-14'!$A$8:$A$57, 'Metric Categories 1-14'!$B$8:$FM$57))</f>
        <v>2.6500000000000004</v>
      </c>
      <c r="H20" s="20" cm="1">
        <f t="array" ref="H20">_xlfn.XLOOKUP($H$6, 'Metric Categories 1-14'!$B$7:$FM$7, _xlfn.XLOOKUP(A20, 'Metric Categories 1-14'!$A$8:$A$57, 'Metric Categories 1-14'!$B$8:$FM$57))</f>
        <v>1</v>
      </c>
      <c r="I20" s="20" cm="1">
        <f t="array" ref="I20">_xlfn.XLOOKUP($I$6, '15. Workforce Calcs'!$B$8:$BG$8, _xlfn.XLOOKUP(A20, '15. Workforce Calcs'!$A$10:$A$59, '15. Workforce Calcs'!$B$10:$BG$59))</f>
        <v>2</v>
      </c>
      <c r="J20" s="20" cm="1">
        <f t="array" ref="J20">_xlfn.XLOOKUP($J$6, '16. Existing HQs and Projects'!$B$8:$Q$8, _xlfn.XLOOKUP(A20,'16. Existing HQs and Projects'!$A$9:$A$58, '16. Existing HQs and Projects'!$B$9:$Q$58))</f>
        <v>1</v>
      </c>
      <c r="K20" s="37">
        <f t="shared" si="1"/>
        <v>1.8600000000000003</v>
      </c>
      <c r="L20" s="37" cm="1">
        <f t="array" ref="L20">_xlfn.IFS(K20&lt;$K$58, 1, K20&gt;$K$59, 3, K20=$K$59, 3, K20&lt;$K$59, 2)</f>
        <v>2</v>
      </c>
    </row>
    <row r="21" spans="1:12">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35">
        <f t="shared" si="0"/>
        <v>1.1499999999999999</v>
      </c>
      <c r="F21" s="301" cm="1">
        <f t="array" ref="F21">_xlfn.IFS(E21&lt;$E$58, 1, E21&gt;$E$59, 3, E21&lt;$E$59, 2)</f>
        <v>1</v>
      </c>
      <c r="G21" s="20" cm="1">
        <f t="array" ref="G21">_xlfn.XLOOKUP($G$6, 'Metric Categories 1-14'!$B$7:$FM$7, _xlfn.XLOOKUP(A21, 'Metric Categories 1-14'!$A$8:$A$57, 'Metric Categories 1-14'!$B$8:$FM$57))</f>
        <v>2.6500000000000004</v>
      </c>
      <c r="H21" s="20" cm="1">
        <f t="array" ref="H21">_xlfn.XLOOKUP($H$6, 'Metric Categories 1-14'!$B$7:$FM$7, _xlfn.XLOOKUP(A21, 'Metric Categories 1-14'!$A$8:$A$57, 'Metric Categories 1-14'!$B$8:$FM$57))</f>
        <v>1</v>
      </c>
      <c r="I21" s="20" cm="1">
        <f t="array" ref="I21">_xlfn.XLOOKUP($I$6, '15. Workforce Calcs'!$B$8:$BG$8, _xlfn.XLOOKUP(A21, '15. Workforce Calcs'!$A$10:$A$59, '15. Workforce Calcs'!$B$10:$BG$59))</f>
        <v>2</v>
      </c>
      <c r="J21" s="20" cm="1">
        <f t="array" ref="J21">_xlfn.XLOOKUP($J$6, '16. Existing HQs and Projects'!$B$8:$Q$8, _xlfn.XLOOKUP(A21,'16. Existing HQs and Projects'!$A$9:$A$58, '16. Existing HQs and Projects'!$B$9:$Q$58))</f>
        <v>1</v>
      </c>
      <c r="K21" s="37">
        <f t="shared" si="1"/>
        <v>1.8600000000000003</v>
      </c>
      <c r="L21" s="37" cm="1">
        <f t="array" ref="L21">_xlfn.IFS(K21&lt;$K$58, 1, K21&gt;$K$59, 3, K21=$K$59, 3, K21&lt;$K$59, 2)</f>
        <v>2</v>
      </c>
    </row>
    <row r="22" spans="1:12">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35">
        <f t="shared" si="0"/>
        <v>0.91999999999999993</v>
      </c>
      <c r="F22" s="301" cm="1">
        <f t="array" ref="F22">_xlfn.IFS(E22&lt;$E$58, 1, E22&gt;$E$59, 3, E22&lt;$E$59, 2)</f>
        <v>1</v>
      </c>
      <c r="G22" s="20" cm="1">
        <f t="array" ref="G22">_xlfn.XLOOKUP($G$6, 'Metric Categories 1-14'!$B$7:$FM$7, _xlfn.XLOOKUP(A22, 'Metric Categories 1-14'!$A$8:$A$57, 'Metric Categories 1-14'!$B$8:$FM$57))</f>
        <v>2.3000000000000003</v>
      </c>
      <c r="H22" s="20" cm="1">
        <f t="array" ref="H22">_xlfn.XLOOKUP($H$6, 'Metric Categories 1-14'!$B$7:$FM$7, _xlfn.XLOOKUP(A22, 'Metric Categories 1-14'!$A$8:$A$57, 'Metric Categories 1-14'!$B$8:$FM$57))</f>
        <v>1</v>
      </c>
      <c r="I22" s="20" cm="1">
        <f t="array" ref="I22">_xlfn.XLOOKUP($I$6, '15. Workforce Calcs'!$B$8:$BG$8, _xlfn.XLOOKUP(A22, '15. Workforce Calcs'!$A$10:$A$59, '15. Workforce Calcs'!$B$10:$BG$59))</f>
        <v>1</v>
      </c>
      <c r="J22" s="20" cm="1">
        <f t="array" ref="J22">_xlfn.XLOOKUP($J$6, '16. Existing HQs and Projects'!$B$8:$Q$8, _xlfn.XLOOKUP(A22,'16. Existing HQs and Projects'!$A$9:$A$58, '16. Existing HQs and Projects'!$B$9:$Q$58))</f>
        <v>1</v>
      </c>
      <c r="K22" s="37">
        <f t="shared" si="1"/>
        <v>1.5200000000000002</v>
      </c>
      <c r="L22" s="37" cm="1">
        <f t="array" ref="L22">_xlfn.IFS(K22&lt;$K$58, 1, K22&gt;$K$59, 3, K22=$K$59, 3, K22&lt;$K$59, 2)</f>
        <v>1</v>
      </c>
    </row>
    <row r="23" spans="1:12">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35">
        <f t="shared" si="0"/>
        <v>1.2849999999999999</v>
      </c>
      <c r="F23" s="301" cm="1">
        <f t="array" ref="F23">_xlfn.IFS(E23&lt;$E$58, 1, E23&gt;$E$59, 3, E23&lt;$E$59, 2)</f>
        <v>2</v>
      </c>
      <c r="G23" s="20" cm="1">
        <f t="array" ref="G23">_xlfn.XLOOKUP($G$6, 'Metric Categories 1-14'!$B$7:$FM$7, _xlfn.XLOOKUP(A23, 'Metric Categories 1-14'!$A$8:$A$57, 'Metric Categories 1-14'!$B$8:$FM$57))</f>
        <v>2.75</v>
      </c>
      <c r="H23" s="20" cm="1">
        <f t="array" ref="H23">_xlfn.XLOOKUP($H$6, 'Metric Categories 1-14'!$B$7:$FM$7, _xlfn.XLOOKUP(A23, 'Metric Categories 1-14'!$A$8:$A$57, 'Metric Categories 1-14'!$B$8:$FM$57))</f>
        <v>1</v>
      </c>
      <c r="I23" s="20" cm="1">
        <f t="array" ref="I23">_xlfn.XLOOKUP($I$6, '15. Workforce Calcs'!$B$8:$BG$8, _xlfn.XLOOKUP(A23, '15. Workforce Calcs'!$A$10:$A$59, '15. Workforce Calcs'!$B$10:$BG$59))</f>
        <v>2</v>
      </c>
      <c r="J23" s="20" cm="1">
        <f t="array" ref="J23">_xlfn.XLOOKUP($J$6, '16. Existing HQs and Projects'!$B$8:$Q$8, _xlfn.XLOOKUP(A23,'16. Existing HQs and Projects'!$A$9:$A$58, '16. Existing HQs and Projects'!$B$9:$Q$58))</f>
        <v>1</v>
      </c>
      <c r="K23" s="37">
        <f t="shared" si="1"/>
        <v>1.9000000000000004</v>
      </c>
      <c r="L23" s="37" cm="1">
        <f t="array" ref="L23">_xlfn.IFS(K23&lt;$K$58, 1, K23&gt;$K$59, 3, K23=$K$59, 3, K23&lt;$K$59, 2)</f>
        <v>2</v>
      </c>
    </row>
    <row r="24" spans="1:12">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35">
        <f t="shared" si="0"/>
        <v>1.31</v>
      </c>
      <c r="F24" s="301" cm="1">
        <f t="array" ref="F24">_xlfn.IFS(E24&lt;$E$58, 1, E24&gt;$E$59, 3, E24&lt;$E$59, 2)</f>
        <v>2</v>
      </c>
      <c r="G24" s="20" cm="1">
        <f t="array" ref="G24">_xlfn.XLOOKUP($G$6, 'Metric Categories 1-14'!$B$7:$FM$7, _xlfn.XLOOKUP(A24, 'Metric Categories 1-14'!$A$8:$A$57, 'Metric Categories 1-14'!$B$8:$FM$57))</f>
        <v>2.3499999999999996</v>
      </c>
      <c r="H24" s="20" cm="1">
        <f t="array" ref="H24">_xlfn.XLOOKUP($H$6, 'Metric Categories 1-14'!$B$7:$FM$7, _xlfn.XLOOKUP(A24, 'Metric Categories 1-14'!$A$8:$A$57, 'Metric Categories 1-14'!$B$8:$FM$57))</f>
        <v>1</v>
      </c>
      <c r="I24" s="20" cm="1">
        <f t="array" ref="I24">_xlfn.XLOOKUP($I$6, '15. Workforce Calcs'!$B$8:$BG$8, _xlfn.XLOOKUP(A24, '15. Workforce Calcs'!$A$10:$A$59, '15. Workforce Calcs'!$B$10:$BG$59))</f>
        <v>3</v>
      </c>
      <c r="J24" s="20" cm="1">
        <f t="array" ref="J24">_xlfn.XLOOKUP($J$6, '16. Existing HQs and Projects'!$B$8:$Q$8, _xlfn.XLOOKUP(A24,'16. Existing HQs and Projects'!$A$9:$A$58, '16. Existing HQs and Projects'!$B$9:$Q$58))</f>
        <v>1</v>
      </c>
      <c r="K24" s="37">
        <f t="shared" si="1"/>
        <v>1.9400000000000002</v>
      </c>
      <c r="L24" s="37" cm="1">
        <f t="array" ref="L24">_xlfn.IFS(K24&lt;$K$58, 1, K24&gt;$K$59, 3, K24=$K$59, 3, K24&lt;$K$59, 2)</f>
        <v>3</v>
      </c>
    </row>
    <row r="25" spans="1:12">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35">
        <f t="shared" si="0"/>
        <v>1.59</v>
      </c>
      <c r="F25" s="301" cm="1">
        <f t="array" ref="F25">_xlfn.IFS(E25&lt;$E$58, 1, E25&gt;$E$59, 3, E25&lt;$E$59, 2)</f>
        <v>3</v>
      </c>
      <c r="G25" s="20" cm="1">
        <f t="array" ref="G25">_xlfn.XLOOKUP($G$6, 'Metric Categories 1-14'!$B$7:$FM$7, _xlfn.XLOOKUP(A25, 'Metric Categories 1-14'!$A$8:$A$57, 'Metric Categories 1-14'!$B$8:$FM$57))</f>
        <v>1.6999999999999997</v>
      </c>
      <c r="H25" s="20" cm="1">
        <f t="array" ref="H25">_xlfn.XLOOKUP($H$6, 'Metric Categories 1-14'!$B$7:$FM$7, _xlfn.XLOOKUP(A25, 'Metric Categories 1-14'!$A$8:$A$57, 'Metric Categories 1-14'!$B$8:$FM$57))</f>
        <v>1.3333333333333333</v>
      </c>
      <c r="I25" s="20" cm="1">
        <f t="array" ref="I25">_xlfn.XLOOKUP($I$6, '15. Workforce Calcs'!$B$8:$BG$8, _xlfn.XLOOKUP(A25, '15. Workforce Calcs'!$A$10:$A$59, '15. Workforce Calcs'!$B$10:$BG$59))</f>
        <v>1</v>
      </c>
      <c r="J25" s="20" cm="1">
        <f t="array" ref="J25">_xlfn.XLOOKUP($J$6, '16. Existing HQs and Projects'!$B$8:$Q$8, _xlfn.XLOOKUP(A25,'16. Existing HQs and Projects'!$A$9:$A$58, '16. Existing HQs and Projects'!$B$9:$Q$58))</f>
        <v>1</v>
      </c>
      <c r="K25" s="37">
        <f t="shared" si="1"/>
        <v>1.38</v>
      </c>
      <c r="L25" s="37" cm="1">
        <f t="array" ref="L25">_xlfn.IFS(K25&lt;$K$58, 1, K25&gt;$K$59, 3, K25=$K$59, 3, K25&lt;$K$59, 2)</f>
        <v>1</v>
      </c>
    </row>
    <row r="26" spans="1:12">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35">
        <f t="shared" si="0"/>
        <v>1.75</v>
      </c>
      <c r="F26" s="301" cm="1">
        <f t="array" ref="F26">_xlfn.IFS(E26&lt;$E$58, 1, E26&gt;$E$59, 3, E26&lt;$E$59, 2)</f>
        <v>3</v>
      </c>
      <c r="G26" s="20" cm="1">
        <f t="array" ref="G26">_xlfn.XLOOKUP($G$6, 'Metric Categories 1-14'!$B$7:$FM$7, _xlfn.XLOOKUP(A26, 'Metric Categories 1-14'!$A$8:$A$57, 'Metric Categories 1-14'!$B$8:$FM$57))</f>
        <v>2.0999999999999996</v>
      </c>
      <c r="H26" s="20" cm="1">
        <f t="array" ref="H26">_xlfn.XLOOKUP($H$6, 'Metric Categories 1-14'!$B$7:$FM$7, _xlfn.XLOOKUP(A26, 'Metric Categories 1-14'!$A$8:$A$57, 'Metric Categories 1-14'!$B$8:$FM$57))</f>
        <v>1</v>
      </c>
      <c r="I26" s="20" cm="1">
        <f t="array" ref="I26">_xlfn.XLOOKUP($I$6, '15. Workforce Calcs'!$B$8:$BG$8, _xlfn.XLOOKUP(A26, '15. Workforce Calcs'!$A$10:$A$59, '15. Workforce Calcs'!$B$10:$BG$59))</f>
        <v>1</v>
      </c>
      <c r="J26" s="20" cm="1">
        <f t="array" ref="J26">_xlfn.XLOOKUP($J$6, '16. Existing HQs and Projects'!$B$8:$Q$8, _xlfn.XLOOKUP(A26,'16. Existing HQs and Projects'!$A$9:$A$58, '16. Existing HQs and Projects'!$B$9:$Q$58))</f>
        <v>1</v>
      </c>
      <c r="K26" s="37">
        <f t="shared" si="1"/>
        <v>1.44</v>
      </c>
      <c r="L26" s="37" cm="1">
        <f t="array" ref="L26">_xlfn.IFS(K26&lt;$K$58, 1, K26&gt;$K$59, 3, K26=$K$59, 3, K26&lt;$K$59, 2)</f>
        <v>1</v>
      </c>
    </row>
    <row r="27" spans="1:12">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35">
        <f t="shared" si="0"/>
        <v>2.13</v>
      </c>
      <c r="F27" s="301" cm="1">
        <f t="array" ref="F27">_xlfn.IFS(E27&lt;$E$58, 1, E27&gt;$E$59, 3, E27&lt;$E$59, 2)</f>
        <v>3</v>
      </c>
      <c r="G27" s="20" cm="1">
        <f t="array" ref="G27">_xlfn.XLOOKUP($G$6, 'Metric Categories 1-14'!$B$7:$FM$7, _xlfn.XLOOKUP(A27, 'Metric Categories 1-14'!$A$8:$A$57, 'Metric Categories 1-14'!$B$8:$FM$57))</f>
        <v>1.6999999999999997</v>
      </c>
      <c r="H27" s="20" cm="1">
        <f t="array" ref="H27">_xlfn.XLOOKUP($H$6, 'Metric Categories 1-14'!$B$7:$FM$7, _xlfn.XLOOKUP(A27, 'Metric Categories 1-14'!$A$8:$A$57, 'Metric Categories 1-14'!$B$8:$FM$57))</f>
        <v>1</v>
      </c>
      <c r="I27" s="20" cm="1">
        <f t="array" ref="I27">_xlfn.XLOOKUP($I$6, '15. Workforce Calcs'!$B$8:$BG$8, _xlfn.XLOOKUP(A27, '15. Workforce Calcs'!$A$10:$A$59, '15. Workforce Calcs'!$B$10:$BG$59))</f>
        <v>1</v>
      </c>
      <c r="J27" s="20" cm="1">
        <f t="array" ref="J27">_xlfn.XLOOKUP($J$6, '16. Existing HQs and Projects'!$B$8:$Q$8, _xlfn.XLOOKUP(A27,'16. Existing HQs and Projects'!$A$9:$A$58, '16. Existing HQs and Projects'!$B$9:$Q$58))</f>
        <v>3</v>
      </c>
      <c r="K27" s="37">
        <f t="shared" si="1"/>
        <v>1.48</v>
      </c>
      <c r="L27" s="37" cm="1">
        <f t="array" ref="L27">_xlfn.IFS(K27&lt;$K$58, 1, K27&gt;$K$59, 3, K27=$K$59, 3, K27&lt;$K$59, 2)</f>
        <v>1</v>
      </c>
    </row>
    <row r="28" spans="1:12">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35">
        <f t="shared" si="0"/>
        <v>1.5149999999999999</v>
      </c>
      <c r="F28" s="301" cm="1">
        <f t="array" ref="F28">_xlfn.IFS(E28&lt;$E$58, 1, E28&gt;$E$59, 3, E28&lt;$E$59, 2)</f>
        <v>3</v>
      </c>
      <c r="G28" s="20" cm="1">
        <f t="array" ref="G28">_xlfn.XLOOKUP($G$6, 'Metric Categories 1-14'!$B$7:$FM$7, _xlfn.XLOOKUP(A28, 'Metric Categories 1-14'!$A$8:$A$57, 'Metric Categories 1-14'!$B$8:$FM$57))</f>
        <v>2.25</v>
      </c>
      <c r="H28" s="20" cm="1">
        <f t="array" ref="H28">_xlfn.XLOOKUP($H$6, 'Metric Categories 1-14'!$B$7:$FM$7, _xlfn.XLOOKUP(A28, 'Metric Categories 1-14'!$A$8:$A$57, 'Metric Categories 1-14'!$B$8:$FM$57))</f>
        <v>1.3333333333333333</v>
      </c>
      <c r="I28" s="20" cm="1">
        <f t="array" ref="I28">_xlfn.XLOOKUP($I$6, '15. Workforce Calcs'!$B$8:$BG$8, _xlfn.XLOOKUP(A28, '15. Workforce Calcs'!$A$10:$A$59, '15. Workforce Calcs'!$B$10:$BG$59))</f>
        <v>3</v>
      </c>
      <c r="J28" s="20" cm="1">
        <f t="array" ref="J28">_xlfn.XLOOKUP($J$6, '16. Existing HQs and Projects'!$B$8:$Q$8, _xlfn.XLOOKUP(A28,'16. Existing HQs and Projects'!$A$9:$A$58, '16. Existing HQs and Projects'!$B$9:$Q$58))</f>
        <v>1</v>
      </c>
      <c r="K28" s="37">
        <f t="shared" si="1"/>
        <v>2</v>
      </c>
      <c r="L28" s="37" cm="1">
        <f t="array" ref="L28">_xlfn.IFS(K28&lt;$K$58, 1, K28&gt;$K$59, 3, K28=$K$59, 3, K28&lt;$K$59, 2)</f>
        <v>3</v>
      </c>
    </row>
    <row r="29" spans="1:12">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35">
        <f t="shared" si="0"/>
        <v>1.98</v>
      </c>
      <c r="F29" s="301" cm="1">
        <f t="array" ref="F29">_xlfn.IFS(E29&lt;$E$58, 1, E29&gt;$E$59, 3, E29&lt;$E$59, 2)</f>
        <v>3</v>
      </c>
      <c r="G29" s="20" cm="1">
        <f t="array" ref="G29">_xlfn.XLOOKUP($G$6, 'Metric Categories 1-14'!$B$7:$FM$7, _xlfn.XLOOKUP(A29, 'Metric Categories 1-14'!$A$8:$A$57, 'Metric Categories 1-14'!$B$8:$FM$57))</f>
        <v>2.6500000000000004</v>
      </c>
      <c r="H29" s="20" cm="1">
        <f t="array" ref="H29">_xlfn.XLOOKUP($H$6, 'Metric Categories 1-14'!$B$7:$FM$7, _xlfn.XLOOKUP(A29, 'Metric Categories 1-14'!$A$8:$A$57, 'Metric Categories 1-14'!$B$8:$FM$57))</f>
        <v>1.3333333333333333</v>
      </c>
      <c r="I29" s="20" cm="1">
        <f t="array" ref="I29">_xlfn.XLOOKUP($I$6, '15. Workforce Calcs'!$B$8:$BG$8, _xlfn.XLOOKUP(A29, '15. Workforce Calcs'!$A$10:$A$59, '15. Workforce Calcs'!$B$10:$BG$59))</f>
        <v>2</v>
      </c>
      <c r="J29" s="20" cm="1">
        <f t="array" ref="J29">_xlfn.XLOOKUP($J$6, '16. Existing HQs and Projects'!$B$8:$Q$8, _xlfn.XLOOKUP(A29,'16. Existing HQs and Projects'!$A$9:$A$58, '16. Existing HQs and Projects'!$B$9:$Q$58))</f>
        <v>1</v>
      </c>
      <c r="K29" s="37">
        <f t="shared" si="1"/>
        <v>1.9600000000000004</v>
      </c>
      <c r="L29" s="37" cm="1">
        <f t="array" ref="L29">_xlfn.IFS(K29&lt;$K$58, 1, K29&gt;$K$59, 3, K29=$K$59, 3, K29&lt;$K$59, 2)</f>
        <v>3</v>
      </c>
    </row>
    <row r="30" spans="1:12">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35">
        <f t="shared" si="0"/>
        <v>1.0599999999999998</v>
      </c>
      <c r="F30" s="301" cm="1">
        <f t="array" ref="F30">_xlfn.IFS(E30&lt;$E$58, 1, E30&gt;$E$59, 3, E30&lt;$E$59, 2)</f>
        <v>1</v>
      </c>
      <c r="G30" s="20" cm="1">
        <f t="array" ref="G30">_xlfn.XLOOKUP($G$6, 'Metric Categories 1-14'!$B$7:$FM$7, _xlfn.XLOOKUP(A30, 'Metric Categories 1-14'!$A$8:$A$57, 'Metric Categories 1-14'!$B$8:$FM$57))</f>
        <v>2.3499999999999996</v>
      </c>
      <c r="H30" s="20" cm="1">
        <f t="array" ref="H30">_xlfn.XLOOKUP($H$6, 'Metric Categories 1-14'!$B$7:$FM$7, _xlfn.XLOOKUP(A30, 'Metric Categories 1-14'!$A$8:$A$57, 'Metric Categories 1-14'!$B$8:$FM$57))</f>
        <v>1</v>
      </c>
      <c r="I30" s="20" cm="1">
        <f t="array" ref="I30">_xlfn.XLOOKUP($I$6, '15. Workforce Calcs'!$B$8:$BG$8, _xlfn.XLOOKUP(A30, '15. Workforce Calcs'!$A$10:$A$59, '15. Workforce Calcs'!$B$10:$BG$59))</f>
        <v>1</v>
      </c>
      <c r="J30" s="20" cm="1">
        <f t="array" ref="J30">_xlfn.XLOOKUP($J$6, '16. Existing HQs and Projects'!$B$8:$Q$8, _xlfn.XLOOKUP(A30,'16. Existing HQs and Projects'!$A$9:$A$58, '16. Existing HQs and Projects'!$B$9:$Q$58))</f>
        <v>3</v>
      </c>
      <c r="K30" s="37">
        <f t="shared" si="1"/>
        <v>1.74</v>
      </c>
      <c r="L30" s="37" cm="1">
        <f t="array" ref="L30">_xlfn.IFS(K30&lt;$K$58, 1, K30&gt;$K$59, 3, K30=$K$59, 3, K30&lt;$K$59, 2)</f>
        <v>2</v>
      </c>
    </row>
    <row r="31" spans="1:12">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35">
        <f t="shared" si="0"/>
        <v>0.99999999999999978</v>
      </c>
      <c r="F31" s="301" cm="1">
        <f t="array" ref="F31">_xlfn.IFS(E31&lt;$E$58, 1, E31&gt;$E$59, 3, E31&lt;$E$59, 2)</f>
        <v>1</v>
      </c>
      <c r="G31" s="20" cm="1">
        <f t="array" ref="G31">_xlfn.XLOOKUP($G$6, 'Metric Categories 1-14'!$B$7:$FM$7, _xlfn.XLOOKUP(A31, 'Metric Categories 1-14'!$A$8:$A$57, 'Metric Categories 1-14'!$B$8:$FM$57))</f>
        <v>3</v>
      </c>
      <c r="H31" s="20" cm="1">
        <f t="array" ref="H31">_xlfn.XLOOKUP($H$6, 'Metric Categories 1-14'!$B$7:$FM$7, _xlfn.XLOOKUP(A31, 'Metric Categories 1-14'!$A$8:$A$57, 'Metric Categories 1-14'!$B$8:$FM$57))</f>
        <v>1</v>
      </c>
      <c r="I31" s="20" cm="1">
        <f t="array" ref="I31">_xlfn.XLOOKUP($I$6, '15. Workforce Calcs'!$B$8:$BG$8, _xlfn.XLOOKUP(A31, '15. Workforce Calcs'!$A$10:$A$59, '15. Workforce Calcs'!$B$10:$BG$59))</f>
        <v>2</v>
      </c>
      <c r="J31" s="20" cm="1">
        <f t="array" ref="J31">_xlfn.XLOOKUP($J$6, '16. Existing HQs and Projects'!$B$8:$Q$8, _xlfn.XLOOKUP(A31,'16. Existing HQs and Projects'!$A$9:$A$58, '16. Existing HQs and Projects'!$B$9:$Q$58))</f>
        <v>1</v>
      </c>
      <c r="K31" s="37">
        <f t="shared" si="1"/>
        <v>2.0000000000000004</v>
      </c>
      <c r="L31" s="37" cm="1">
        <f t="array" ref="L31">_xlfn.IFS(K31&lt;$K$58, 1, K31&gt;$K$59, 3, K31=$K$59, 3, K31&lt;$K$59, 2)</f>
        <v>3</v>
      </c>
    </row>
    <row r="32" spans="1:12">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35">
        <f t="shared" si="0"/>
        <v>1.355</v>
      </c>
      <c r="F32" s="301" cm="1">
        <f t="array" ref="F32">_xlfn.IFS(E32&lt;$E$58, 1, E32&gt;$E$59, 3, E32&lt;$E$59, 2)</f>
        <v>2</v>
      </c>
      <c r="G32" s="20" cm="1">
        <f t="array" ref="G32">_xlfn.XLOOKUP($G$6, 'Metric Categories 1-14'!$B$7:$FM$7, _xlfn.XLOOKUP(A32, 'Metric Categories 1-14'!$A$8:$A$57, 'Metric Categories 1-14'!$B$8:$FM$57))</f>
        <v>2.0500000000000003</v>
      </c>
      <c r="H32" s="20" cm="1">
        <f t="array" ref="H32">_xlfn.XLOOKUP($H$6, 'Metric Categories 1-14'!$B$7:$FM$7, _xlfn.XLOOKUP(A32, 'Metric Categories 1-14'!$A$8:$A$57, 'Metric Categories 1-14'!$B$8:$FM$57))</f>
        <v>1.6666666666666665</v>
      </c>
      <c r="I32" s="20" cm="1">
        <f t="array" ref="I32">_xlfn.XLOOKUP($I$6, '15. Workforce Calcs'!$B$8:$BG$8, _xlfn.XLOOKUP(A32, '15. Workforce Calcs'!$A$10:$A$59, '15. Workforce Calcs'!$B$10:$BG$59))</f>
        <v>1</v>
      </c>
      <c r="J32" s="20" cm="1">
        <f t="array" ref="J32">_xlfn.XLOOKUP($J$6, '16. Existing HQs and Projects'!$B$8:$Q$8, _xlfn.XLOOKUP(A32,'16. Existing HQs and Projects'!$A$9:$A$58, '16. Existing HQs and Projects'!$B$9:$Q$58))</f>
        <v>1</v>
      </c>
      <c r="K32" s="37">
        <f t="shared" si="1"/>
        <v>1.62</v>
      </c>
      <c r="L32" s="37" cm="1">
        <f t="array" ref="L32">_xlfn.IFS(K32&lt;$K$58, 1, K32&gt;$K$59, 3, K32=$K$59, 3, K32&lt;$K$59, 2)</f>
        <v>2</v>
      </c>
    </row>
    <row r="33" spans="1:12">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35">
        <f t="shared" si="0"/>
        <v>1.0599999999999998</v>
      </c>
      <c r="F33" s="301" cm="1">
        <f t="array" ref="F33">_xlfn.IFS(E33&lt;$E$58, 1, E33&gt;$E$59, 3, E33&lt;$E$59, 2)</f>
        <v>1</v>
      </c>
      <c r="G33" s="20" cm="1">
        <f t="array" ref="G33">_xlfn.XLOOKUP($G$6, 'Metric Categories 1-14'!$B$7:$FM$7, _xlfn.XLOOKUP(A33, 'Metric Categories 1-14'!$A$8:$A$57, 'Metric Categories 1-14'!$B$8:$FM$57))</f>
        <v>2.3000000000000003</v>
      </c>
      <c r="H33" s="20" cm="1">
        <f t="array" ref="H33">_xlfn.XLOOKUP($H$6, 'Metric Categories 1-14'!$B$7:$FM$7, _xlfn.XLOOKUP(A33, 'Metric Categories 1-14'!$A$8:$A$57, 'Metric Categories 1-14'!$B$8:$FM$57))</f>
        <v>1</v>
      </c>
      <c r="I33" s="20" cm="1">
        <f t="array" ref="I33">_xlfn.XLOOKUP($I$6, '15. Workforce Calcs'!$B$8:$BG$8, _xlfn.XLOOKUP(A33, '15. Workforce Calcs'!$A$10:$A$59, '15. Workforce Calcs'!$B$10:$BG$59))</f>
        <v>1</v>
      </c>
      <c r="J33" s="20" cm="1">
        <f t="array" ref="J33">_xlfn.XLOOKUP($J$6, '16. Existing HQs and Projects'!$B$8:$Q$8, _xlfn.XLOOKUP(A33,'16. Existing HQs and Projects'!$A$9:$A$58, '16. Existing HQs and Projects'!$B$9:$Q$58))</f>
        <v>1</v>
      </c>
      <c r="K33" s="37">
        <f t="shared" si="1"/>
        <v>1.5200000000000002</v>
      </c>
      <c r="L33" s="37" cm="1">
        <f t="array" ref="L33">_xlfn.IFS(K33&lt;$K$58, 1, K33&gt;$K$59, 3, K33=$K$59, 3, K33&lt;$K$59, 2)</f>
        <v>1</v>
      </c>
    </row>
    <row r="34" spans="1:12">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35">
        <f t="shared" si="0"/>
        <v>1.345</v>
      </c>
      <c r="F34" s="301" cm="1">
        <f t="array" ref="F34">_xlfn.IFS(E34&lt;$E$58, 1, E34&gt;$E$59, 3, E34&lt;$E$59, 2)</f>
        <v>2</v>
      </c>
      <c r="G34" s="20" cm="1">
        <f t="array" ref="G34">_xlfn.XLOOKUP($G$6, 'Metric Categories 1-14'!$B$7:$FM$7, _xlfn.XLOOKUP(A34, 'Metric Categories 1-14'!$A$8:$A$57, 'Metric Categories 1-14'!$B$8:$FM$57))</f>
        <v>1</v>
      </c>
      <c r="H34" s="20" cm="1">
        <f t="array" ref="H34">_xlfn.XLOOKUP($H$6, 'Metric Categories 1-14'!$B$7:$FM$7, _xlfn.XLOOKUP(A34, 'Metric Categories 1-14'!$A$8:$A$57, 'Metric Categories 1-14'!$B$8:$FM$57))</f>
        <v>1.6666666666666665</v>
      </c>
      <c r="I34" s="20" cm="1">
        <f t="array" ref="I34">_xlfn.XLOOKUP($I$6, '15. Workforce Calcs'!$B$8:$BG$8, _xlfn.XLOOKUP(A34, '15. Workforce Calcs'!$A$10:$A$59, '15. Workforce Calcs'!$B$10:$BG$59))</f>
        <v>2</v>
      </c>
      <c r="J34" s="20" cm="1">
        <f t="array" ref="J34">_xlfn.XLOOKUP($J$6, '16. Existing HQs and Projects'!$B$8:$Q$8, _xlfn.XLOOKUP(A34,'16. Existing HQs and Projects'!$A$9:$A$58, '16. Existing HQs and Projects'!$B$9:$Q$58))</f>
        <v>1</v>
      </c>
      <c r="K34" s="37">
        <f t="shared" si="1"/>
        <v>1.4</v>
      </c>
      <c r="L34" s="37" cm="1">
        <f t="array" ref="L34">_xlfn.IFS(K34&lt;$K$58, 1, K34&gt;$K$59, 3, K34=$K$59, 3, K34&lt;$K$59, 2)</f>
        <v>1</v>
      </c>
    </row>
    <row r="35" spans="1:12">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35">
        <f t="shared" si="0"/>
        <v>1.375</v>
      </c>
      <c r="F35" s="301" cm="1">
        <f t="array" ref="F35">_xlfn.IFS(E35&lt;$E$58, 1, E35&gt;$E$59, 3, E35&lt;$E$59, 2)</f>
        <v>2</v>
      </c>
      <c r="G35" s="20" cm="1">
        <f t="array" ref="G35">_xlfn.XLOOKUP($G$6, 'Metric Categories 1-14'!$B$7:$FM$7, _xlfn.XLOOKUP(A35, 'Metric Categories 1-14'!$A$8:$A$57, 'Metric Categories 1-14'!$B$8:$FM$57))</f>
        <v>1.6999999999999997</v>
      </c>
      <c r="H35" s="20" cm="1">
        <f t="array" ref="H35">_xlfn.XLOOKUP($H$6, 'Metric Categories 1-14'!$B$7:$FM$7, _xlfn.XLOOKUP(A35, 'Metric Categories 1-14'!$A$8:$A$57, 'Metric Categories 1-14'!$B$8:$FM$57))</f>
        <v>1</v>
      </c>
      <c r="I35" s="20" cm="1">
        <f t="array" ref="I35">_xlfn.XLOOKUP($I$6, '15. Workforce Calcs'!$B$8:$BG$8, _xlfn.XLOOKUP(A35, '15. Workforce Calcs'!$A$10:$A$59, '15. Workforce Calcs'!$B$10:$BG$59))</f>
        <v>1</v>
      </c>
      <c r="J35" s="20" cm="1">
        <f t="array" ref="J35">_xlfn.XLOOKUP($J$6, '16. Existing HQs and Projects'!$B$8:$Q$8, _xlfn.XLOOKUP(A35,'16. Existing HQs and Projects'!$A$9:$A$58, '16. Existing HQs and Projects'!$B$9:$Q$58))</f>
        <v>1</v>
      </c>
      <c r="K35" s="37">
        <f t="shared" si="1"/>
        <v>1.28</v>
      </c>
      <c r="L35" s="37" cm="1">
        <f t="array" ref="L35">_xlfn.IFS(K35&lt;$K$58, 1, K35&gt;$K$59, 3, K35=$K$59, 3, K35&lt;$K$59, 2)</f>
        <v>1</v>
      </c>
    </row>
    <row r="36" spans="1:12">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35">
        <f t="shared" si="0"/>
        <v>2.085</v>
      </c>
      <c r="F36" s="301" cm="1">
        <f t="array" ref="F36">_xlfn.IFS(E36&lt;$E$58, 1, E36&gt;$E$59, 3, E36&lt;$E$59, 2)</f>
        <v>3</v>
      </c>
      <c r="G36" s="20" cm="1">
        <f t="array" ref="G36">_xlfn.XLOOKUP($G$6, 'Metric Categories 1-14'!$B$7:$FM$7, _xlfn.XLOOKUP(A36, 'Metric Categories 1-14'!$A$8:$A$57, 'Metric Categories 1-14'!$B$8:$FM$57))</f>
        <v>1.6999999999999997</v>
      </c>
      <c r="H36" s="20" cm="1">
        <f t="array" ref="H36">_xlfn.XLOOKUP($H$6, 'Metric Categories 1-14'!$B$7:$FM$7, _xlfn.XLOOKUP(A36, 'Metric Categories 1-14'!$A$8:$A$57, 'Metric Categories 1-14'!$B$8:$FM$57))</f>
        <v>1.6666666666666665</v>
      </c>
      <c r="I36" s="20" cm="1">
        <f t="array" ref="I36">_xlfn.XLOOKUP($I$6, '15. Workforce Calcs'!$B$8:$BG$8, _xlfn.XLOOKUP(A36, '15. Workforce Calcs'!$A$10:$A$59, '15. Workforce Calcs'!$B$10:$BG$59))</f>
        <v>2</v>
      </c>
      <c r="J36" s="20" cm="1">
        <f t="array" ref="J36">_xlfn.XLOOKUP($J$6, '16. Existing HQs and Projects'!$B$8:$Q$8, _xlfn.XLOOKUP(A36,'16. Existing HQs and Projects'!$A$9:$A$58, '16. Existing HQs and Projects'!$B$9:$Q$58))</f>
        <v>3</v>
      </c>
      <c r="K36" s="37">
        <f t="shared" si="1"/>
        <v>1.8800000000000001</v>
      </c>
      <c r="L36" s="37" cm="1">
        <f t="array" ref="L36">_xlfn.IFS(K36&lt;$K$58, 1, K36&gt;$K$59, 3, K36=$K$59, 3, K36&lt;$K$59, 2)</f>
        <v>2</v>
      </c>
    </row>
    <row r="37" spans="1:12">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35">
        <f t="shared" si="0"/>
        <v>1.3</v>
      </c>
      <c r="F37" s="301" cm="1">
        <f t="array" ref="F37">_xlfn.IFS(E37&lt;$E$58, 1, E37&gt;$E$59, 3, E37&lt;$E$59, 2)</f>
        <v>2</v>
      </c>
      <c r="G37" s="20" cm="1">
        <f t="array" ref="G37">_xlfn.XLOOKUP($G$6, 'Metric Categories 1-14'!$B$7:$FM$7, _xlfn.XLOOKUP(A37, 'Metric Categories 1-14'!$A$8:$A$57, 'Metric Categories 1-14'!$B$8:$FM$57))</f>
        <v>1.8000000000000003</v>
      </c>
      <c r="H37" s="20" cm="1">
        <f t="array" ref="H37">_xlfn.XLOOKUP($H$6, 'Metric Categories 1-14'!$B$7:$FM$7, _xlfn.XLOOKUP(A37, 'Metric Categories 1-14'!$A$8:$A$57, 'Metric Categories 1-14'!$B$8:$FM$57))</f>
        <v>1.9999999999999998</v>
      </c>
      <c r="I37" s="20" cm="1">
        <f t="array" ref="I37">_xlfn.XLOOKUP($I$6, '15. Workforce Calcs'!$B$8:$BG$8, _xlfn.XLOOKUP(A37, '15. Workforce Calcs'!$A$10:$A$59, '15. Workforce Calcs'!$B$10:$BG$59))</f>
        <v>3</v>
      </c>
      <c r="J37" s="20" cm="1">
        <f t="array" ref="J37">_xlfn.XLOOKUP($J$6, '16. Existing HQs and Projects'!$B$8:$Q$8, _xlfn.XLOOKUP(A37,'16. Existing HQs and Projects'!$A$9:$A$58, '16. Existing HQs and Projects'!$B$9:$Q$58))</f>
        <v>1</v>
      </c>
      <c r="K37" s="37">
        <f t="shared" si="1"/>
        <v>2.02</v>
      </c>
      <c r="L37" s="37" cm="1">
        <f t="array" ref="L37">_xlfn.IFS(K37&lt;$K$58, 1, K37&gt;$K$59, 3, K37=$K$59, 3, K37&lt;$K$59, 2)</f>
        <v>3</v>
      </c>
    </row>
    <row r="38" spans="1:12">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35">
        <f t="shared" si="0"/>
        <v>2.13</v>
      </c>
      <c r="F38" s="301" cm="1">
        <f t="array" ref="F38">_xlfn.IFS(E38&lt;$E$58, 1, E38&gt;$E$59, 3, E38&lt;$E$59, 2)</f>
        <v>3</v>
      </c>
      <c r="G38" s="20" cm="1">
        <f t="array" ref="G38">_xlfn.XLOOKUP($G$6, 'Metric Categories 1-14'!$B$7:$FM$7, _xlfn.XLOOKUP(A38, 'Metric Categories 1-14'!$A$8:$A$57, 'Metric Categories 1-14'!$B$8:$FM$57))</f>
        <v>1.9499999999999997</v>
      </c>
      <c r="H38" s="20" cm="1">
        <f t="array" ref="H38">_xlfn.XLOOKUP($H$6, 'Metric Categories 1-14'!$B$7:$FM$7, _xlfn.XLOOKUP(A38, 'Metric Categories 1-14'!$A$8:$A$57, 'Metric Categories 1-14'!$B$8:$FM$57))</f>
        <v>1.6666666666666665</v>
      </c>
      <c r="I38" s="20" cm="1">
        <f t="array" ref="I38">_xlfn.XLOOKUP($I$6, '15. Workforce Calcs'!$B$8:$BG$8, _xlfn.XLOOKUP(A38, '15. Workforce Calcs'!$A$10:$A$59, '15. Workforce Calcs'!$B$10:$BG$59))</f>
        <v>3</v>
      </c>
      <c r="J38" s="20" cm="1">
        <f t="array" ref="J38">_xlfn.XLOOKUP($J$6, '16. Existing HQs and Projects'!$B$8:$Q$8, _xlfn.XLOOKUP(A38,'16. Existing HQs and Projects'!$A$9:$A$58, '16. Existing HQs and Projects'!$B$9:$Q$58))</f>
        <v>1</v>
      </c>
      <c r="K38" s="37">
        <f t="shared" si="1"/>
        <v>1.98</v>
      </c>
      <c r="L38" s="37" cm="1">
        <f t="array" ref="L38">_xlfn.IFS(K38&lt;$K$58, 1, K38&gt;$K$59, 3, K38=$K$59, 3, K38&lt;$K$59, 2)</f>
        <v>3</v>
      </c>
    </row>
    <row r="39" spans="1:12">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35">
        <f t="shared" si="0"/>
        <v>1.6749999999999998</v>
      </c>
      <c r="F39" s="301" cm="1">
        <f t="array" ref="F39">_xlfn.IFS(E39&lt;$E$58, 1, E39&gt;$E$59, 3, E39&lt;$E$59, 2)</f>
        <v>3</v>
      </c>
      <c r="G39" s="20" cm="1">
        <f t="array" ref="G39">_xlfn.XLOOKUP($G$6, 'Metric Categories 1-14'!$B$7:$FM$7, _xlfn.XLOOKUP(A39, 'Metric Categories 1-14'!$A$8:$A$57, 'Metric Categories 1-14'!$B$8:$FM$57))</f>
        <v>2.5999999999999996</v>
      </c>
      <c r="H39" s="20" cm="1">
        <f t="array" ref="H39">_xlfn.XLOOKUP($H$6, 'Metric Categories 1-14'!$B$7:$FM$7, _xlfn.XLOOKUP(A39, 'Metric Categories 1-14'!$A$8:$A$57, 'Metric Categories 1-14'!$B$8:$FM$57))</f>
        <v>1.6666666666666665</v>
      </c>
      <c r="I39" s="20" cm="1">
        <f t="array" ref="I39">_xlfn.XLOOKUP($I$6, '15. Workforce Calcs'!$B$8:$BG$8, _xlfn.XLOOKUP(A39, '15. Workforce Calcs'!$A$10:$A$59, '15. Workforce Calcs'!$B$10:$BG$59))</f>
        <v>3</v>
      </c>
      <c r="J39" s="20" cm="1">
        <f t="array" ref="J39">_xlfn.XLOOKUP($J$6, '16. Existing HQs and Projects'!$B$8:$Q$8, _xlfn.XLOOKUP(A39,'16. Existing HQs and Projects'!$A$9:$A$58, '16. Existing HQs and Projects'!$B$9:$Q$58))</f>
        <v>3</v>
      </c>
      <c r="K39" s="37">
        <f t="shared" si="1"/>
        <v>2.4399999999999995</v>
      </c>
      <c r="L39" s="37" cm="1">
        <f t="array" ref="L39">_xlfn.IFS(K39&lt;$K$58, 1, K39&gt;$K$59, 3, K39=$K$59, 3, K39&lt;$K$59, 2)</f>
        <v>3</v>
      </c>
    </row>
    <row r="40" spans="1:12">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35">
        <f t="shared" si="0"/>
        <v>0.99999999999999978</v>
      </c>
      <c r="F40" s="301" cm="1">
        <f t="array" ref="F40">_xlfn.IFS(E40&lt;$E$58, 1, E40&gt;$E$59, 3, E40&lt;$E$59, 2)</f>
        <v>1</v>
      </c>
      <c r="G40" s="20" cm="1">
        <f t="array" ref="G40">_xlfn.XLOOKUP($G$6, 'Metric Categories 1-14'!$B$7:$FM$7, _xlfn.XLOOKUP(A40, 'Metric Categories 1-14'!$A$8:$A$57, 'Metric Categories 1-14'!$B$8:$FM$57))</f>
        <v>2.3000000000000003</v>
      </c>
      <c r="H40" s="20" cm="1">
        <f t="array" ref="H40">_xlfn.XLOOKUP($H$6, 'Metric Categories 1-14'!$B$7:$FM$7, _xlfn.XLOOKUP(A40, 'Metric Categories 1-14'!$A$8:$A$57, 'Metric Categories 1-14'!$B$8:$FM$57))</f>
        <v>1</v>
      </c>
      <c r="I40" s="20" cm="1">
        <f t="array" ref="I40">_xlfn.XLOOKUP($I$6, '15. Workforce Calcs'!$B$8:$BG$8, _xlfn.XLOOKUP(A40, '15. Workforce Calcs'!$A$10:$A$59, '15. Workforce Calcs'!$B$10:$BG$59))</f>
        <v>2</v>
      </c>
      <c r="J40" s="20" cm="1">
        <f t="array" ref="J40">_xlfn.XLOOKUP($J$6, '16. Existing HQs and Projects'!$B$8:$Q$8, _xlfn.XLOOKUP(A40,'16. Existing HQs and Projects'!$A$9:$A$58, '16. Existing HQs and Projects'!$B$9:$Q$58))</f>
        <v>1</v>
      </c>
      <c r="K40" s="37">
        <f t="shared" si="1"/>
        <v>1.7200000000000002</v>
      </c>
      <c r="L40" s="37" cm="1">
        <f t="array" ref="L40">_xlfn.IFS(K40&lt;$K$58, 1, K40&gt;$K$59, 3, K40=$K$59, 3, K40&lt;$K$59, 2)</f>
        <v>2</v>
      </c>
    </row>
    <row r="41" spans="1:12">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35">
        <f t="shared" si="0"/>
        <v>0.99999999999999978</v>
      </c>
      <c r="F41" s="301" cm="1">
        <f t="array" ref="F41">_xlfn.IFS(E41&lt;$E$58, 1, E41&gt;$E$59, 3, E41&lt;$E$59, 2)</f>
        <v>1</v>
      </c>
      <c r="G41" s="20" cm="1">
        <f t="array" ref="G41">_xlfn.XLOOKUP($G$6, 'Metric Categories 1-14'!$B$7:$FM$7, _xlfn.XLOOKUP(A41, 'Metric Categories 1-14'!$A$8:$A$57, 'Metric Categories 1-14'!$B$8:$FM$57))</f>
        <v>2.6500000000000004</v>
      </c>
      <c r="H41" s="20" cm="1">
        <f t="array" ref="H41">_xlfn.XLOOKUP($H$6, 'Metric Categories 1-14'!$B$7:$FM$7, _xlfn.XLOOKUP(A41, 'Metric Categories 1-14'!$A$8:$A$57, 'Metric Categories 1-14'!$B$8:$FM$57))</f>
        <v>1</v>
      </c>
      <c r="I41" s="20" cm="1">
        <f t="array" ref="I41">_xlfn.XLOOKUP($I$6, '15. Workforce Calcs'!$B$8:$BG$8, _xlfn.XLOOKUP(A41, '15. Workforce Calcs'!$A$10:$A$59, '15. Workforce Calcs'!$B$10:$BG$59))</f>
        <v>3</v>
      </c>
      <c r="J41" s="20" cm="1">
        <f t="array" ref="J41">_xlfn.XLOOKUP($J$6, '16. Existing HQs and Projects'!$B$8:$Q$8, _xlfn.XLOOKUP(A41,'16. Existing HQs and Projects'!$A$9:$A$58, '16. Existing HQs and Projects'!$B$9:$Q$58))</f>
        <v>1</v>
      </c>
      <c r="K41" s="37">
        <f t="shared" si="1"/>
        <v>2.0600000000000005</v>
      </c>
      <c r="L41" s="37" cm="1">
        <f t="array" ref="L41">_xlfn.IFS(K41&lt;$K$58, 1, K41&gt;$K$59, 3, K41=$K$59, 3, K41&lt;$K$59, 2)</f>
        <v>3</v>
      </c>
    </row>
    <row r="42" spans="1:12">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35">
        <f t="shared" si="0"/>
        <v>0.91999999999999993</v>
      </c>
      <c r="F42" s="301" cm="1">
        <f t="array" ref="F42">_xlfn.IFS(E42&lt;$E$58, 1, E42&gt;$E$59, 3, E42&lt;$E$59, 2)</f>
        <v>1</v>
      </c>
      <c r="G42" s="20" cm="1">
        <f t="array" ref="G42">_xlfn.XLOOKUP($G$6, 'Metric Categories 1-14'!$B$7:$FM$7, _xlfn.XLOOKUP(A42, 'Metric Categories 1-14'!$A$8:$A$57, 'Metric Categories 1-14'!$B$8:$FM$57))</f>
        <v>2.4000000000000004</v>
      </c>
      <c r="H42" s="20" cm="1">
        <f t="array" ref="H42">_xlfn.XLOOKUP($H$6, 'Metric Categories 1-14'!$B$7:$FM$7, _xlfn.XLOOKUP(A42, 'Metric Categories 1-14'!$A$8:$A$57, 'Metric Categories 1-14'!$B$8:$FM$57))</f>
        <v>1.3333333333333333</v>
      </c>
      <c r="I42" s="20" cm="1">
        <f t="array" ref="I42">_xlfn.XLOOKUP($I$6, '15. Workforce Calcs'!$B$8:$BG$8, _xlfn.XLOOKUP(A42, '15. Workforce Calcs'!$A$10:$A$59, '15. Workforce Calcs'!$B$10:$BG$59))</f>
        <v>3</v>
      </c>
      <c r="J42" s="20" cm="1">
        <f t="array" ref="J42">_xlfn.XLOOKUP($J$6, '16. Existing HQs and Projects'!$B$8:$Q$8, _xlfn.XLOOKUP(A42,'16. Existing HQs and Projects'!$A$9:$A$58, '16. Existing HQs and Projects'!$B$9:$Q$58))</f>
        <v>1</v>
      </c>
      <c r="K42" s="37">
        <f t="shared" si="1"/>
        <v>2.06</v>
      </c>
      <c r="L42" s="37" cm="1">
        <f t="array" ref="L42">_xlfn.IFS(K42&lt;$K$58, 1, K42&gt;$K$59, 3, K42=$K$59, 3, K42&lt;$K$59, 2)</f>
        <v>3</v>
      </c>
    </row>
    <row r="43" spans="1:12">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35">
        <f t="shared" si="0"/>
        <v>1.6199999999999999</v>
      </c>
      <c r="F43" s="301" cm="1">
        <f t="array" ref="F43">_xlfn.IFS(E43&lt;$E$58, 1, E43&gt;$E$59, 3, E43&lt;$E$59, 2)</f>
        <v>3</v>
      </c>
      <c r="G43" s="20" cm="1">
        <f t="array" ref="G43">_xlfn.XLOOKUP($G$6, 'Metric Categories 1-14'!$B$7:$FM$7, _xlfn.XLOOKUP(A43, 'Metric Categories 1-14'!$A$8:$A$57, 'Metric Categories 1-14'!$B$8:$FM$57))</f>
        <v>1.6</v>
      </c>
      <c r="H43" s="20" cm="1">
        <f t="array" ref="H43">_xlfn.XLOOKUP($H$6, 'Metric Categories 1-14'!$B$7:$FM$7, _xlfn.XLOOKUP(A43, 'Metric Categories 1-14'!$A$8:$A$57, 'Metric Categories 1-14'!$B$8:$FM$57))</f>
        <v>2.333333333333333</v>
      </c>
      <c r="I43" s="20" cm="1">
        <f t="array" ref="I43">_xlfn.XLOOKUP($I$6, '15. Workforce Calcs'!$B$8:$BG$8, _xlfn.XLOOKUP(A43, '15. Workforce Calcs'!$A$10:$A$59, '15. Workforce Calcs'!$B$10:$BG$59))</f>
        <v>2</v>
      </c>
      <c r="J43" s="20" cm="1">
        <f t="array" ref="J43">_xlfn.XLOOKUP($J$6, '16. Existing HQs and Projects'!$B$8:$Q$8, _xlfn.XLOOKUP(A43,'16. Existing HQs and Projects'!$A$9:$A$58, '16. Existing HQs and Projects'!$B$9:$Q$58))</f>
        <v>1</v>
      </c>
      <c r="K43" s="37">
        <f t="shared" si="1"/>
        <v>1.8399999999999999</v>
      </c>
      <c r="L43" s="37" cm="1">
        <f t="array" ref="L43">_xlfn.IFS(K43&lt;$K$58, 1, K43&gt;$K$59, 3, K43=$K$59, 3, K43&lt;$K$59, 2)</f>
        <v>2</v>
      </c>
    </row>
    <row r="44" spans="1:12">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35">
        <f t="shared" si="0"/>
        <v>1.4750000000000001</v>
      </c>
      <c r="F44" s="301" cm="1">
        <f t="array" ref="F44">_xlfn.IFS(E44&lt;$E$58, 1, E44&gt;$E$59, 3, E44&lt;$E$59, 2)</f>
        <v>2</v>
      </c>
      <c r="G44" s="20" cm="1">
        <f t="array" ref="G44">_xlfn.XLOOKUP($G$6, 'Metric Categories 1-14'!$B$7:$FM$7, _xlfn.XLOOKUP(A44, 'Metric Categories 1-14'!$A$8:$A$57, 'Metric Categories 1-14'!$B$8:$FM$57))</f>
        <v>1.9499999999999997</v>
      </c>
      <c r="H44" s="20" cm="1">
        <f t="array" ref="H44">_xlfn.XLOOKUP($H$6, 'Metric Categories 1-14'!$B$7:$FM$7, _xlfn.XLOOKUP(A44, 'Metric Categories 1-14'!$A$8:$A$57, 'Metric Categories 1-14'!$B$8:$FM$57))</f>
        <v>1.3333333333333333</v>
      </c>
      <c r="I44" s="20" cm="1">
        <f t="array" ref="I44">_xlfn.XLOOKUP($I$6, '15. Workforce Calcs'!$B$8:$BG$8, _xlfn.XLOOKUP(A44, '15. Workforce Calcs'!$A$10:$A$59, '15. Workforce Calcs'!$B$10:$BG$59))</f>
        <v>3</v>
      </c>
      <c r="J44" s="20" cm="1">
        <f t="array" ref="J44">_xlfn.XLOOKUP($J$6, '16. Existing HQs and Projects'!$B$8:$Q$8, _xlfn.XLOOKUP(A44,'16. Existing HQs and Projects'!$A$9:$A$58, '16. Existing HQs and Projects'!$B$9:$Q$58))</f>
        <v>1</v>
      </c>
      <c r="K44" s="37">
        <f t="shared" si="1"/>
        <v>1.8800000000000001</v>
      </c>
      <c r="L44" s="37" cm="1">
        <f t="array" ref="L44">_xlfn.IFS(K44&lt;$K$58, 1, K44&gt;$K$59, 3, K44=$K$59, 3, K44&lt;$K$59, 2)</f>
        <v>2</v>
      </c>
    </row>
    <row r="45" spans="1:12">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35">
        <f t="shared" si="0"/>
        <v>1.5699999999999998</v>
      </c>
      <c r="F45" s="301" cm="1">
        <f t="array" ref="F45">_xlfn.IFS(E45&lt;$E$58, 1, E45&gt;$E$59, 3, E45&lt;$E$59, 2)</f>
        <v>3</v>
      </c>
      <c r="G45" s="20" cm="1">
        <f t="array" ref="G45">_xlfn.XLOOKUP($G$6, 'Metric Categories 1-14'!$B$7:$FM$7, _xlfn.XLOOKUP(A45, 'Metric Categories 1-14'!$A$8:$A$57, 'Metric Categories 1-14'!$B$8:$FM$57))</f>
        <v>1.6999999999999997</v>
      </c>
      <c r="H45" s="20" cm="1">
        <f t="array" ref="H45">_xlfn.XLOOKUP($H$6, 'Metric Categories 1-14'!$B$7:$FM$7, _xlfn.XLOOKUP(A45, 'Metric Categories 1-14'!$A$8:$A$57, 'Metric Categories 1-14'!$B$8:$FM$57))</f>
        <v>1</v>
      </c>
      <c r="I45" s="20" cm="1">
        <f t="array" ref="I45">_xlfn.XLOOKUP($I$6, '15. Workforce Calcs'!$B$8:$BG$8, _xlfn.XLOOKUP(A45, '15. Workforce Calcs'!$A$10:$A$59, '15. Workforce Calcs'!$B$10:$BG$59))</f>
        <v>1</v>
      </c>
      <c r="J45" s="20" cm="1">
        <f t="array" ref="J45">_xlfn.XLOOKUP($J$6, '16. Existing HQs and Projects'!$B$8:$Q$8, _xlfn.XLOOKUP(A45,'16. Existing HQs and Projects'!$A$9:$A$58, '16. Existing HQs and Projects'!$B$9:$Q$58))</f>
        <v>1</v>
      </c>
      <c r="K45" s="37">
        <f t="shared" si="1"/>
        <v>1.28</v>
      </c>
      <c r="L45" s="37" cm="1">
        <f t="array" ref="L45">_xlfn.IFS(K45&lt;$K$58, 1, K45&gt;$K$59, 3, K45=$K$59, 3, K45&lt;$K$59, 2)</f>
        <v>1</v>
      </c>
    </row>
    <row r="46" spans="1:12">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35">
        <f t="shared" si="0"/>
        <v>1.1499999999999999</v>
      </c>
      <c r="F46" s="301" cm="1">
        <f t="array" ref="F46">_xlfn.IFS(E46&lt;$E$58, 1, E46&gt;$E$59, 3, E46&lt;$E$59, 2)</f>
        <v>1</v>
      </c>
      <c r="G46" s="20" cm="1">
        <f t="array" ref="G46">_xlfn.XLOOKUP($G$6, 'Metric Categories 1-14'!$B$7:$FM$7, _xlfn.XLOOKUP(A46, 'Metric Categories 1-14'!$A$8:$A$57, 'Metric Categories 1-14'!$B$8:$FM$57))</f>
        <v>1.6999999999999997</v>
      </c>
      <c r="H46" s="20" cm="1">
        <f t="array" ref="H46">_xlfn.XLOOKUP($H$6, 'Metric Categories 1-14'!$B$7:$FM$7, _xlfn.XLOOKUP(A46, 'Metric Categories 1-14'!$A$8:$A$57, 'Metric Categories 1-14'!$B$8:$FM$57))</f>
        <v>1</v>
      </c>
      <c r="I46" s="20" cm="1">
        <f t="array" ref="I46">_xlfn.XLOOKUP($I$6, '15. Workforce Calcs'!$B$8:$BG$8, _xlfn.XLOOKUP(A46, '15. Workforce Calcs'!$A$10:$A$59, '15. Workforce Calcs'!$B$10:$BG$59))</f>
        <v>2</v>
      </c>
      <c r="J46" s="20" cm="1">
        <f t="array" ref="J46">_xlfn.XLOOKUP($J$6, '16. Existing HQs and Projects'!$B$8:$Q$8, _xlfn.XLOOKUP(A46,'16. Existing HQs and Projects'!$A$9:$A$58, '16. Existing HQs and Projects'!$B$9:$Q$58))</f>
        <v>1</v>
      </c>
      <c r="K46" s="37">
        <f t="shared" si="1"/>
        <v>1.48</v>
      </c>
      <c r="L46" s="37" cm="1">
        <f t="array" ref="L46">_xlfn.IFS(K46&lt;$K$58, 1, K46&gt;$K$59, 3, K46=$K$59, 3, K46&lt;$K$59, 2)</f>
        <v>1</v>
      </c>
    </row>
    <row r="47" spans="1:12">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35">
        <f t="shared" si="0"/>
        <v>1.1799999999999997</v>
      </c>
      <c r="F47" s="301" cm="1">
        <f t="array" ref="F47">_xlfn.IFS(E47&lt;$E$58, 1, E47&gt;$E$59, 3, E47&lt;$E$59, 2)</f>
        <v>2</v>
      </c>
      <c r="G47" s="20" cm="1">
        <f t="array" ref="G47">_xlfn.XLOOKUP($G$6, 'Metric Categories 1-14'!$B$7:$FM$7, _xlfn.XLOOKUP(A47, 'Metric Categories 1-14'!$A$8:$A$57, 'Metric Categories 1-14'!$B$8:$FM$57))</f>
        <v>2.3000000000000003</v>
      </c>
      <c r="H47" s="20" cm="1">
        <f t="array" ref="H47">_xlfn.XLOOKUP($H$6, 'Metric Categories 1-14'!$B$7:$FM$7, _xlfn.XLOOKUP(A47, 'Metric Categories 1-14'!$A$8:$A$57, 'Metric Categories 1-14'!$B$8:$FM$57))</f>
        <v>1</v>
      </c>
      <c r="I47" s="20" cm="1">
        <f t="array" ref="I47">_xlfn.XLOOKUP($I$6, '15. Workforce Calcs'!$B$8:$BG$8, _xlfn.XLOOKUP(A47, '15. Workforce Calcs'!$A$10:$A$59, '15. Workforce Calcs'!$B$10:$BG$59))</f>
        <v>1</v>
      </c>
      <c r="J47" s="20" cm="1">
        <f t="array" ref="J47">_xlfn.XLOOKUP($J$6, '16. Existing HQs and Projects'!$B$8:$Q$8, _xlfn.XLOOKUP(A47,'16. Existing HQs and Projects'!$A$9:$A$58, '16. Existing HQs and Projects'!$B$9:$Q$58))</f>
        <v>1</v>
      </c>
      <c r="K47" s="37">
        <f t="shared" si="1"/>
        <v>1.5200000000000002</v>
      </c>
      <c r="L47" s="37" cm="1">
        <f t="array" ref="L47">_xlfn.IFS(K47&lt;$K$58, 1, K47&gt;$K$59, 3, K47=$K$59, 3, K47&lt;$K$59, 2)</f>
        <v>1</v>
      </c>
    </row>
    <row r="48" spans="1:12">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35">
        <f t="shared" si="0"/>
        <v>0.99999999999999978</v>
      </c>
      <c r="F48" s="301" cm="1">
        <f t="array" ref="F48">_xlfn.IFS(E48&lt;$E$58, 1, E48&gt;$E$59, 3, E48&lt;$E$59, 2)</f>
        <v>1</v>
      </c>
      <c r="G48" s="20" cm="1">
        <f t="array" ref="G48">_xlfn.XLOOKUP($G$6, 'Metric Categories 1-14'!$B$7:$FM$7, _xlfn.XLOOKUP(A48, 'Metric Categories 1-14'!$A$8:$A$57, 'Metric Categories 1-14'!$B$8:$FM$57))</f>
        <v>2.3499999999999996</v>
      </c>
      <c r="H48" s="20" cm="1">
        <f t="array" ref="H48">_xlfn.XLOOKUP($H$6, 'Metric Categories 1-14'!$B$7:$FM$7, _xlfn.XLOOKUP(A48, 'Metric Categories 1-14'!$A$8:$A$57, 'Metric Categories 1-14'!$B$8:$FM$57))</f>
        <v>1</v>
      </c>
      <c r="I48" s="20" cm="1">
        <f t="array" ref="I48">_xlfn.XLOOKUP($I$6, '15. Workforce Calcs'!$B$8:$BG$8, _xlfn.XLOOKUP(A48, '15. Workforce Calcs'!$A$10:$A$59, '15. Workforce Calcs'!$B$10:$BG$59))</f>
        <v>2</v>
      </c>
      <c r="J48" s="20" cm="1">
        <f t="array" ref="J48">_xlfn.XLOOKUP($J$6, '16. Existing HQs and Projects'!$B$8:$Q$8, _xlfn.XLOOKUP(A48,'16. Existing HQs and Projects'!$A$9:$A$58, '16. Existing HQs and Projects'!$B$9:$Q$58))</f>
        <v>1</v>
      </c>
      <c r="K48" s="37">
        <f t="shared" si="1"/>
        <v>1.7400000000000002</v>
      </c>
      <c r="L48" s="37" cm="1">
        <f t="array" ref="L48">_xlfn.IFS(K48&lt;$K$58, 1, K48&gt;$K$59, 3, K48=$K$59, 3, K48&lt;$K$59, 2)</f>
        <v>2</v>
      </c>
    </row>
    <row r="49" spans="1:12">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35">
        <f t="shared" si="0"/>
        <v>0.99999999999999978</v>
      </c>
      <c r="F49" s="301" cm="1">
        <f t="array" ref="F49">_xlfn.IFS(E49&lt;$E$58, 1, E49&gt;$E$59, 3, E49&lt;$E$59, 2)</f>
        <v>1</v>
      </c>
      <c r="G49" s="20" cm="1">
        <f t="array" ref="G49">_xlfn.XLOOKUP($G$6, 'Metric Categories 1-14'!$B$7:$FM$7, _xlfn.XLOOKUP(A49, 'Metric Categories 1-14'!$A$8:$A$57, 'Metric Categories 1-14'!$B$8:$FM$57))</f>
        <v>2.3000000000000003</v>
      </c>
      <c r="H49" s="20" cm="1">
        <f t="array" ref="H49">_xlfn.XLOOKUP($H$6, 'Metric Categories 1-14'!$B$7:$FM$7, _xlfn.XLOOKUP(A49, 'Metric Categories 1-14'!$A$8:$A$57, 'Metric Categories 1-14'!$B$8:$FM$57))</f>
        <v>1.6666666666666665</v>
      </c>
      <c r="I49" s="20" cm="1">
        <f t="array" ref="I49">_xlfn.XLOOKUP($I$6, '15. Workforce Calcs'!$B$8:$BG$8, _xlfn.XLOOKUP(A49, '15. Workforce Calcs'!$A$10:$A$59, '15. Workforce Calcs'!$B$10:$BG$59))</f>
        <v>3</v>
      </c>
      <c r="J49" s="20" cm="1">
        <f t="array" ref="J49">_xlfn.XLOOKUP($J$6, '16. Existing HQs and Projects'!$B$8:$Q$8, _xlfn.XLOOKUP(A49,'16. Existing HQs and Projects'!$A$9:$A$58, '16. Existing HQs and Projects'!$B$9:$Q$58))</f>
        <v>3</v>
      </c>
      <c r="K49" s="37">
        <f t="shared" si="1"/>
        <v>2.3200000000000003</v>
      </c>
      <c r="L49" s="37" cm="1">
        <f t="array" ref="L49">_xlfn.IFS(K49&lt;$K$58, 1, K49&gt;$K$59, 3, K49=$K$59, 3, K49&lt;$K$59, 2)</f>
        <v>3</v>
      </c>
    </row>
    <row r="50" spans="1:12">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35">
        <f t="shared" si="0"/>
        <v>0.99999999999999978</v>
      </c>
      <c r="F50" s="301" cm="1">
        <f t="array" ref="F50">_xlfn.IFS(E50&lt;$E$58, 1, E50&gt;$E$59, 3, E50&lt;$E$59, 2)</f>
        <v>1</v>
      </c>
      <c r="G50" s="20" cm="1">
        <f t="array" ref="G50">_xlfn.XLOOKUP($G$6, 'Metric Categories 1-14'!$B$7:$FM$7, _xlfn.XLOOKUP(A50, 'Metric Categories 1-14'!$A$8:$A$57, 'Metric Categories 1-14'!$B$8:$FM$57))</f>
        <v>1</v>
      </c>
      <c r="H50" s="20" cm="1">
        <f t="array" ref="H50">_xlfn.XLOOKUP($H$6, 'Metric Categories 1-14'!$B$7:$FM$7, _xlfn.XLOOKUP(A50, 'Metric Categories 1-14'!$A$8:$A$57, 'Metric Categories 1-14'!$B$8:$FM$57))</f>
        <v>2.6666666666666665</v>
      </c>
      <c r="I50" s="20" cm="1">
        <f t="array" ref="I50">_xlfn.XLOOKUP($I$6, '15. Workforce Calcs'!$B$8:$BG$8, _xlfn.XLOOKUP(A50, '15. Workforce Calcs'!$A$10:$A$59, '15. Workforce Calcs'!$B$10:$BG$59))</f>
        <v>2</v>
      </c>
      <c r="J50" s="20" cm="1">
        <f t="array" ref="J50">_xlfn.XLOOKUP($J$6, '16. Existing HQs and Projects'!$B$8:$Q$8, _xlfn.XLOOKUP(A50,'16. Existing HQs and Projects'!$A$9:$A$58, '16. Existing HQs and Projects'!$B$9:$Q$58))</f>
        <v>1</v>
      </c>
      <c r="K50" s="37">
        <f t="shared" si="1"/>
        <v>1.7000000000000002</v>
      </c>
      <c r="L50" s="37" cm="1">
        <f t="array" ref="L50">_xlfn.IFS(K50&lt;$K$58, 1, K50&gt;$K$59, 3, K50=$K$59, 3, K50&lt;$K$59, 2)</f>
        <v>2</v>
      </c>
    </row>
    <row r="51" spans="1:12">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35">
        <f t="shared" si="0"/>
        <v>1.4499999999999997</v>
      </c>
      <c r="F51" s="301" cm="1">
        <f t="array" ref="F51">_xlfn.IFS(E51&lt;$E$58, 1, E51&gt;$E$59, 3, E51&lt;$E$59, 2)</f>
        <v>2</v>
      </c>
      <c r="G51" s="20" cm="1">
        <f t="array" ref="G51">_xlfn.XLOOKUP($G$6, 'Metric Categories 1-14'!$B$7:$FM$7, _xlfn.XLOOKUP(A51, 'Metric Categories 1-14'!$A$8:$A$57, 'Metric Categories 1-14'!$B$8:$FM$57))</f>
        <v>1.6999999999999997</v>
      </c>
      <c r="H51" s="20" cm="1">
        <f t="array" ref="H51">_xlfn.XLOOKUP($H$6, 'Metric Categories 1-14'!$B$7:$FM$7, _xlfn.XLOOKUP(A51, 'Metric Categories 1-14'!$A$8:$A$57, 'Metric Categories 1-14'!$B$8:$FM$57))</f>
        <v>1.3333333333333333</v>
      </c>
      <c r="I51" s="20" cm="1">
        <f t="array" ref="I51">_xlfn.XLOOKUP($I$6, '15. Workforce Calcs'!$B$8:$BG$8, _xlfn.XLOOKUP(A51, '15. Workforce Calcs'!$A$10:$A$59, '15. Workforce Calcs'!$B$10:$BG$59))</f>
        <v>1</v>
      </c>
      <c r="J51" s="20" cm="1">
        <f t="array" ref="J51">_xlfn.XLOOKUP($J$6, '16. Existing HQs and Projects'!$B$8:$Q$8, _xlfn.XLOOKUP(A51,'16. Existing HQs and Projects'!$A$9:$A$58, '16. Existing HQs and Projects'!$B$9:$Q$58))</f>
        <v>1</v>
      </c>
      <c r="K51" s="37">
        <f t="shared" si="1"/>
        <v>1.38</v>
      </c>
      <c r="L51" s="37" cm="1">
        <f t="array" ref="L51">_xlfn.IFS(K51&lt;$K$58, 1, K51&gt;$K$59, 3, K51=$K$59, 3, K51&lt;$K$59, 2)</f>
        <v>1</v>
      </c>
    </row>
    <row r="52" spans="1:12">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35">
        <f t="shared" si="0"/>
        <v>1.7799999999999998</v>
      </c>
      <c r="F52" s="301" cm="1">
        <f t="array" ref="F52">_xlfn.IFS(E52&lt;$E$58, 1, E52&gt;$E$59, 3, E52&lt;$E$59, 2)</f>
        <v>3</v>
      </c>
      <c r="G52" s="20" cm="1">
        <f t="array" ref="G52">_xlfn.XLOOKUP($G$6, 'Metric Categories 1-14'!$B$7:$FM$7, _xlfn.XLOOKUP(A52, 'Metric Categories 1-14'!$A$8:$A$57, 'Metric Categories 1-14'!$B$8:$FM$57))</f>
        <v>2.3499999999999996</v>
      </c>
      <c r="H52" s="20" cm="1">
        <f t="array" ref="H52">_xlfn.XLOOKUP($H$6, 'Metric Categories 1-14'!$B$7:$FM$7, _xlfn.XLOOKUP(A52, 'Metric Categories 1-14'!$A$8:$A$57, 'Metric Categories 1-14'!$B$8:$FM$57))</f>
        <v>1.3333333333333333</v>
      </c>
      <c r="I52" s="20" cm="1">
        <f t="array" ref="I52">_xlfn.XLOOKUP($I$6, '15. Workforce Calcs'!$B$8:$BG$8, _xlfn.XLOOKUP(A52, '15. Workforce Calcs'!$A$10:$A$59, '15. Workforce Calcs'!$B$10:$BG$59))</f>
        <v>2</v>
      </c>
      <c r="J52" s="20" cm="1">
        <f t="array" ref="J52">_xlfn.XLOOKUP($J$6, '16. Existing HQs and Projects'!$B$8:$Q$8, _xlfn.XLOOKUP(A52,'16. Existing HQs and Projects'!$A$9:$A$58, '16. Existing HQs and Projects'!$B$9:$Q$58))</f>
        <v>1</v>
      </c>
      <c r="K52" s="37">
        <f t="shared" si="1"/>
        <v>1.8399999999999999</v>
      </c>
      <c r="L52" s="37" cm="1">
        <f t="array" ref="L52">_xlfn.IFS(K52&lt;$K$58, 1, K52&gt;$K$59, 3, K52=$K$59, 3, K52&lt;$K$59, 2)</f>
        <v>2</v>
      </c>
    </row>
    <row r="53" spans="1:12">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35">
        <f t="shared" si="0"/>
        <v>2.2649999999999997</v>
      </c>
      <c r="F53" s="301" cm="1">
        <f t="array" ref="F53">_xlfn.IFS(E53&lt;$E$58, 1, E53&gt;$E$59, 3, E53&lt;$E$59, 2)</f>
        <v>3</v>
      </c>
      <c r="G53" s="20" cm="1">
        <f t="array" ref="G53">_xlfn.XLOOKUP($G$6, 'Metric Categories 1-14'!$B$7:$FM$7, _xlfn.XLOOKUP(A53, 'Metric Categories 1-14'!$A$8:$A$57, 'Metric Categories 1-14'!$B$8:$FM$57))</f>
        <v>2.25</v>
      </c>
      <c r="H53" s="20" cm="1">
        <f t="array" ref="H53">_xlfn.XLOOKUP($H$6, 'Metric Categories 1-14'!$B$7:$FM$7, _xlfn.XLOOKUP(A53, 'Metric Categories 1-14'!$A$8:$A$57, 'Metric Categories 1-14'!$B$8:$FM$57))</f>
        <v>2.333333333333333</v>
      </c>
      <c r="I53" s="20" cm="1">
        <f t="array" ref="I53">_xlfn.XLOOKUP($I$6, '15. Workforce Calcs'!$B$8:$BG$8, _xlfn.XLOOKUP(A53, '15. Workforce Calcs'!$A$10:$A$59, '15. Workforce Calcs'!$B$10:$BG$59))</f>
        <v>3</v>
      </c>
      <c r="J53" s="20" cm="1">
        <f t="array" ref="J53">_xlfn.XLOOKUP($J$6, '16. Existing HQs and Projects'!$B$8:$Q$8, _xlfn.XLOOKUP(A53,'16. Existing HQs and Projects'!$A$9:$A$58, '16. Existing HQs and Projects'!$B$9:$Q$58))</f>
        <v>3</v>
      </c>
      <c r="K53" s="37">
        <f t="shared" si="1"/>
        <v>2.5</v>
      </c>
      <c r="L53" s="37" cm="1">
        <f t="array" ref="L53">_xlfn.IFS(K53&lt;$K$58, 1, K53&gt;$K$59, 3, K53=$K$59, 3, K53&lt;$K$59, 2)</f>
        <v>3</v>
      </c>
    </row>
    <row r="54" spans="1:12">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35">
        <f t="shared" si="0"/>
        <v>1.1799999999999997</v>
      </c>
      <c r="F54" s="301" cm="1">
        <f t="array" ref="F54">_xlfn.IFS(E54&lt;$E$58, 1, E54&gt;$E$59, 3, E54&lt;$E$59, 2)</f>
        <v>2</v>
      </c>
      <c r="G54" s="20" cm="1">
        <f t="array" ref="G54">_xlfn.XLOOKUP($G$6, 'Metric Categories 1-14'!$B$7:$FM$7, _xlfn.XLOOKUP(A54, 'Metric Categories 1-14'!$A$8:$A$57, 'Metric Categories 1-14'!$B$8:$FM$57))</f>
        <v>1.6999999999999997</v>
      </c>
      <c r="H54" s="20" cm="1">
        <f t="array" ref="H54">_xlfn.XLOOKUP($H$6, 'Metric Categories 1-14'!$B$7:$FM$7, _xlfn.XLOOKUP(A54, 'Metric Categories 1-14'!$A$8:$A$57, 'Metric Categories 1-14'!$B$8:$FM$57))</f>
        <v>1</v>
      </c>
      <c r="I54" s="20" cm="1">
        <f t="array" ref="I54">_xlfn.XLOOKUP($I$6, '15. Workforce Calcs'!$B$8:$BG$8, _xlfn.XLOOKUP(A54, '15. Workforce Calcs'!$A$10:$A$59, '15. Workforce Calcs'!$B$10:$BG$59))</f>
        <v>3</v>
      </c>
      <c r="J54" s="20" cm="1">
        <f t="array" ref="J54">_xlfn.XLOOKUP($J$6, '16. Existing HQs and Projects'!$B$8:$Q$8, _xlfn.XLOOKUP(A54,'16. Existing HQs and Projects'!$A$9:$A$58, '16. Existing HQs and Projects'!$B$9:$Q$58))</f>
        <v>1</v>
      </c>
      <c r="K54" s="37">
        <f t="shared" si="1"/>
        <v>1.6800000000000002</v>
      </c>
      <c r="L54" s="37" cm="1">
        <f t="array" ref="L54">_xlfn.IFS(K54&lt;$K$58, 1, K54&gt;$K$59, 3, K54=$K$59, 3, K54&lt;$K$59, 2)</f>
        <v>2</v>
      </c>
    </row>
    <row r="55" spans="1:12">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35">
        <f t="shared" si="0"/>
        <v>1.2549999999999999</v>
      </c>
      <c r="F55" s="301" cm="1">
        <f t="array" ref="F55">_xlfn.IFS(E55&lt;$E$58, 1, E55&gt;$E$59, 3, E55&lt;$E$59, 2)</f>
        <v>2</v>
      </c>
      <c r="G55" s="20" cm="1">
        <f t="array" ref="G55">_xlfn.XLOOKUP($G$6, 'Metric Categories 1-14'!$B$7:$FM$7, _xlfn.XLOOKUP(A55, 'Metric Categories 1-14'!$A$8:$A$57, 'Metric Categories 1-14'!$B$8:$FM$57))</f>
        <v>2.25</v>
      </c>
      <c r="H55" s="20" cm="1">
        <f t="array" ref="H55">_xlfn.XLOOKUP($H$6, 'Metric Categories 1-14'!$B$7:$FM$7, _xlfn.XLOOKUP(A55, 'Metric Categories 1-14'!$A$8:$A$57, 'Metric Categories 1-14'!$B$8:$FM$57))</f>
        <v>1.3333333333333333</v>
      </c>
      <c r="I55" s="20" cm="1">
        <f t="array" ref="I55">_xlfn.XLOOKUP($I$6, '15. Workforce Calcs'!$B$8:$BG$8, _xlfn.XLOOKUP(A55, '15. Workforce Calcs'!$A$10:$A$59, '15. Workforce Calcs'!$B$10:$BG$59))</f>
        <v>2</v>
      </c>
      <c r="J55" s="20" cm="1">
        <f t="array" ref="J55">_xlfn.XLOOKUP($J$6, '16. Existing HQs and Projects'!$B$8:$Q$8, _xlfn.XLOOKUP(A55,'16. Existing HQs and Projects'!$A$9:$A$58, '16. Existing HQs and Projects'!$B$9:$Q$58))</f>
        <v>1</v>
      </c>
      <c r="K55" s="37">
        <f t="shared" si="1"/>
        <v>1.8000000000000003</v>
      </c>
      <c r="L55" s="37" cm="1">
        <f t="array" ref="L55">_xlfn.IFS(K55&lt;$K$58, 1, K55&gt;$K$59, 3, K55=$K$59, 3, K55&lt;$K$59, 2)</f>
        <v>2</v>
      </c>
    </row>
    <row r="56" spans="1:12">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35">
        <f t="shared" si="0"/>
        <v>1.0999999999999999</v>
      </c>
      <c r="F56" s="301" cm="1">
        <f t="array" ref="F56">_xlfn.IFS(E56&lt;$E$58, 1, E56&gt;$E$59, 3, E56&lt;$E$59, 2)</f>
        <v>1</v>
      </c>
      <c r="G56" s="20" cm="1">
        <f t="array" ref="G56">_xlfn.XLOOKUP($G$6, 'Metric Categories 1-14'!$B$7:$FM$7, _xlfn.XLOOKUP(A56, 'Metric Categories 1-14'!$A$8:$A$57, 'Metric Categories 1-14'!$B$8:$FM$57))</f>
        <v>1.8000000000000003</v>
      </c>
      <c r="H56" s="20" cm="1">
        <f t="array" ref="H56">_xlfn.XLOOKUP($H$6, 'Metric Categories 1-14'!$B$7:$FM$7, _xlfn.XLOOKUP(A56, 'Metric Categories 1-14'!$A$8:$A$57, 'Metric Categories 1-14'!$B$8:$FM$57))</f>
        <v>1.3333333333333333</v>
      </c>
      <c r="I56" s="20" cm="1">
        <f t="array" ref="I56">_xlfn.XLOOKUP($I$6, '15. Workforce Calcs'!$B$8:$BG$8, _xlfn.XLOOKUP(A56, '15. Workforce Calcs'!$A$10:$A$59, '15. Workforce Calcs'!$B$10:$BG$59))</f>
        <v>2</v>
      </c>
      <c r="J56" s="20" cm="1">
        <f t="array" ref="J56">_xlfn.XLOOKUP($J$6, '16. Existing HQs and Projects'!$B$8:$Q$8, _xlfn.XLOOKUP(A56,'16. Existing HQs and Projects'!$A$9:$A$58, '16. Existing HQs and Projects'!$B$9:$Q$58))</f>
        <v>1</v>
      </c>
      <c r="K56" s="37">
        <f t="shared" si="1"/>
        <v>1.62</v>
      </c>
      <c r="L56" s="37" cm="1">
        <f t="array" ref="L56">_xlfn.IFS(K56&lt;$K$58, 1, K56&gt;$K$59, 3, K56=$K$59, 3, K56&lt;$K$59, 2)</f>
        <v>2</v>
      </c>
    </row>
    <row r="57" spans="1:12">
      <c r="I57" s="18"/>
    </row>
    <row r="58" spans="1:12">
      <c r="E58" s="35">
        <f>PERCENTILE(E7:E56, 1/3)</f>
        <v>1.1599999999999999</v>
      </c>
      <c r="K58" s="23">
        <f>PERCENTILE(K7:K56, 1/3)</f>
        <v>1.5933333333333333</v>
      </c>
    </row>
    <row r="59" spans="1:12">
      <c r="E59" s="35">
        <f>PERCENTILE(E7:E56, 2/3)</f>
        <v>1.5133333333333332</v>
      </c>
      <c r="K59" s="37">
        <f>PERCENTILE(K7:K56, 2/3)</f>
        <v>1.9266666666666667</v>
      </c>
    </row>
  </sheetData>
  <mergeCells count="2">
    <mergeCell ref="B4:E4"/>
    <mergeCell ref="G4:J4"/>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489B6-1479-C241-A6E4-B25E6E35B670}">
  <sheetPr>
    <tabColor rgb="FF7F7F7F"/>
  </sheetPr>
  <dimension ref="A1:AF59"/>
  <sheetViews>
    <sheetView workbookViewId="0">
      <selection activeCell="D1" sqref="D1"/>
    </sheetView>
  </sheetViews>
  <sheetFormatPr defaultColWidth="15.85546875" defaultRowHeight="14.45"/>
  <cols>
    <col min="1" max="1" width="15.85546875" style="16"/>
    <col min="2" max="4" width="15.85546875" style="13"/>
    <col min="5" max="5" width="15.85546875" style="296"/>
    <col min="6" max="6" width="15.85546875" style="303"/>
    <col min="7" max="10" width="15.85546875" style="13"/>
    <col min="11" max="11" width="15.85546875" style="23"/>
    <col min="12" max="13" width="15.85546875" style="13"/>
    <col min="14" max="14" width="21.5703125" style="13" customWidth="1"/>
    <col min="15" max="15" width="25.140625" style="13" customWidth="1"/>
    <col min="16" max="16384" width="15.85546875" style="13"/>
  </cols>
  <sheetData>
    <row r="1" spans="1:32" s="4" customFormat="1" ht="27" customHeight="1">
      <c r="C1" s="2" t="s">
        <v>0</v>
      </c>
      <c r="D1" s="2"/>
      <c r="F1" s="297"/>
    </row>
    <row r="2" spans="1:32" s="5" customFormat="1" ht="27" customHeight="1" thickBot="1">
      <c r="C2" s="307" t="s">
        <v>712</v>
      </c>
      <c r="D2" s="3"/>
      <c r="F2" s="298"/>
    </row>
    <row r="3" spans="1:32" s="6" customFormat="1" ht="23.45" thickTop="1">
      <c r="B3" s="7"/>
      <c r="F3" s="19"/>
      <c r="AF3" s="14"/>
    </row>
    <row r="4" spans="1:32" ht="15" customHeight="1">
      <c r="A4" s="21"/>
      <c r="B4" s="576" t="s">
        <v>699</v>
      </c>
      <c r="C4" s="577"/>
      <c r="D4" s="577"/>
      <c r="E4" s="577"/>
      <c r="F4" s="299"/>
      <c r="G4" s="578" t="s">
        <v>700</v>
      </c>
      <c r="H4" s="578"/>
      <c r="I4" s="578"/>
      <c r="J4" s="579"/>
      <c r="L4" s="23"/>
    </row>
    <row r="5" spans="1:32" ht="15" customHeight="1">
      <c r="A5" s="21" t="s">
        <v>440</v>
      </c>
      <c r="B5" s="26">
        <v>0.35</v>
      </c>
      <c r="C5" s="26">
        <v>0.35</v>
      </c>
      <c r="D5" s="26">
        <v>0.3</v>
      </c>
      <c r="E5" s="26">
        <f>SUM(B5:D5)</f>
        <v>1</v>
      </c>
      <c r="F5" s="300"/>
      <c r="G5" s="28">
        <v>0.4</v>
      </c>
      <c r="H5" s="28">
        <v>0.4</v>
      </c>
      <c r="I5" s="28">
        <v>0.15</v>
      </c>
      <c r="J5" s="28">
        <v>0.05</v>
      </c>
      <c r="K5" s="29">
        <f>SUM(G5:J5)</f>
        <v>1</v>
      </c>
      <c r="L5" s="23"/>
    </row>
    <row r="6" spans="1:32" s="34" customFormat="1" ht="72.95" thickBot="1">
      <c r="A6" s="30" t="s">
        <v>75</v>
      </c>
      <c r="B6" s="15" t="s">
        <v>82</v>
      </c>
      <c r="C6" s="15" t="s">
        <v>84</v>
      </c>
      <c r="D6" s="15" t="s">
        <v>86</v>
      </c>
      <c r="E6" s="31" t="s">
        <v>701</v>
      </c>
      <c r="F6" s="32" t="s">
        <v>702</v>
      </c>
      <c r="G6" s="15" t="s">
        <v>105</v>
      </c>
      <c r="H6" s="15" t="s">
        <v>102</v>
      </c>
      <c r="I6" s="41" t="s">
        <v>662</v>
      </c>
      <c r="J6" s="15" t="s">
        <v>692</v>
      </c>
      <c r="K6" s="33" t="s">
        <v>703</v>
      </c>
      <c r="L6" s="33" t="s">
        <v>704</v>
      </c>
    </row>
    <row r="7" spans="1:32" ht="15" customHeigh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35">
        <f t="shared" ref="E7:E37" si="0">IF(G7=0, 0, (SUMPRODUCT($B$5:$D$5, B7:D7)))</f>
        <v>0.99999999999999978</v>
      </c>
      <c r="F7" s="301" cm="1">
        <f t="array" ref="F7">_xlfn.IFS(E7=0, 1, E7&gt;$E$59, 3, E7=$E$59, 3, E7&lt;$E$59, 2)</f>
        <v>2</v>
      </c>
      <c r="G7" s="20" cm="1">
        <f t="array" ref="G7">_xlfn.XLOOKUP($G$6, 'Metric Categories 1-14'!$B$7:$FM$7, _xlfn.XLOOKUP(A7, 'Metric Categories 1-14'!$A$8:$A$57, 'Metric Categories 1-14'!$B$8:$FM$57))</f>
        <v>2</v>
      </c>
      <c r="H7" s="20" cm="1">
        <f t="array" ref="H7">_xlfn.XLOOKUP($H$6, 'Metric Categories 1-14'!$B$7:$FM$7, _xlfn.XLOOKUP(A7, 'Metric Categories 1-14'!$A$8:$A$57, 'Metric Categories 1-14'!$B$8:$FM$57))</f>
        <v>1</v>
      </c>
      <c r="I7" s="20" cm="1">
        <f t="array" ref="I7">_xlfn.XLOOKUP($I$6, '15. Workforce Calcs'!$B$8:$BG$8, _xlfn.XLOOKUP(A7, '15. Workforce Calcs'!$A$10:$A$59, '15. Workforce Calcs'!$B$10:$BG$59))</f>
        <v>2</v>
      </c>
      <c r="J7" s="20" cm="1">
        <f t="array" ref="J7">_xlfn.XLOOKUP($J$6, '16. Existing HQs and Projects'!$B$8:$Q$8, _xlfn.XLOOKUP(A7,'16. Existing HQs and Projects'!$A$9:$A$58, '16. Existing HQs and Projects'!$B$9:$Q$58))</f>
        <v>1</v>
      </c>
      <c r="K7" s="37">
        <f>IF(G7=0, 0, (SUMPRODUCT($G$5:$J$5, G7:J7)))</f>
        <v>1.5500000000000003</v>
      </c>
      <c r="L7" s="37" cm="1">
        <f t="array" ref="L7">_xlfn.IFS(K7=0, 1, K7&gt;$K$59, 3, K7=$K$59, 3, K7&lt;$K$59, 2)</f>
        <v>2</v>
      </c>
    </row>
    <row r="8" spans="1:32">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35">
        <f t="shared" si="0"/>
        <v>0.99999999999999978</v>
      </c>
      <c r="F8" s="301" cm="1">
        <f t="array" ref="F8">_xlfn.IFS(E8=0, 1, E8&gt;$E$59, 3, E8=$E$59, 3, E8&lt;$E$59, 2)</f>
        <v>2</v>
      </c>
      <c r="G8" s="20" cm="1">
        <f t="array" ref="G8">_xlfn.XLOOKUP($G$6, 'Metric Categories 1-14'!$B$7:$FM$7, _xlfn.XLOOKUP(A8, 'Metric Categories 1-14'!$A$8:$A$57, 'Metric Categories 1-14'!$B$8:$FM$57))</f>
        <v>2.75</v>
      </c>
      <c r="H8" s="20" cm="1">
        <f t="array" ref="H8">_xlfn.XLOOKUP($H$6, 'Metric Categories 1-14'!$B$7:$FM$7, _xlfn.XLOOKUP(A8, 'Metric Categories 1-14'!$A$8:$A$57, 'Metric Categories 1-14'!$B$8:$FM$57))</f>
        <v>3</v>
      </c>
      <c r="I8" s="20" cm="1">
        <f t="array" ref="I8">_xlfn.XLOOKUP($I$6, '15. Workforce Calcs'!$B$8:$BG$8, _xlfn.XLOOKUP(A8, '15. Workforce Calcs'!$A$10:$A$59, '15. Workforce Calcs'!$B$10:$BG$59))</f>
        <v>3</v>
      </c>
      <c r="J8" s="20" cm="1">
        <f t="array" ref="J8">_xlfn.XLOOKUP($J$6, '16. Existing HQs and Projects'!$B$8:$Q$8, _xlfn.XLOOKUP(A8,'16. Existing HQs and Projects'!$A$9:$A$58, '16. Existing HQs and Projects'!$B$9:$Q$58))</f>
        <v>1</v>
      </c>
      <c r="K8" s="37">
        <f t="shared" ref="K8:K56" si="1">IF(G8=0, 0, (SUMPRODUCT($G$5:$J$5, G8:J8)))</f>
        <v>2.8</v>
      </c>
      <c r="L8" s="37" cm="1">
        <f t="array" ref="L8">_xlfn.IFS(K8=0, 1, K8&gt;$K$59, 3, K8=$K$59, 3, K8&lt;$K$59, 2)</f>
        <v>3</v>
      </c>
    </row>
    <row r="9" spans="1:32" ht="15">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35">
        <f t="shared" si="0"/>
        <v>0</v>
      </c>
      <c r="F9" s="301" cm="1">
        <f t="array" ref="F9">_xlfn.IFS(E9=0, 1, E9&gt;$E$59, 3, E9=$E$59, 3, E9&lt;$E$59, 2)</f>
        <v>1</v>
      </c>
      <c r="G9" s="20" cm="1">
        <f t="array" ref="G9">_xlfn.XLOOKUP($G$6, 'Metric Categories 1-14'!$B$7:$FM$7, _xlfn.XLOOKUP(A9, 'Metric Categories 1-14'!$A$8:$A$57, 'Metric Categories 1-14'!$B$8:$FM$57))</f>
        <v>0</v>
      </c>
      <c r="H9" s="20" cm="1">
        <f t="array" ref="H9">_xlfn.XLOOKUP($H$6, 'Metric Categories 1-14'!$B$7:$FM$7, _xlfn.XLOOKUP(A9, 'Metric Categories 1-14'!$A$8:$A$57, 'Metric Categories 1-14'!$B$8:$FM$57))</f>
        <v>3</v>
      </c>
      <c r="I9" s="20" cm="1">
        <f t="array" ref="I9">_xlfn.XLOOKUP($I$6, '15. Workforce Calcs'!$B$8:$BG$8, _xlfn.XLOOKUP(A9, '15. Workforce Calcs'!$A$10:$A$59, '15. Workforce Calcs'!$B$10:$BG$59))</f>
        <v>1</v>
      </c>
      <c r="J9" s="20" cm="1">
        <f t="array" ref="J9">_xlfn.XLOOKUP($J$6, '16. Existing HQs and Projects'!$B$8:$Q$8, _xlfn.XLOOKUP(A9,'16. Existing HQs and Projects'!$A$9:$A$58, '16. Existing HQs and Projects'!$B$9:$Q$58))</f>
        <v>1</v>
      </c>
      <c r="K9" s="37">
        <f t="shared" si="1"/>
        <v>0</v>
      </c>
      <c r="L9" s="37" cm="1">
        <f t="array" ref="L9">_xlfn.IFS(K9=0, 1, K9&gt;$K$59, 3, K9=$K$59, 3, K9&lt;$K$59, 2)</f>
        <v>1</v>
      </c>
    </row>
    <row r="10" spans="1:32" ht="15">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35">
        <f t="shared" si="0"/>
        <v>0</v>
      </c>
      <c r="F10" s="301" cm="1">
        <f t="array" ref="F10">_xlfn.IFS(E10=0, 1, E10&gt;$E$59, 3, E10=$E$59, 3, E10&lt;$E$59, 2)</f>
        <v>1</v>
      </c>
      <c r="G10" s="20" cm="1">
        <f t="array" ref="G10">_xlfn.XLOOKUP($G$6, 'Metric Categories 1-14'!$B$7:$FM$7, _xlfn.XLOOKUP(A10, 'Metric Categories 1-14'!$A$8:$A$57, 'Metric Categories 1-14'!$B$8:$FM$57))</f>
        <v>0</v>
      </c>
      <c r="H10" s="20" cm="1">
        <f t="array" ref="H10">_xlfn.XLOOKUP($H$6, 'Metric Categories 1-14'!$B$7:$FM$7, _xlfn.XLOOKUP(A10, 'Metric Categories 1-14'!$A$8:$A$57, 'Metric Categories 1-14'!$B$8:$FM$57))</f>
        <v>1</v>
      </c>
      <c r="I10" s="20" cm="1">
        <f t="array" ref="I10">_xlfn.XLOOKUP($I$6, '15. Workforce Calcs'!$B$8:$BG$8, _xlfn.XLOOKUP(A10, '15. Workforce Calcs'!$A$10:$A$59, '15. Workforce Calcs'!$B$10:$BG$59))</f>
        <v>2</v>
      </c>
      <c r="J10" s="20" cm="1">
        <f t="array" ref="J10">_xlfn.XLOOKUP($J$6, '16. Existing HQs and Projects'!$B$8:$Q$8, _xlfn.XLOOKUP(A10,'16. Existing HQs and Projects'!$A$9:$A$58, '16. Existing HQs and Projects'!$B$9:$Q$58))</f>
        <v>1</v>
      </c>
      <c r="K10" s="37">
        <f t="shared" si="1"/>
        <v>0</v>
      </c>
      <c r="L10" s="37" cm="1">
        <f t="array" ref="L10">_xlfn.IFS(K10=0, 1, K10&gt;$K$59, 3, K10=$K$59, 3, K10&lt;$K$59, 2)</f>
        <v>1</v>
      </c>
      <c r="N10" s="422"/>
      <c r="O10" s="422"/>
      <c r="P10" s="422"/>
    </row>
    <row r="11" spans="1:32" ht="15">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35">
        <f t="shared" si="0"/>
        <v>2.4487499999999995</v>
      </c>
      <c r="F11" s="301" cm="1">
        <f t="array" ref="F11">_xlfn.IFS(E11=0, 1, E11&gt;$E$59, 3, E11=$E$59, 3, E11&lt;$E$59, 2)</f>
        <v>3</v>
      </c>
      <c r="G11" s="20" cm="1">
        <f t="array" ref="G11">_xlfn.XLOOKUP($G$6, 'Metric Categories 1-14'!$B$7:$FM$7, _xlfn.XLOOKUP(A11, 'Metric Categories 1-14'!$A$8:$A$57, 'Metric Categories 1-14'!$B$8:$FM$57))</f>
        <v>2.25</v>
      </c>
      <c r="H11" s="20" cm="1">
        <f t="array" ref="H11">_xlfn.XLOOKUP($H$6, 'Metric Categories 1-14'!$B$7:$FM$7, _xlfn.XLOOKUP(A11, 'Metric Categories 1-14'!$A$8:$A$57, 'Metric Categories 1-14'!$B$8:$FM$57))</f>
        <v>3</v>
      </c>
      <c r="I11" s="20" cm="1">
        <f t="array" ref="I11">_xlfn.XLOOKUP($I$6, '15. Workforce Calcs'!$B$8:$BG$8, _xlfn.XLOOKUP(A11, '15. Workforce Calcs'!$A$10:$A$59, '15. Workforce Calcs'!$B$10:$BG$59))</f>
        <v>3</v>
      </c>
      <c r="J11" s="20" cm="1">
        <f t="array" ref="J11">_xlfn.XLOOKUP($J$6, '16. Existing HQs and Projects'!$B$8:$Q$8, _xlfn.XLOOKUP(A11,'16. Existing HQs and Projects'!$A$9:$A$58, '16. Existing HQs and Projects'!$B$9:$Q$58))</f>
        <v>3</v>
      </c>
      <c r="K11" s="37">
        <f t="shared" si="1"/>
        <v>2.6999999999999997</v>
      </c>
      <c r="L11" s="37" cm="1">
        <f t="array" ref="L11">_xlfn.IFS(K11=0, 1, K11&gt;$K$59, 3, K11=$K$59, 3, K11&lt;$K$59, 2)</f>
        <v>3</v>
      </c>
      <c r="N11" s="446"/>
      <c r="O11" s="446"/>
    </row>
    <row r="12" spans="1:32" ht="15">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35">
        <f t="shared" si="0"/>
        <v>0</v>
      </c>
      <c r="F12" s="301" cm="1">
        <f t="array" ref="F12">_xlfn.IFS(E12=0, 1, E12&gt;$E$59, 3, E12=$E$59, 3, E12&lt;$E$59, 2)</f>
        <v>1</v>
      </c>
      <c r="G12" s="20" cm="1">
        <f t="array" ref="G12">_xlfn.XLOOKUP($G$6, 'Metric Categories 1-14'!$B$7:$FM$7, _xlfn.XLOOKUP(A12, 'Metric Categories 1-14'!$A$8:$A$57, 'Metric Categories 1-14'!$B$8:$FM$57))</f>
        <v>0</v>
      </c>
      <c r="H12" s="20" cm="1">
        <f t="array" ref="H12">_xlfn.XLOOKUP($H$6, 'Metric Categories 1-14'!$B$7:$FM$7, _xlfn.XLOOKUP(A12, 'Metric Categories 1-14'!$A$8:$A$57, 'Metric Categories 1-14'!$B$8:$FM$57))</f>
        <v>1</v>
      </c>
      <c r="I12" s="20" cm="1">
        <f t="array" ref="I12">_xlfn.XLOOKUP($I$6, '15. Workforce Calcs'!$B$8:$BG$8, _xlfn.XLOOKUP(A12, '15. Workforce Calcs'!$A$10:$A$59, '15. Workforce Calcs'!$B$10:$BG$59))</f>
        <v>1</v>
      </c>
      <c r="J12" s="20" cm="1">
        <f t="array" ref="J12">_xlfn.XLOOKUP($J$6, '16. Existing HQs and Projects'!$B$8:$Q$8, _xlfn.XLOOKUP(A12,'16. Existing HQs and Projects'!$A$9:$A$58, '16. Existing HQs and Projects'!$B$9:$Q$58))</f>
        <v>1</v>
      </c>
      <c r="K12" s="37">
        <f t="shared" si="1"/>
        <v>0</v>
      </c>
      <c r="L12" s="37" cm="1">
        <f t="array" ref="L12">_xlfn.IFS(K12=0, 1, K12&gt;$K$59, 3, K12=$K$59, 3, K12&lt;$K$59, 2)</f>
        <v>1</v>
      </c>
      <c r="M12" s="422"/>
      <c r="N12" s="422"/>
      <c r="O12" s="12"/>
    </row>
    <row r="13" spans="1:32" ht="15">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35">
        <f t="shared" si="0"/>
        <v>1.9162499999999998</v>
      </c>
      <c r="F13" s="301" cm="1">
        <f t="array" ref="F13">_xlfn.IFS(E13=0, 1, E13&gt;$E$59, 3, E13=$E$59, 3, E13&lt;$E$59, 2)</f>
        <v>3</v>
      </c>
      <c r="G13" s="20" cm="1">
        <f t="array" ref="G13">_xlfn.XLOOKUP($G$6, 'Metric Categories 1-14'!$B$7:$FM$7, _xlfn.XLOOKUP(A13, 'Metric Categories 1-14'!$A$8:$A$57, 'Metric Categories 1-14'!$B$8:$FM$57))</f>
        <v>2.5</v>
      </c>
      <c r="H13" s="20" cm="1">
        <f t="array" ref="H13">_xlfn.XLOOKUP($H$6, 'Metric Categories 1-14'!$B$7:$FM$7, _xlfn.XLOOKUP(A13, 'Metric Categories 1-14'!$A$8:$A$57, 'Metric Categories 1-14'!$B$8:$FM$57))</f>
        <v>3</v>
      </c>
      <c r="I13" s="20" cm="1">
        <f t="array" ref="I13">_xlfn.XLOOKUP($I$6, '15. Workforce Calcs'!$B$8:$BG$8, _xlfn.XLOOKUP(A13, '15. Workforce Calcs'!$A$10:$A$59, '15. Workforce Calcs'!$B$10:$BG$59))</f>
        <v>2</v>
      </c>
      <c r="J13" s="20" cm="1">
        <f t="array" ref="J13">_xlfn.XLOOKUP($J$6, '16. Existing HQs and Projects'!$B$8:$Q$8, _xlfn.XLOOKUP(A13,'16. Existing HQs and Projects'!$A$9:$A$58, '16. Existing HQs and Projects'!$B$9:$Q$58))</f>
        <v>1</v>
      </c>
      <c r="K13" s="37">
        <f t="shared" si="1"/>
        <v>2.5499999999999998</v>
      </c>
      <c r="L13" s="37" cm="1">
        <f t="array" ref="L13">_xlfn.IFS(K13=0, 1, K13&gt;$K$59, 3, K13=$K$59, 3, K13&lt;$K$59, 2)</f>
        <v>3</v>
      </c>
      <c r="M13" s="445"/>
    </row>
    <row r="14" spans="1:32" ht="15">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35">
        <f t="shared" si="0"/>
        <v>1.5762499999999999</v>
      </c>
      <c r="F14" s="301" cm="1">
        <f t="array" ref="F14">_xlfn.IFS(E14=0, 1, E14&gt;$E$59, 3, E14=$E$59, 3, E14&lt;$E$59, 2)</f>
        <v>3</v>
      </c>
      <c r="G14" s="20" cm="1">
        <f t="array" ref="G14">_xlfn.XLOOKUP($G$6, 'Metric Categories 1-14'!$B$7:$FM$7, _xlfn.XLOOKUP(A14, 'Metric Categories 1-14'!$A$8:$A$57, 'Metric Categories 1-14'!$B$8:$FM$57))</f>
        <v>2.5</v>
      </c>
      <c r="H14" s="20" cm="1">
        <f t="array" ref="H14">_xlfn.XLOOKUP($H$6, 'Metric Categories 1-14'!$B$7:$FM$7, _xlfn.XLOOKUP(A14, 'Metric Categories 1-14'!$A$8:$A$57, 'Metric Categories 1-14'!$B$8:$FM$57))</f>
        <v>1</v>
      </c>
      <c r="I14" s="20" cm="1">
        <f t="array" ref="I14">_xlfn.XLOOKUP($I$6, '15. Workforce Calcs'!$B$8:$BG$8, _xlfn.XLOOKUP(A14, '15. Workforce Calcs'!$A$10:$A$59, '15. Workforce Calcs'!$B$10:$BG$59))</f>
        <v>1</v>
      </c>
      <c r="J14" s="20" cm="1">
        <f t="array" ref="J14">_xlfn.XLOOKUP($J$6, '16. Existing HQs and Projects'!$B$8:$Q$8, _xlfn.XLOOKUP(A14,'16. Existing HQs and Projects'!$A$9:$A$58, '16. Existing HQs and Projects'!$B$9:$Q$58))</f>
        <v>1</v>
      </c>
      <c r="K14" s="37">
        <f t="shared" si="1"/>
        <v>1.5999999999999999</v>
      </c>
      <c r="L14" s="37" cm="1">
        <f t="array" ref="L14">_xlfn.IFS(K14=0, 1, K14&gt;$K$59, 3, K14=$K$59, 3, K14&lt;$K$59, 2)</f>
        <v>2</v>
      </c>
      <c r="M14" s="12"/>
    </row>
    <row r="15" spans="1:32" ht="15">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35">
        <f t="shared" si="0"/>
        <v>1.3975</v>
      </c>
      <c r="F15" s="301" cm="1">
        <f t="array" ref="F15">_xlfn.IFS(E15=0, 1, E15&gt;$E$59, 3, E15=$E$59, 3, E15&lt;$E$59, 2)</f>
        <v>3</v>
      </c>
      <c r="G15" s="20" cm="1">
        <f t="array" ref="G15">_xlfn.XLOOKUP($G$6, 'Metric Categories 1-14'!$B$7:$FM$7, _xlfn.XLOOKUP(A15, 'Metric Categories 1-14'!$A$8:$A$57, 'Metric Categories 1-14'!$B$8:$FM$57))</f>
        <v>3</v>
      </c>
      <c r="H15" s="20" cm="1">
        <f t="array" ref="H15">_xlfn.XLOOKUP($H$6, 'Metric Categories 1-14'!$B$7:$FM$7, _xlfn.XLOOKUP(A15, 'Metric Categories 1-14'!$A$8:$A$57, 'Metric Categories 1-14'!$B$8:$FM$57))</f>
        <v>3</v>
      </c>
      <c r="I15" s="20" cm="1">
        <f t="array" ref="I15">_xlfn.XLOOKUP($I$6, '15. Workforce Calcs'!$B$8:$BG$8, _xlfn.XLOOKUP(A15, '15. Workforce Calcs'!$A$10:$A$59, '15. Workforce Calcs'!$B$10:$BG$59))</f>
        <v>3</v>
      </c>
      <c r="J15" s="20" cm="1">
        <f t="array" ref="J15">_xlfn.XLOOKUP($J$6, '16. Existing HQs and Projects'!$B$8:$Q$8, _xlfn.XLOOKUP(A15,'16. Existing HQs and Projects'!$A$9:$A$58, '16. Existing HQs and Projects'!$B$9:$Q$58))</f>
        <v>1</v>
      </c>
      <c r="K15" s="37">
        <f t="shared" si="1"/>
        <v>2.9000000000000004</v>
      </c>
      <c r="L15" s="37" cm="1">
        <f t="array" ref="L15">_xlfn.IFS(K15=0, 1, K15&gt;$K$59, 3, K15=$K$59, 3, K15&lt;$K$59, 2)</f>
        <v>3</v>
      </c>
    </row>
    <row r="16" spans="1:32">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35">
        <f t="shared" si="0"/>
        <v>1.1799999999999997</v>
      </c>
      <c r="F16" s="301" cm="1">
        <f t="array" ref="F16">_xlfn.IFS(E16=0, 1, E16&gt;$E$59, 3, E16=$E$59, 3, E16&lt;$E$59, 2)</f>
        <v>2</v>
      </c>
      <c r="G16" s="20" cm="1">
        <f t="array" ref="G16">_xlfn.XLOOKUP($G$6, 'Metric Categories 1-14'!$B$7:$FM$7, _xlfn.XLOOKUP(A16, 'Metric Categories 1-14'!$A$8:$A$57, 'Metric Categories 1-14'!$B$8:$FM$57))</f>
        <v>2</v>
      </c>
      <c r="H16" s="20" cm="1">
        <f t="array" ref="H16">_xlfn.XLOOKUP($H$6, 'Metric Categories 1-14'!$B$7:$FM$7, _xlfn.XLOOKUP(A16, 'Metric Categories 1-14'!$A$8:$A$57, 'Metric Categories 1-14'!$B$8:$FM$57))</f>
        <v>1</v>
      </c>
      <c r="I16" s="20" cm="1">
        <f t="array" ref="I16">_xlfn.XLOOKUP($I$6, '15. Workforce Calcs'!$B$8:$BG$8, _xlfn.XLOOKUP(A16, '15. Workforce Calcs'!$A$10:$A$59, '15. Workforce Calcs'!$B$10:$BG$59))</f>
        <v>2</v>
      </c>
      <c r="J16" s="20" cm="1">
        <f t="array" ref="J16">_xlfn.XLOOKUP($J$6, '16. Existing HQs and Projects'!$B$8:$Q$8, _xlfn.XLOOKUP(A16,'16. Existing HQs and Projects'!$A$9:$A$58, '16. Existing HQs and Projects'!$B$9:$Q$58))</f>
        <v>1</v>
      </c>
      <c r="K16" s="37">
        <f t="shared" si="1"/>
        <v>1.5500000000000003</v>
      </c>
      <c r="L16" s="37" cm="1">
        <f t="array" ref="L16">_xlfn.IFS(K16=0, 1, K16&gt;$K$59, 3, K16=$K$59, 3, K16&lt;$K$59, 2)</f>
        <v>2</v>
      </c>
    </row>
    <row r="17" spans="1:12">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35">
        <f t="shared" si="0"/>
        <v>1.6524999999999999</v>
      </c>
      <c r="F17" s="301" cm="1">
        <f t="array" ref="F17">_xlfn.IFS(E17=0, 1, E17&gt;$E$59, 3, E17=$E$59, 3, E17&lt;$E$59, 2)</f>
        <v>3</v>
      </c>
      <c r="G17" s="20" cm="1">
        <f t="array" ref="G17">_xlfn.XLOOKUP($G$6, 'Metric Categories 1-14'!$B$7:$FM$7, _xlfn.XLOOKUP(A17, 'Metric Categories 1-14'!$A$8:$A$57, 'Metric Categories 1-14'!$B$8:$FM$57))</f>
        <v>2.75</v>
      </c>
      <c r="H17" s="20" cm="1">
        <f t="array" ref="H17">_xlfn.XLOOKUP($H$6, 'Metric Categories 1-14'!$B$7:$FM$7, _xlfn.XLOOKUP(A17, 'Metric Categories 1-14'!$A$8:$A$57, 'Metric Categories 1-14'!$B$8:$FM$57))</f>
        <v>3</v>
      </c>
      <c r="I17" s="20" cm="1">
        <f t="array" ref="I17">_xlfn.XLOOKUP($I$6, '15. Workforce Calcs'!$B$8:$BG$8, _xlfn.XLOOKUP(A17, '15. Workforce Calcs'!$A$10:$A$59, '15. Workforce Calcs'!$B$10:$BG$59))</f>
        <v>3</v>
      </c>
      <c r="J17" s="20" cm="1">
        <f t="array" ref="J17">_xlfn.XLOOKUP($J$6, '16. Existing HQs and Projects'!$B$8:$Q$8, _xlfn.XLOOKUP(A17,'16. Existing HQs and Projects'!$A$9:$A$58, '16. Existing HQs and Projects'!$B$9:$Q$58))</f>
        <v>3</v>
      </c>
      <c r="K17" s="37">
        <f t="shared" si="1"/>
        <v>2.9</v>
      </c>
      <c r="L17" s="37" cm="1">
        <f t="array" ref="L17">_xlfn.IFS(K17=0, 1, K17&gt;$K$59, 3, K17=$K$59, 3, K17&lt;$K$59, 2)</f>
        <v>3</v>
      </c>
    </row>
    <row r="18" spans="1:12">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35">
        <f t="shared" si="0"/>
        <v>0</v>
      </c>
      <c r="F18" s="301" cm="1">
        <f t="array" ref="F18">_xlfn.IFS(E18=0, 1, E18&gt;$E$59, 3, E18=$E$59, 3, E18&lt;$E$59, 2)</f>
        <v>1</v>
      </c>
      <c r="G18" s="20" cm="1">
        <f t="array" ref="G18">_xlfn.XLOOKUP($G$6, 'Metric Categories 1-14'!$B$7:$FM$7, _xlfn.XLOOKUP(A18, 'Metric Categories 1-14'!$A$8:$A$57, 'Metric Categories 1-14'!$B$8:$FM$57))</f>
        <v>0</v>
      </c>
      <c r="H18" s="20" cm="1">
        <f t="array" ref="H18">_xlfn.XLOOKUP($H$6, 'Metric Categories 1-14'!$B$7:$FM$7, _xlfn.XLOOKUP(A18, 'Metric Categories 1-14'!$A$8:$A$57, 'Metric Categories 1-14'!$B$8:$FM$57))</f>
        <v>1</v>
      </c>
      <c r="I18" s="20" cm="1">
        <f t="array" ref="I18">_xlfn.XLOOKUP($I$6, '15. Workforce Calcs'!$B$8:$BG$8, _xlfn.XLOOKUP(A18, '15. Workforce Calcs'!$A$10:$A$59, '15. Workforce Calcs'!$B$10:$BG$59))</f>
        <v>2</v>
      </c>
      <c r="J18" s="20" cm="1">
        <f t="array" ref="J18">_xlfn.XLOOKUP($J$6, '16. Existing HQs and Projects'!$B$8:$Q$8, _xlfn.XLOOKUP(A18,'16. Existing HQs and Projects'!$A$9:$A$58, '16. Existing HQs and Projects'!$B$9:$Q$58))</f>
        <v>1</v>
      </c>
      <c r="K18" s="37">
        <f t="shared" si="1"/>
        <v>0</v>
      </c>
      <c r="L18" s="37" cm="1">
        <f t="array" ref="L18">_xlfn.IFS(K18=0, 1, K18&gt;$K$59, 3, K18=$K$59, 3, K18&lt;$K$59, 2)</f>
        <v>1</v>
      </c>
    </row>
    <row r="19" spans="1:12">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35">
        <f t="shared" si="0"/>
        <v>0</v>
      </c>
      <c r="F19" s="301" cm="1">
        <f t="array" ref="F19">_xlfn.IFS(E19=0, 1, E19&gt;$E$59, 3, E19=$E$59, 3, E19&lt;$E$59, 2)</f>
        <v>1</v>
      </c>
      <c r="G19" s="20" cm="1">
        <f t="array" ref="G19">_xlfn.XLOOKUP($G$6, 'Metric Categories 1-14'!$B$7:$FM$7, _xlfn.XLOOKUP(A19, 'Metric Categories 1-14'!$A$8:$A$57, 'Metric Categories 1-14'!$B$8:$FM$57))</f>
        <v>0</v>
      </c>
      <c r="H19" s="20" cm="1">
        <f t="array" ref="H19">_xlfn.XLOOKUP($H$6, 'Metric Categories 1-14'!$B$7:$FM$7, _xlfn.XLOOKUP(A19, 'Metric Categories 1-14'!$A$8:$A$57, 'Metric Categories 1-14'!$B$8:$FM$57))</f>
        <v>1</v>
      </c>
      <c r="I19" s="20" cm="1">
        <f t="array" ref="I19">_xlfn.XLOOKUP($I$6, '15. Workforce Calcs'!$B$8:$BG$8, _xlfn.XLOOKUP(A19, '15. Workforce Calcs'!$A$10:$A$59, '15. Workforce Calcs'!$B$10:$BG$59))</f>
        <v>3</v>
      </c>
      <c r="J19" s="20" cm="1">
        <f t="array" ref="J19">_xlfn.XLOOKUP($J$6, '16. Existing HQs and Projects'!$B$8:$Q$8, _xlfn.XLOOKUP(A19,'16. Existing HQs and Projects'!$A$9:$A$58, '16. Existing HQs and Projects'!$B$9:$Q$58))</f>
        <v>1</v>
      </c>
      <c r="K19" s="37">
        <f t="shared" si="1"/>
        <v>0</v>
      </c>
      <c r="L19" s="37" cm="1">
        <f t="array" ref="L19">_xlfn.IFS(K19=0, 1, K19&gt;$K$59, 3, K19=$K$59, 3, K19&lt;$K$59, 2)</f>
        <v>1</v>
      </c>
    </row>
    <row r="20" spans="1:12">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35">
        <f t="shared" si="0"/>
        <v>0</v>
      </c>
      <c r="F20" s="301" cm="1">
        <f t="array" ref="F20">_xlfn.IFS(E20=0, 1, E20&gt;$E$59, 3, E20=$E$59, 3, E20&lt;$E$59, 2)</f>
        <v>1</v>
      </c>
      <c r="G20" s="20" cm="1">
        <f t="array" ref="G20">_xlfn.XLOOKUP($G$6, 'Metric Categories 1-14'!$B$7:$FM$7, _xlfn.XLOOKUP(A20, 'Metric Categories 1-14'!$A$8:$A$57, 'Metric Categories 1-14'!$B$8:$FM$57))</f>
        <v>0</v>
      </c>
      <c r="H20" s="20" cm="1">
        <f t="array" ref="H20">_xlfn.XLOOKUP($H$6, 'Metric Categories 1-14'!$B$7:$FM$7, _xlfn.XLOOKUP(A20, 'Metric Categories 1-14'!$A$8:$A$57, 'Metric Categories 1-14'!$B$8:$FM$57))</f>
        <v>1</v>
      </c>
      <c r="I20" s="20" cm="1">
        <f t="array" ref="I20">_xlfn.XLOOKUP($I$6, '15. Workforce Calcs'!$B$8:$BG$8, _xlfn.XLOOKUP(A20, '15. Workforce Calcs'!$A$10:$A$59, '15. Workforce Calcs'!$B$10:$BG$59))</f>
        <v>1</v>
      </c>
      <c r="J20" s="20" cm="1">
        <f t="array" ref="J20">_xlfn.XLOOKUP($J$6, '16. Existing HQs and Projects'!$B$8:$Q$8, _xlfn.XLOOKUP(A20,'16. Existing HQs and Projects'!$A$9:$A$58, '16. Existing HQs and Projects'!$B$9:$Q$58))</f>
        <v>1</v>
      </c>
      <c r="K20" s="37">
        <f t="shared" si="1"/>
        <v>0</v>
      </c>
      <c r="L20" s="37" cm="1">
        <f t="array" ref="L20">_xlfn.IFS(K20=0, 1, K20&gt;$K$59, 3, K20=$K$59, 3, K20&lt;$K$59, 2)</f>
        <v>1</v>
      </c>
    </row>
    <row r="21" spans="1:12">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35">
        <f t="shared" si="0"/>
        <v>0</v>
      </c>
      <c r="F21" s="301" cm="1">
        <f t="array" ref="F21">_xlfn.IFS(E21=0, 1, E21&gt;$E$59, 3, E21=$E$59, 3, E21&lt;$E$59, 2)</f>
        <v>1</v>
      </c>
      <c r="G21" s="20" cm="1">
        <f t="array" ref="G21">_xlfn.XLOOKUP($G$6, 'Metric Categories 1-14'!$B$7:$FM$7, _xlfn.XLOOKUP(A21, 'Metric Categories 1-14'!$A$8:$A$57, 'Metric Categories 1-14'!$B$8:$FM$57))</f>
        <v>0</v>
      </c>
      <c r="H21" s="20" cm="1">
        <f t="array" ref="H21">_xlfn.XLOOKUP($H$6, 'Metric Categories 1-14'!$B$7:$FM$7, _xlfn.XLOOKUP(A21, 'Metric Categories 1-14'!$A$8:$A$57, 'Metric Categories 1-14'!$B$8:$FM$57))</f>
        <v>1</v>
      </c>
      <c r="I21" s="20" cm="1">
        <f t="array" ref="I21">_xlfn.XLOOKUP($I$6, '15. Workforce Calcs'!$B$8:$BG$8, _xlfn.XLOOKUP(A21, '15. Workforce Calcs'!$A$10:$A$59, '15. Workforce Calcs'!$B$10:$BG$59))</f>
        <v>1</v>
      </c>
      <c r="J21" s="20" cm="1">
        <f t="array" ref="J21">_xlfn.XLOOKUP($J$6, '16. Existing HQs and Projects'!$B$8:$Q$8, _xlfn.XLOOKUP(A21,'16. Existing HQs and Projects'!$A$9:$A$58, '16. Existing HQs and Projects'!$B$9:$Q$58))</f>
        <v>1</v>
      </c>
      <c r="K21" s="37">
        <f t="shared" si="1"/>
        <v>0</v>
      </c>
      <c r="L21" s="37" cm="1">
        <f t="array" ref="L21">_xlfn.IFS(K21=0, 1, K21&gt;$K$59, 3, K21=$K$59, 3, K21&lt;$K$59, 2)</f>
        <v>1</v>
      </c>
    </row>
    <row r="22" spans="1:12">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35">
        <f t="shared" si="0"/>
        <v>0</v>
      </c>
      <c r="F22" s="301" cm="1">
        <f t="array" ref="F22">_xlfn.IFS(E22=0, 1, E22&gt;$E$59, 3, E22=$E$59, 3, E22&lt;$E$59, 2)</f>
        <v>1</v>
      </c>
      <c r="G22" s="20" cm="1">
        <f t="array" ref="G22">_xlfn.XLOOKUP($G$6, 'Metric Categories 1-14'!$B$7:$FM$7, _xlfn.XLOOKUP(A22, 'Metric Categories 1-14'!$A$8:$A$57, 'Metric Categories 1-14'!$B$8:$FM$57))</f>
        <v>0</v>
      </c>
      <c r="H22" s="20" cm="1">
        <f t="array" ref="H22">_xlfn.XLOOKUP($H$6, 'Metric Categories 1-14'!$B$7:$FM$7, _xlfn.XLOOKUP(A22, 'Metric Categories 1-14'!$A$8:$A$57, 'Metric Categories 1-14'!$B$8:$FM$57))</f>
        <v>1</v>
      </c>
      <c r="I22" s="20" cm="1">
        <f t="array" ref="I22">_xlfn.XLOOKUP($I$6, '15. Workforce Calcs'!$B$8:$BG$8, _xlfn.XLOOKUP(A22, '15. Workforce Calcs'!$A$10:$A$59, '15. Workforce Calcs'!$B$10:$BG$59))</f>
        <v>1</v>
      </c>
      <c r="J22" s="20" cm="1">
        <f t="array" ref="J22">_xlfn.XLOOKUP($J$6, '16. Existing HQs and Projects'!$B$8:$Q$8, _xlfn.XLOOKUP(A22,'16. Existing HQs and Projects'!$A$9:$A$58, '16. Existing HQs and Projects'!$B$9:$Q$58))</f>
        <v>1</v>
      </c>
      <c r="K22" s="37">
        <f t="shared" si="1"/>
        <v>0</v>
      </c>
      <c r="L22" s="37" cm="1">
        <f t="array" ref="L22">_xlfn.IFS(K22=0, 1, K22&gt;$K$59, 3, K22=$K$59, 3, K22&lt;$K$59, 2)</f>
        <v>1</v>
      </c>
    </row>
    <row r="23" spans="1:12">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35">
        <f t="shared" si="0"/>
        <v>0</v>
      </c>
      <c r="F23" s="301" cm="1">
        <f t="array" ref="F23">_xlfn.IFS(E23=0, 1, E23&gt;$E$59, 3, E23=$E$59, 3, E23&lt;$E$59, 2)</f>
        <v>1</v>
      </c>
      <c r="G23" s="20" cm="1">
        <f t="array" ref="G23">_xlfn.XLOOKUP($G$6, 'Metric Categories 1-14'!$B$7:$FM$7, _xlfn.XLOOKUP(A23, 'Metric Categories 1-14'!$A$8:$A$57, 'Metric Categories 1-14'!$B$8:$FM$57))</f>
        <v>0</v>
      </c>
      <c r="H23" s="20" cm="1">
        <f t="array" ref="H23">_xlfn.XLOOKUP($H$6, 'Metric Categories 1-14'!$B$7:$FM$7, _xlfn.XLOOKUP(A23, 'Metric Categories 1-14'!$A$8:$A$57, 'Metric Categories 1-14'!$B$8:$FM$57))</f>
        <v>1</v>
      </c>
      <c r="I23" s="20" cm="1">
        <f t="array" ref="I23">_xlfn.XLOOKUP($I$6, '15. Workforce Calcs'!$B$8:$BG$8, _xlfn.XLOOKUP(A23, '15. Workforce Calcs'!$A$10:$A$59, '15. Workforce Calcs'!$B$10:$BG$59))</f>
        <v>3</v>
      </c>
      <c r="J23" s="20" cm="1">
        <f t="array" ref="J23">_xlfn.XLOOKUP($J$6, '16. Existing HQs and Projects'!$B$8:$Q$8, _xlfn.XLOOKUP(A23,'16. Existing HQs and Projects'!$A$9:$A$58, '16. Existing HQs and Projects'!$B$9:$Q$58))</f>
        <v>1</v>
      </c>
      <c r="K23" s="37">
        <f t="shared" si="1"/>
        <v>0</v>
      </c>
      <c r="L23" s="37" cm="1">
        <f t="array" ref="L23">_xlfn.IFS(K23=0, 1, K23&gt;$K$59, 3, K23=$K$59, 3, K23&lt;$K$59, 2)</f>
        <v>1</v>
      </c>
    </row>
    <row r="24" spans="1:12">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35">
        <f t="shared" si="0"/>
        <v>1.375</v>
      </c>
      <c r="F24" s="301" cm="1">
        <f t="array" ref="F24">_xlfn.IFS(E24=0, 1, E24&gt;$E$59, 3, E24=$E$59, 3, E24&lt;$E$59, 2)</f>
        <v>3</v>
      </c>
      <c r="G24" s="20" cm="1">
        <f t="array" ref="G24">_xlfn.XLOOKUP($G$6, 'Metric Categories 1-14'!$B$7:$FM$7, _xlfn.XLOOKUP(A24, 'Metric Categories 1-14'!$A$8:$A$57, 'Metric Categories 1-14'!$B$8:$FM$57))</f>
        <v>3</v>
      </c>
      <c r="H24" s="20" cm="1">
        <f t="array" ref="H24">_xlfn.XLOOKUP($H$6, 'Metric Categories 1-14'!$B$7:$FM$7, _xlfn.XLOOKUP(A24, 'Metric Categories 1-14'!$A$8:$A$57, 'Metric Categories 1-14'!$B$8:$FM$57))</f>
        <v>3</v>
      </c>
      <c r="I24" s="20" cm="1">
        <f t="array" ref="I24">_xlfn.XLOOKUP($I$6, '15. Workforce Calcs'!$B$8:$BG$8, _xlfn.XLOOKUP(A24, '15. Workforce Calcs'!$A$10:$A$59, '15. Workforce Calcs'!$B$10:$BG$59))</f>
        <v>3</v>
      </c>
      <c r="J24" s="20" cm="1">
        <f t="array" ref="J24">_xlfn.XLOOKUP($J$6, '16. Existing HQs and Projects'!$B$8:$Q$8, _xlfn.XLOOKUP(A24,'16. Existing HQs and Projects'!$A$9:$A$58, '16. Existing HQs and Projects'!$B$9:$Q$58))</f>
        <v>3</v>
      </c>
      <c r="K24" s="37">
        <f t="shared" si="1"/>
        <v>3.0000000000000004</v>
      </c>
      <c r="L24" s="37" cm="1">
        <f t="array" ref="L24">_xlfn.IFS(K24=0, 1, K24&gt;$K$59, 3, K24=$K$59, 3, K24&lt;$K$59, 2)</f>
        <v>3</v>
      </c>
    </row>
    <row r="25" spans="1:12">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35">
        <f t="shared" si="0"/>
        <v>1.64625</v>
      </c>
      <c r="F25" s="301" cm="1">
        <f t="array" ref="F25">_xlfn.IFS(E25=0, 1, E25&gt;$E$59, 3, E25=$E$59, 3, E25&lt;$E$59, 2)</f>
        <v>3</v>
      </c>
      <c r="G25" s="20" cm="1">
        <f t="array" ref="G25">_xlfn.XLOOKUP($G$6, 'Metric Categories 1-14'!$B$7:$FM$7, _xlfn.XLOOKUP(A25, 'Metric Categories 1-14'!$A$8:$A$57, 'Metric Categories 1-14'!$B$8:$FM$57))</f>
        <v>2.5</v>
      </c>
      <c r="H25" s="20" cm="1">
        <f t="array" ref="H25">_xlfn.XLOOKUP($H$6, 'Metric Categories 1-14'!$B$7:$FM$7, _xlfn.XLOOKUP(A25, 'Metric Categories 1-14'!$A$8:$A$57, 'Metric Categories 1-14'!$B$8:$FM$57))</f>
        <v>3</v>
      </c>
      <c r="I25" s="20" cm="1">
        <f t="array" ref="I25">_xlfn.XLOOKUP($I$6, '15. Workforce Calcs'!$B$8:$BG$8, _xlfn.XLOOKUP(A25, '15. Workforce Calcs'!$A$10:$A$59, '15. Workforce Calcs'!$B$10:$BG$59))</f>
        <v>2</v>
      </c>
      <c r="J25" s="20" cm="1">
        <f t="array" ref="J25">_xlfn.XLOOKUP($J$6, '16. Existing HQs and Projects'!$B$8:$Q$8, _xlfn.XLOOKUP(A25,'16. Existing HQs and Projects'!$A$9:$A$58, '16. Existing HQs and Projects'!$B$9:$Q$58))</f>
        <v>3</v>
      </c>
      <c r="K25" s="37">
        <f t="shared" si="1"/>
        <v>2.65</v>
      </c>
      <c r="L25" s="37" cm="1">
        <f t="array" ref="L25">_xlfn.IFS(K25=0, 1, K25&gt;$K$59, 3, K25=$K$59, 3, K25&lt;$K$59, 2)</f>
        <v>3</v>
      </c>
    </row>
    <row r="26" spans="1:12">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35">
        <f t="shared" si="0"/>
        <v>1.8162500000000001</v>
      </c>
      <c r="F26" s="301" cm="1">
        <f t="array" ref="F26">_xlfn.IFS(E26=0, 1, E26&gt;$E$59, 3, E26=$E$59, 3, E26&lt;$E$59, 2)</f>
        <v>3</v>
      </c>
      <c r="G26" s="20" cm="1">
        <f t="array" ref="G26">_xlfn.XLOOKUP($G$6, 'Metric Categories 1-14'!$B$7:$FM$7, _xlfn.XLOOKUP(A26, 'Metric Categories 1-14'!$A$8:$A$57, 'Metric Categories 1-14'!$B$8:$FM$57))</f>
        <v>2.75</v>
      </c>
      <c r="H26" s="20" cm="1">
        <f t="array" ref="H26">_xlfn.XLOOKUP($H$6, 'Metric Categories 1-14'!$B$7:$FM$7, _xlfn.XLOOKUP(A26, 'Metric Categories 1-14'!$A$8:$A$57, 'Metric Categories 1-14'!$B$8:$FM$57))</f>
        <v>1</v>
      </c>
      <c r="I26" s="20" cm="1">
        <f t="array" ref="I26">_xlfn.XLOOKUP($I$6, '15. Workforce Calcs'!$B$8:$BG$8, _xlfn.XLOOKUP(A26, '15. Workforce Calcs'!$A$10:$A$59, '15. Workforce Calcs'!$B$10:$BG$59))</f>
        <v>3</v>
      </c>
      <c r="J26" s="20" cm="1">
        <f t="array" ref="J26">_xlfn.XLOOKUP($J$6, '16. Existing HQs and Projects'!$B$8:$Q$8, _xlfn.XLOOKUP(A26,'16. Existing HQs and Projects'!$A$9:$A$58, '16. Existing HQs and Projects'!$B$9:$Q$58))</f>
        <v>1</v>
      </c>
      <c r="K26" s="37">
        <f t="shared" si="1"/>
        <v>2</v>
      </c>
      <c r="L26" s="37" cm="1">
        <f t="array" ref="L26">_xlfn.IFS(K26=0, 1, K26&gt;$K$59, 3, K26=$K$59, 3, K26&lt;$K$59, 2)</f>
        <v>3</v>
      </c>
    </row>
    <row r="27" spans="1:12">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35">
        <f t="shared" si="0"/>
        <v>2.1862499999999998</v>
      </c>
      <c r="F27" s="301" cm="1">
        <f t="array" ref="F27">_xlfn.IFS(E27=0, 1, E27&gt;$E$59, 3, E27=$E$59, 3, E27&lt;$E$59, 2)</f>
        <v>3</v>
      </c>
      <c r="G27" s="20" cm="1">
        <f t="array" ref="G27">_xlfn.XLOOKUP($G$6, 'Metric Categories 1-14'!$B$7:$FM$7, _xlfn.XLOOKUP(A27, 'Metric Categories 1-14'!$A$8:$A$57, 'Metric Categories 1-14'!$B$8:$FM$57))</f>
        <v>2.5</v>
      </c>
      <c r="H27" s="20" cm="1">
        <f t="array" ref="H27">_xlfn.XLOOKUP($H$6, 'Metric Categories 1-14'!$B$7:$FM$7, _xlfn.XLOOKUP(A27, 'Metric Categories 1-14'!$A$8:$A$57, 'Metric Categories 1-14'!$B$8:$FM$57))</f>
        <v>3</v>
      </c>
      <c r="I27" s="20" cm="1">
        <f t="array" ref="I27">_xlfn.XLOOKUP($I$6, '15. Workforce Calcs'!$B$8:$BG$8, _xlfn.XLOOKUP(A27, '15. Workforce Calcs'!$A$10:$A$59, '15. Workforce Calcs'!$B$10:$BG$59))</f>
        <v>3</v>
      </c>
      <c r="J27" s="20" cm="1">
        <f t="array" ref="J27">_xlfn.XLOOKUP($J$6, '16. Existing HQs and Projects'!$B$8:$Q$8, _xlfn.XLOOKUP(A27,'16. Existing HQs and Projects'!$A$9:$A$58, '16. Existing HQs and Projects'!$B$9:$Q$58))</f>
        <v>3</v>
      </c>
      <c r="K27" s="37">
        <f t="shared" si="1"/>
        <v>2.8000000000000003</v>
      </c>
      <c r="L27" s="37" cm="1">
        <f t="array" ref="L27">_xlfn.IFS(K27=0, 1, K27&gt;$K$59, 3, K27=$K$59, 3, K27&lt;$K$59, 2)</f>
        <v>3</v>
      </c>
    </row>
    <row r="28" spans="1:12">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35">
        <f t="shared" si="0"/>
        <v>0</v>
      </c>
      <c r="F28" s="301" cm="1">
        <f t="array" ref="F28">_xlfn.IFS(E28=0, 1, E28&gt;$E$59, 3, E28=$E$59, 3, E28&lt;$E$59, 2)</f>
        <v>1</v>
      </c>
      <c r="G28" s="20" cm="1">
        <f t="array" ref="G28">_xlfn.XLOOKUP($G$6, 'Metric Categories 1-14'!$B$7:$FM$7, _xlfn.XLOOKUP(A28, 'Metric Categories 1-14'!$A$8:$A$57, 'Metric Categories 1-14'!$B$8:$FM$57))</f>
        <v>0</v>
      </c>
      <c r="H28" s="20" cm="1">
        <f t="array" ref="H28">_xlfn.XLOOKUP($H$6, 'Metric Categories 1-14'!$B$7:$FM$7, _xlfn.XLOOKUP(A28, 'Metric Categories 1-14'!$A$8:$A$57, 'Metric Categories 1-14'!$B$8:$FM$57))</f>
        <v>1</v>
      </c>
      <c r="I28" s="20" cm="1">
        <f t="array" ref="I28">_xlfn.XLOOKUP($I$6, '15. Workforce Calcs'!$B$8:$BG$8, _xlfn.XLOOKUP(A28, '15. Workforce Calcs'!$A$10:$A$59, '15. Workforce Calcs'!$B$10:$BG$59))</f>
        <v>2</v>
      </c>
      <c r="J28" s="20" cm="1">
        <f t="array" ref="J28">_xlfn.XLOOKUP($J$6, '16. Existing HQs and Projects'!$B$8:$Q$8, _xlfn.XLOOKUP(A28,'16. Existing HQs and Projects'!$A$9:$A$58, '16. Existing HQs and Projects'!$B$9:$Q$58))</f>
        <v>1</v>
      </c>
      <c r="K28" s="37">
        <f t="shared" si="1"/>
        <v>0</v>
      </c>
      <c r="L28" s="37" cm="1">
        <f t="array" ref="L28">_xlfn.IFS(K28=0, 1, K28&gt;$K$59, 3, K28=$K$59, 3, K28&lt;$K$59, 2)</f>
        <v>1</v>
      </c>
    </row>
    <row r="29" spans="1:12">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35">
        <f t="shared" si="0"/>
        <v>0</v>
      </c>
      <c r="F29" s="301" cm="1">
        <f t="array" ref="F29">_xlfn.IFS(E29=0, 1, E29&gt;$E$59, 3, E29=$E$59, 3, E29&lt;$E$59, 2)</f>
        <v>1</v>
      </c>
      <c r="G29" s="20" cm="1">
        <f t="array" ref="G29">_xlfn.XLOOKUP($G$6, 'Metric Categories 1-14'!$B$7:$FM$7, _xlfn.XLOOKUP(A29, 'Metric Categories 1-14'!$A$8:$A$57, 'Metric Categories 1-14'!$B$8:$FM$57))</f>
        <v>0</v>
      </c>
      <c r="H29" s="20" cm="1">
        <f t="array" ref="H29">_xlfn.XLOOKUP($H$6, 'Metric Categories 1-14'!$B$7:$FM$7, _xlfn.XLOOKUP(A29, 'Metric Categories 1-14'!$A$8:$A$57, 'Metric Categories 1-14'!$B$8:$FM$57))</f>
        <v>1</v>
      </c>
      <c r="I29" s="20" cm="1">
        <f t="array" ref="I29">_xlfn.XLOOKUP($I$6, '15. Workforce Calcs'!$B$8:$BG$8, _xlfn.XLOOKUP(A29, '15. Workforce Calcs'!$A$10:$A$59, '15. Workforce Calcs'!$B$10:$BG$59))</f>
        <v>2</v>
      </c>
      <c r="J29" s="20" cm="1">
        <f t="array" ref="J29">_xlfn.XLOOKUP($J$6, '16. Existing HQs and Projects'!$B$8:$Q$8, _xlfn.XLOOKUP(A29,'16. Existing HQs and Projects'!$A$9:$A$58, '16. Existing HQs and Projects'!$B$9:$Q$58))</f>
        <v>1</v>
      </c>
      <c r="K29" s="37">
        <f t="shared" si="1"/>
        <v>0</v>
      </c>
      <c r="L29" s="37" cm="1">
        <f t="array" ref="L29">_xlfn.IFS(K29=0, 1, K29&gt;$K$59, 3, K29=$K$59, 3, K29&lt;$K$59, 2)</f>
        <v>1</v>
      </c>
    </row>
    <row r="30" spans="1:12">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35">
        <f t="shared" si="0"/>
        <v>1.0599999999999998</v>
      </c>
      <c r="F30" s="301" cm="1">
        <f t="array" ref="F30">_xlfn.IFS(E30=0, 1, E30&gt;$E$59, 3, E30=$E$59, 3, E30&lt;$E$59, 2)</f>
        <v>2</v>
      </c>
      <c r="G30" s="20" cm="1">
        <f t="array" ref="G30">_xlfn.XLOOKUP($G$6, 'Metric Categories 1-14'!$B$7:$FM$7, _xlfn.XLOOKUP(A30, 'Metric Categories 1-14'!$A$8:$A$57, 'Metric Categories 1-14'!$B$8:$FM$57))</f>
        <v>2</v>
      </c>
      <c r="H30" s="20" cm="1">
        <f t="array" ref="H30">_xlfn.XLOOKUP($H$6, 'Metric Categories 1-14'!$B$7:$FM$7, _xlfn.XLOOKUP(A30, 'Metric Categories 1-14'!$A$8:$A$57, 'Metric Categories 1-14'!$B$8:$FM$57))</f>
        <v>1</v>
      </c>
      <c r="I30" s="20" cm="1">
        <f t="array" ref="I30">_xlfn.XLOOKUP($I$6, '15. Workforce Calcs'!$B$8:$BG$8, _xlfn.XLOOKUP(A30, '15. Workforce Calcs'!$A$10:$A$59, '15. Workforce Calcs'!$B$10:$BG$59))</f>
        <v>3</v>
      </c>
      <c r="J30" s="20" cm="1">
        <f t="array" ref="J30">_xlfn.XLOOKUP($J$6, '16. Existing HQs and Projects'!$B$8:$Q$8, _xlfn.XLOOKUP(A30,'16. Existing HQs and Projects'!$A$9:$A$58, '16. Existing HQs and Projects'!$B$9:$Q$58))</f>
        <v>1</v>
      </c>
      <c r="K30" s="37">
        <f t="shared" si="1"/>
        <v>1.7000000000000002</v>
      </c>
      <c r="L30" s="37" cm="1">
        <f t="array" ref="L30">_xlfn.IFS(K30=0, 1, K30&gt;$K$59, 3, K30=$K$59, 3, K30&lt;$K$59, 2)</f>
        <v>2</v>
      </c>
    </row>
    <row r="31" spans="1:12">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35">
        <f t="shared" si="0"/>
        <v>0</v>
      </c>
      <c r="F31" s="301" cm="1">
        <f t="array" ref="F31">_xlfn.IFS(E31=0, 1, E31&gt;$E$59, 3, E31=$E$59, 3, E31&lt;$E$59, 2)</f>
        <v>1</v>
      </c>
      <c r="G31" s="20" cm="1">
        <f t="array" ref="G31">_xlfn.XLOOKUP($G$6, 'Metric Categories 1-14'!$B$7:$FM$7, _xlfn.XLOOKUP(A31, 'Metric Categories 1-14'!$A$8:$A$57, 'Metric Categories 1-14'!$B$8:$FM$57))</f>
        <v>0</v>
      </c>
      <c r="H31" s="20" cm="1">
        <f t="array" ref="H31">_xlfn.XLOOKUP($H$6, 'Metric Categories 1-14'!$B$7:$FM$7, _xlfn.XLOOKUP(A31, 'Metric Categories 1-14'!$A$8:$A$57, 'Metric Categories 1-14'!$B$8:$FM$57))</f>
        <v>1</v>
      </c>
      <c r="I31" s="20" cm="1">
        <f t="array" ref="I31">_xlfn.XLOOKUP($I$6, '15. Workforce Calcs'!$B$8:$BG$8, _xlfn.XLOOKUP(A31, '15. Workforce Calcs'!$A$10:$A$59, '15. Workforce Calcs'!$B$10:$BG$59))</f>
        <v>2</v>
      </c>
      <c r="J31" s="20" cm="1">
        <f t="array" ref="J31">_xlfn.XLOOKUP($J$6, '16. Existing HQs and Projects'!$B$8:$Q$8, _xlfn.XLOOKUP(A31,'16. Existing HQs and Projects'!$A$9:$A$58, '16. Existing HQs and Projects'!$B$9:$Q$58))</f>
        <v>1</v>
      </c>
      <c r="K31" s="37">
        <f t="shared" si="1"/>
        <v>0</v>
      </c>
      <c r="L31" s="37" cm="1">
        <f t="array" ref="L31">_xlfn.IFS(K31=0, 1, K31&gt;$K$59, 3, K31=$K$59, 3, K31&lt;$K$59, 2)</f>
        <v>1</v>
      </c>
    </row>
    <row r="32" spans="1:12">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35">
        <f t="shared" si="0"/>
        <v>0</v>
      </c>
      <c r="F32" s="301" cm="1">
        <f t="array" ref="F32">_xlfn.IFS(E32=0, 1, E32&gt;$E$59, 3, E32=$E$59, 3, E32&lt;$E$59, 2)</f>
        <v>1</v>
      </c>
      <c r="G32" s="20" cm="1">
        <f t="array" ref="G32">_xlfn.XLOOKUP($G$6, 'Metric Categories 1-14'!$B$7:$FM$7, _xlfn.XLOOKUP(A32, 'Metric Categories 1-14'!$A$8:$A$57, 'Metric Categories 1-14'!$B$8:$FM$57))</f>
        <v>0</v>
      </c>
      <c r="H32" s="20" cm="1">
        <f t="array" ref="H32">_xlfn.XLOOKUP($H$6, 'Metric Categories 1-14'!$B$7:$FM$7, _xlfn.XLOOKUP(A32, 'Metric Categories 1-14'!$A$8:$A$57, 'Metric Categories 1-14'!$B$8:$FM$57))</f>
        <v>1</v>
      </c>
      <c r="I32" s="20" cm="1">
        <f t="array" ref="I32">_xlfn.XLOOKUP($I$6, '15. Workforce Calcs'!$B$8:$BG$8, _xlfn.XLOOKUP(A32, '15. Workforce Calcs'!$A$10:$A$59, '15. Workforce Calcs'!$B$10:$BG$59))</f>
        <v>1</v>
      </c>
      <c r="J32" s="20" cm="1">
        <f t="array" ref="J32">_xlfn.XLOOKUP($J$6, '16. Existing HQs and Projects'!$B$8:$Q$8, _xlfn.XLOOKUP(A32,'16. Existing HQs and Projects'!$A$9:$A$58, '16. Existing HQs and Projects'!$B$9:$Q$58))</f>
        <v>1</v>
      </c>
      <c r="K32" s="37">
        <f t="shared" si="1"/>
        <v>0</v>
      </c>
      <c r="L32" s="37" cm="1">
        <f t="array" ref="L32">_xlfn.IFS(K32=0, 1, K32&gt;$K$59, 3, K32=$K$59, 3, K32&lt;$K$59, 2)</f>
        <v>1</v>
      </c>
    </row>
    <row r="33" spans="1:12">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35">
        <f t="shared" si="0"/>
        <v>0</v>
      </c>
      <c r="F33" s="301" cm="1">
        <f t="array" ref="F33">_xlfn.IFS(E33=0, 1, E33&gt;$E$59, 3, E33=$E$59, 3, E33&lt;$E$59, 2)</f>
        <v>1</v>
      </c>
      <c r="G33" s="20" cm="1">
        <f t="array" ref="G33">_xlfn.XLOOKUP($G$6, 'Metric Categories 1-14'!$B$7:$FM$7, _xlfn.XLOOKUP(A33, 'Metric Categories 1-14'!$A$8:$A$57, 'Metric Categories 1-14'!$B$8:$FM$57))</f>
        <v>0</v>
      </c>
      <c r="H33" s="20" cm="1">
        <f t="array" ref="H33">_xlfn.XLOOKUP($H$6, 'Metric Categories 1-14'!$B$7:$FM$7, _xlfn.XLOOKUP(A33, 'Metric Categories 1-14'!$A$8:$A$57, 'Metric Categories 1-14'!$B$8:$FM$57))</f>
        <v>1</v>
      </c>
      <c r="I33" s="20" cm="1">
        <f t="array" ref="I33">_xlfn.XLOOKUP($I$6, '15. Workforce Calcs'!$B$8:$BG$8, _xlfn.XLOOKUP(A33, '15. Workforce Calcs'!$A$10:$A$59, '15. Workforce Calcs'!$B$10:$BG$59))</f>
        <v>1</v>
      </c>
      <c r="J33" s="20" cm="1">
        <f t="array" ref="J33">_xlfn.XLOOKUP($J$6, '16. Existing HQs and Projects'!$B$8:$Q$8, _xlfn.XLOOKUP(A33,'16. Existing HQs and Projects'!$A$9:$A$58, '16. Existing HQs and Projects'!$B$9:$Q$58))</f>
        <v>1</v>
      </c>
      <c r="K33" s="37">
        <f t="shared" si="1"/>
        <v>0</v>
      </c>
      <c r="L33" s="37" cm="1">
        <f t="array" ref="L33">_xlfn.IFS(K33=0, 1, K33&gt;$K$59, 3, K33=$K$59, 3, K33&lt;$K$59, 2)</f>
        <v>1</v>
      </c>
    </row>
    <row r="34" spans="1:12">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35">
        <f t="shared" si="0"/>
        <v>0</v>
      </c>
      <c r="F34" s="301" cm="1">
        <f t="array" ref="F34">_xlfn.IFS(E34=0, 1, E34&gt;$E$59, 3, E34=$E$59, 3, E34&lt;$E$59, 2)</f>
        <v>1</v>
      </c>
      <c r="G34" s="20" cm="1">
        <f t="array" ref="G34">_xlfn.XLOOKUP($G$6, 'Metric Categories 1-14'!$B$7:$FM$7, _xlfn.XLOOKUP(A34, 'Metric Categories 1-14'!$A$8:$A$57, 'Metric Categories 1-14'!$B$8:$FM$57))</f>
        <v>0</v>
      </c>
      <c r="H34" s="20" cm="1">
        <f t="array" ref="H34">_xlfn.XLOOKUP($H$6, 'Metric Categories 1-14'!$B$7:$FM$7, _xlfn.XLOOKUP(A34, 'Metric Categories 1-14'!$A$8:$A$57, 'Metric Categories 1-14'!$B$8:$FM$57))</f>
        <v>1</v>
      </c>
      <c r="I34" s="20" cm="1">
        <f t="array" ref="I34">_xlfn.XLOOKUP($I$6, '15. Workforce Calcs'!$B$8:$BG$8, _xlfn.XLOOKUP(A34, '15. Workforce Calcs'!$A$10:$A$59, '15. Workforce Calcs'!$B$10:$BG$59))</f>
        <v>1</v>
      </c>
      <c r="J34" s="20" cm="1">
        <f t="array" ref="J34">_xlfn.XLOOKUP($J$6, '16. Existing HQs and Projects'!$B$8:$Q$8, _xlfn.XLOOKUP(A34,'16. Existing HQs and Projects'!$A$9:$A$58, '16. Existing HQs and Projects'!$B$9:$Q$58))</f>
        <v>1</v>
      </c>
      <c r="K34" s="37">
        <f t="shared" si="1"/>
        <v>0</v>
      </c>
      <c r="L34" s="37" cm="1">
        <f t="array" ref="L34">_xlfn.IFS(K34=0, 1, K34&gt;$K$59, 3, K34=$K$59, 3, K34&lt;$K$59, 2)</f>
        <v>1</v>
      </c>
    </row>
    <row r="35" spans="1:12">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35">
        <f t="shared" si="0"/>
        <v>1.4187499999999997</v>
      </c>
      <c r="F35" s="301" cm="1">
        <f t="array" ref="F35">_xlfn.IFS(E35=0, 1, E35&gt;$E$59, 3, E35=$E$59, 3, E35&lt;$E$59, 2)</f>
        <v>3</v>
      </c>
      <c r="G35" s="20" cm="1">
        <f t="array" ref="G35">_xlfn.XLOOKUP($G$6, 'Metric Categories 1-14'!$B$7:$FM$7, _xlfn.XLOOKUP(A35, 'Metric Categories 1-14'!$A$8:$A$57, 'Metric Categories 1-14'!$B$8:$FM$57))</f>
        <v>1.75</v>
      </c>
      <c r="H35" s="20" cm="1">
        <f t="array" ref="H35">_xlfn.XLOOKUP($H$6, 'Metric Categories 1-14'!$B$7:$FM$7, _xlfn.XLOOKUP(A35, 'Metric Categories 1-14'!$A$8:$A$57, 'Metric Categories 1-14'!$B$8:$FM$57))</f>
        <v>3</v>
      </c>
      <c r="I35" s="20" cm="1">
        <f t="array" ref="I35">_xlfn.XLOOKUP($I$6, '15. Workforce Calcs'!$B$8:$BG$8, _xlfn.XLOOKUP(A35, '15. Workforce Calcs'!$A$10:$A$59, '15. Workforce Calcs'!$B$10:$BG$59))</f>
        <v>1</v>
      </c>
      <c r="J35" s="20" cm="1">
        <f t="array" ref="J35">_xlfn.XLOOKUP($J$6, '16. Existing HQs and Projects'!$B$8:$Q$8, _xlfn.XLOOKUP(A35,'16. Existing HQs and Projects'!$A$9:$A$58, '16. Existing HQs and Projects'!$B$9:$Q$58))</f>
        <v>1</v>
      </c>
      <c r="K35" s="37">
        <f t="shared" si="1"/>
        <v>2.1</v>
      </c>
      <c r="L35" s="37" cm="1">
        <f t="array" ref="L35">_xlfn.IFS(K35=0, 1, K35&gt;$K$59, 3, K35=$K$59, 3, K35&lt;$K$59, 2)</f>
        <v>3</v>
      </c>
    </row>
    <row r="36" spans="1:12">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35">
        <f t="shared" si="0"/>
        <v>2.13375</v>
      </c>
      <c r="F36" s="301" cm="1">
        <f t="array" ref="F36">_xlfn.IFS(E36=0, 1, E36&gt;$E$59, 3, E36=$E$59, 3, E36&lt;$E$59, 2)</f>
        <v>3</v>
      </c>
      <c r="G36" s="20" cm="1">
        <f t="array" ref="G36">_xlfn.XLOOKUP($G$6, 'Metric Categories 1-14'!$B$7:$FM$7, _xlfn.XLOOKUP(A36, 'Metric Categories 1-14'!$A$8:$A$57, 'Metric Categories 1-14'!$B$8:$FM$57))</f>
        <v>3</v>
      </c>
      <c r="H36" s="20" cm="1">
        <f t="array" ref="H36">_xlfn.XLOOKUP($H$6, 'Metric Categories 1-14'!$B$7:$FM$7, _xlfn.XLOOKUP(A36, 'Metric Categories 1-14'!$A$8:$A$57, 'Metric Categories 1-14'!$B$8:$FM$57))</f>
        <v>1</v>
      </c>
      <c r="I36" s="20" cm="1">
        <f t="array" ref="I36">_xlfn.XLOOKUP($I$6, '15. Workforce Calcs'!$B$8:$BG$8, _xlfn.XLOOKUP(A36, '15. Workforce Calcs'!$A$10:$A$59, '15. Workforce Calcs'!$B$10:$BG$59))</f>
        <v>3</v>
      </c>
      <c r="J36" s="20" cm="1">
        <f t="array" ref="J36">_xlfn.XLOOKUP($J$6, '16. Existing HQs and Projects'!$B$8:$Q$8, _xlfn.XLOOKUP(A36,'16. Existing HQs and Projects'!$A$9:$A$58, '16. Existing HQs and Projects'!$B$9:$Q$58))</f>
        <v>1</v>
      </c>
      <c r="K36" s="37">
        <f t="shared" si="1"/>
        <v>2.0999999999999996</v>
      </c>
      <c r="L36" s="37" cm="1">
        <f t="array" ref="L36">_xlfn.IFS(K36=0, 1, K36&gt;$K$59, 3, K36=$K$59, 3, K36&lt;$K$59, 2)</f>
        <v>3</v>
      </c>
    </row>
    <row r="37" spans="1:12">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35">
        <f t="shared" si="0"/>
        <v>0</v>
      </c>
      <c r="F37" s="301" cm="1">
        <f t="array" ref="F37">_xlfn.IFS(E37=0, 1, E37&gt;$E$59, 3, E37=$E$59, 3, E37&lt;$E$59, 2)</f>
        <v>1</v>
      </c>
      <c r="G37" s="20" cm="1">
        <f t="array" ref="G37">_xlfn.XLOOKUP($G$6, 'Metric Categories 1-14'!$B$7:$FM$7, _xlfn.XLOOKUP(A37, 'Metric Categories 1-14'!$A$8:$A$57, 'Metric Categories 1-14'!$B$8:$FM$57))</f>
        <v>0</v>
      </c>
      <c r="H37" s="20" cm="1">
        <f t="array" ref="H37">_xlfn.XLOOKUP($H$6, 'Metric Categories 1-14'!$B$7:$FM$7, _xlfn.XLOOKUP(A37, 'Metric Categories 1-14'!$A$8:$A$57, 'Metric Categories 1-14'!$B$8:$FM$57))</f>
        <v>1</v>
      </c>
      <c r="I37" s="20" cm="1">
        <f t="array" ref="I37">_xlfn.XLOOKUP($I$6, '15. Workforce Calcs'!$B$8:$BG$8, _xlfn.XLOOKUP(A37, '15. Workforce Calcs'!$A$10:$A$59, '15. Workforce Calcs'!$B$10:$BG$59))</f>
        <v>1</v>
      </c>
      <c r="J37" s="20" cm="1">
        <f t="array" ref="J37">_xlfn.XLOOKUP($J$6, '16. Existing HQs and Projects'!$B$8:$Q$8, _xlfn.XLOOKUP(A37,'16. Existing HQs and Projects'!$A$9:$A$58, '16. Existing HQs and Projects'!$B$9:$Q$58))</f>
        <v>3</v>
      </c>
      <c r="K37" s="37">
        <f t="shared" si="1"/>
        <v>0</v>
      </c>
      <c r="L37" s="37" cm="1">
        <f t="array" ref="L37">_xlfn.IFS(K37=0, 1, K37&gt;$K$59, 3, K37=$K$59, 3, K37&lt;$K$59, 2)</f>
        <v>1</v>
      </c>
    </row>
    <row r="38" spans="1:12">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35">
        <f t="shared" ref="E38:E56" si="2">IF(G38=0, 0, (SUMPRODUCT($B$5:$D$5, B38:D38)))</f>
        <v>2.1862499999999998</v>
      </c>
      <c r="F38" s="301" cm="1">
        <f t="array" ref="F38">_xlfn.IFS(E38=0, 1, E38&gt;$E$59, 3, E38=$E$59, 3, E38&lt;$E$59, 2)</f>
        <v>3</v>
      </c>
      <c r="G38" s="20" cm="1">
        <f t="array" ref="G38">_xlfn.XLOOKUP($G$6, 'Metric Categories 1-14'!$B$7:$FM$7, _xlfn.XLOOKUP(A38, 'Metric Categories 1-14'!$A$8:$A$57, 'Metric Categories 1-14'!$B$8:$FM$57))</f>
        <v>2</v>
      </c>
      <c r="H38" s="20" cm="1">
        <f t="array" ref="H38">_xlfn.XLOOKUP($H$6, 'Metric Categories 1-14'!$B$7:$FM$7, _xlfn.XLOOKUP(A38, 'Metric Categories 1-14'!$A$8:$A$57, 'Metric Categories 1-14'!$B$8:$FM$57))</f>
        <v>2</v>
      </c>
      <c r="I38" s="20" cm="1">
        <f t="array" ref="I38">_xlfn.XLOOKUP($I$6, '15. Workforce Calcs'!$B$8:$BG$8, _xlfn.XLOOKUP(A38, '15. Workforce Calcs'!$A$10:$A$59, '15. Workforce Calcs'!$B$10:$BG$59))</f>
        <v>3</v>
      </c>
      <c r="J38" s="20" cm="1">
        <f t="array" ref="J38">_xlfn.XLOOKUP($J$6, '16. Existing HQs and Projects'!$B$8:$Q$8, _xlfn.XLOOKUP(A38,'16. Existing HQs and Projects'!$A$9:$A$58, '16. Existing HQs and Projects'!$B$9:$Q$58))</f>
        <v>1</v>
      </c>
      <c r="K38" s="37">
        <f t="shared" si="1"/>
        <v>2.0999999999999996</v>
      </c>
      <c r="L38" s="37" cm="1">
        <f t="array" ref="L38">_xlfn.IFS(K38=0, 1, K38&gt;$K$59, 3, K38=$K$59, 3, K38&lt;$K$59, 2)</f>
        <v>3</v>
      </c>
    </row>
    <row r="39" spans="1:12">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35">
        <f t="shared" si="2"/>
        <v>1.7174999999999998</v>
      </c>
      <c r="F39" s="301" cm="1">
        <f t="array" ref="F39">_xlfn.IFS(E39=0, 1, E39&gt;$E$59, 3, E39=$E$59, 3, E39&lt;$E$59, 2)</f>
        <v>3</v>
      </c>
      <c r="G39" s="20" cm="1">
        <f t="array" ref="G39">_xlfn.XLOOKUP($G$6, 'Metric Categories 1-14'!$B$7:$FM$7, _xlfn.XLOOKUP(A39, 'Metric Categories 1-14'!$A$8:$A$57, 'Metric Categories 1-14'!$B$8:$FM$57))</f>
        <v>1.75</v>
      </c>
      <c r="H39" s="20" cm="1">
        <f t="array" ref="H39">_xlfn.XLOOKUP($H$6, 'Metric Categories 1-14'!$B$7:$FM$7, _xlfn.XLOOKUP(A39, 'Metric Categories 1-14'!$A$8:$A$57, 'Metric Categories 1-14'!$B$8:$FM$57))</f>
        <v>1</v>
      </c>
      <c r="I39" s="20" cm="1">
        <f t="array" ref="I39">_xlfn.XLOOKUP($I$6, '15. Workforce Calcs'!$B$8:$BG$8, _xlfn.XLOOKUP(A39, '15. Workforce Calcs'!$A$10:$A$59, '15. Workforce Calcs'!$B$10:$BG$59))</f>
        <v>2</v>
      </c>
      <c r="J39" s="20" cm="1">
        <f t="array" ref="J39">_xlfn.XLOOKUP($J$6, '16. Existing HQs and Projects'!$B$8:$Q$8, _xlfn.XLOOKUP(A39,'16. Existing HQs and Projects'!$A$9:$A$58, '16. Existing HQs and Projects'!$B$9:$Q$58))</f>
        <v>1</v>
      </c>
      <c r="K39" s="37">
        <f t="shared" si="1"/>
        <v>1.4500000000000002</v>
      </c>
      <c r="L39" s="37" cm="1">
        <f t="array" ref="L39">_xlfn.IFS(K39=0, 1, K39&gt;$K$59, 3, K39=$K$59, 3, K39&lt;$K$59, 2)</f>
        <v>2</v>
      </c>
    </row>
    <row r="40" spans="1:12">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35">
        <f t="shared" si="2"/>
        <v>0</v>
      </c>
      <c r="F40" s="301" cm="1">
        <f t="array" ref="F40">_xlfn.IFS(E40=0, 1, E40&gt;$E$59, 3, E40=$E$59, 3, E40&lt;$E$59, 2)</f>
        <v>1</v>
      </c>
      <c r="G40" s="20" cm="1">
        <f t="array" ref="G40">_xlfn.XLOOKUP($G$6, 'Metric Categories 1-14'!$B$7:$FM$7, _xlfn.XLOOKUP(A40, 'Metric Categories 1-14'!$A$8:$A$57, 'Metric Categories 1-14'!$B$8:$FM$57))</f>
        <v>0</v>
      </c>
      <c r="H40" s="20" cm="1">
        <f t="array" ref="H40">_xlfn.XLOOKUP($H$6, 'Metric Categories 1-14'!$B$7:$FM$7, _xlfn.XLOOKUP(A40, 'Metric Categories 1-14'!$A$8:$A$57, 'Metric Categories 1-14'!$B$8:$FM$57))</f>
        <v>1</v>
      </c>
      <c r="I40" s="20" cm="1">
        <f t="array" ref="I40">_xlfn.XLOOKUP($I$6, '15. Workforce Calcs'!$B$8:$BG$8, _xlfn.XLOOKUP(A40, '15. Workforce Calcs'!$A$10:$A$59, '15. Workforce Calcs'!$B$10:$BG$59))</f>
        <v>1</v>
      </c>
      <c r="J40" s="20" cm="1">
        <f t="array" ref="J40">_xlfn.XLOOKUP($J$6, '16. Existing HQs and Projects'!$B$8:$Q$8, _xlfn.XLOOKUP(A40,'16. Existing HQs and Projects'!$A$9:$A$58, '16. Existing HQs and Projects'!$B$9:$Q$58))</f>
        <v>1</v>
      </c>
      <c r="K40" s="37">
        <f t="shared" si="1"/>
        <v>0</v>
      </c>
      <c r="L40" s="37" cm="1">
        <f t="array" ref="L40">_xlfn.IFS(K40=0, 1, K40&gt;$K$59, 3, K40=$K$59, 3, K40&lt;$K$59, 2)</f>
        <v>1</v>
      </c>
    </row>
    <row r="41" spans="1:12">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35">
        <f t="shared" si="2"/>
        <v>0</v>
      </c>
      <c r="F41" s="301" cm="1">
        <f t="array" ref="F41">_xlfn.IFS(E41=0, 1, E41&gt;$E$59, 3, E41=$E$59, 3, E41&lt;$E$59, 2)</f>
        <v>1</v>
      </c>
      <c r="G41" s="20" cm="1">
        <f t="array" ref="G41">_xlfn.XLOOKUP($G$6, 'Metric Categories 1-14'!$B$7:$FM$7, _xlfn.XLOOKUP(A41, 'Metric Categories 1-14'!$A$8:$A$57, 'Metric Categories 1-14'!$B$8:$FM$57))</f>
        <v>0</v>
      </c>
      <c r="H41" s="20" cm="1">
        <f t="array" ref="H41">_xlfn.XLOOKUP($H$6, 'Metric Categories 1-14'!$B$7:$FM$7, _xlfn.XLOOKUP(A41, 'Metric Categories 1-14'!$A$8:$A$57, 'Metric Categories 1-14'!$B$8:$FM$57))</f>
        <v>1</v>
      </c>
      <c r="I41" s="20" cm="1">
        <f t="array" ref="I41">_xlfn.XLOOKUP($I$6, '15. Workforce Calcs'!$B$8:$BG$8, _xlfn.XLOOKUP(A41, '15. Workforce Calcs'!$A$10:$A$59, '15. Workforce Calcs'!$B$10:$BG$59))</f>
        <v>2</v>
      </c>
      <c r="J41" s="20" cm="1">
        <f t="array" ref="J41">_xlfn.XLOOKUP($J$6, '16. Existing HQs and Projects'!$B$8:$Q$8, _xlfn.XLOOKUP(A41,'16. Existing HQs and Projects'!$A$9:$A$58, '16. Existing HQs and Projects'!$B$9:$Q$58))</f>
        <v>1</v>
      </c>
      <c r="K41" s="37">
        <f t="shared" si="1"/>
        <v>0</v>
      </c>
      <c r="L41" s="37" cm="1">
        <f t="array" ref="L41">_xlfn.IFS(K41=0, 1, K41&gt;$K$59, 3, K41=$K$59, 3, K41&lt;$K$59, 2)</f>
        <v>1</v>
      </c>
    </row>
    <row r="42" spans="1:12">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35">
        <f t="shared" si="2"/>
        <v>0</v>
      </c>
      <c r="F42" s="301" cm="1">
        <f t="array" ref="F42">_xlfn.IFS(E42=0, 1, E42&gt;$E$59, 3, E42=$E$59, 3, E42&lt;$E$59, 2)</f>
        <v>1</v>
      </c>
      <c r="G42" s="20" cm="1">
        <f t="array" ref="G42">_xlfn.XLOOKUP($G$6, 'Metric Categories 1-14'!$B$7:$FM$7, _xlfn.XLOOKUP(A42, 'Metric Categories 1-14'!$A$8:$A$57, 'Metric Categories 1-14'!$B$8:$FM$57))</f>
        <v>0</v>
      </c>
      <c r="H42" s="20" cm="1">
        <f t="array" ref="H42">_xlfn.XLOOKUP($H$6, 'Metric Categories 1-14'!$B$7:$FM$7, _xlfn.XLOOKUP(A42, 'Metric Categories 1-14'!$A$8:$A$57, 'Metric Categories 1-14'!$B$8:$FM$57))</f>
        <v>1</v>
      </c>
      <c r="I42" s="20" cm="1">
        <f t="array" ref="I42">_xlfn.XLOOKUP($I$6, '15. Workforce Calcs'!$B$8:$BG$8, _xlfn.XLOOKUP(A42, '15. Workforce Calcs'!$A$10:$A$59, '15. Workforce Calcs'!$B$10:$BG$59))</f>
        <v>1</v>
      </c>
      <c r="J42" s="20" cm="1">
        <f t="array" ref="J42">_xlfn.XLOOKUP($J$6, '16. Existing HQs and Projects'!$B$8:$Q$8, _xlfn.XLOOKUP(A42,'16. Existing HQs and Projects'!$A$9:$A$58, '16. Existing HQs and Projects'!$B$9:$Q$58))</f>
        <v>1</v>
      </c>
      <c r="K42" s="37">
        <f t="shared" si="1"/>
        <v>0</v>
      </c>
      <c r="L42" s="37" cm="1">
        <f t="array" ref="L42">_xlfn.IFS(K42=0, 1, K42&gt;$K$59, 3, K42=$K$59, 3, K42&lt;$K$59, 2)</f>
        <v>1</v>
      </c>
    </row>
    <row r="43" spans="1:12">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35">
        <f t="shared" si="2"/>
        <v>1.6524999999999999</v>
      </c>
      <c r="F43" s="301" cm="1">
        <f t="array" ref="F43">_xlfn.IFS(E43=0, 1, E43&gt;$E$59, 3, E43=$E$59, 3, E43&lt;$E$59, 2)</f>
        <v>3</v>
      </c>
      <c r="G43" s="20" cm="1">
        <f t="array" ref="G43">_xlfn.XLOOKUP($G$6, 'Metric Categories 1-14'!$B$7:$FM$7, _xlfn.XLOOKUP(A43, 'Metric Categories 1-14'!$A$8:$A$57, 'Metric Categories 1-14'!$B$8:$FM$57))</f>
        <v>2</v>
      </c>
      <c r="H43" s="20" cm="1">
        <f t="array" ref="H43">_xlfn.XLOOKUP($H$6, 'Metric Categories 1-14'!$B$7:$FM$7, _xlfn.XLOOKUP(A43, 'Metric Categories 1-14'!$A$8:$A$57, 'Metric Categories 1-14'!$B$8:$FM$57))</f>
        <v>3</v>
      </c>
      <c r="I43" s="20" cm="1">
        <f t="array" ref="I43">_xlfn.XLOOKUP($I$6, '15. Workforce Calcs'!$B$8:$BG$8, _xlfn.XLOOKUP(A43, '15. Workforce Calcs'!$A$10:$A$59, '15. Workforce Calcs'!$B$10:$BG$59))</f>
        <v>2</v>
      </c>
      <c r="J43" s="20" cm="1">
        <f t="array" ref="J43">_xlfn.XLOOKUP($J$6, '16. Existing HQs and Projects'!$B$8:$Q$8, _xlfn.XLOOKUP(A43,'16. Existing HQs and Projects'!$A$9:$A$58, '16. Existing HQs and Projects'!$B$9:$Q$58))</f>
        <v>1</v>
      </c>
      <c r="K43" s="37">
        <f t="shared" si="1"/>
        <v>2.3499999999999996</v>
      </c>
      <c r="L43" s="37" cm="1">
        <f t="array" ref="L43">_xlfn.IFS(K43=0, 1, K43&gt;$K$59, 3, K43=$K$59, 3, K43&lt;$K$59, 2)</f>
        <v>3</v>
      </c>
    </row>
    <row r="44" spans="1:12">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35">
        <f t="shared" si="2"/>
        <v>0</v>
      </c>
      <c r="F44" s="301" cm="1">
        <f t="array" ref="F44">_xlfn.IFS(E44=0, 1, E44&gt;$E$59, 3, E44=$E$59, 3, E44&lt;$E$59, 2)</f>
        <v>1</v>
      </c>
      <c r="G44" s="20" cm="1">
        <f t="array" ref="G44">_xlfn.XLOOKUP($G$6, 'Metric Categories 1-14'!$B$7:$FM$7, _xlfn.XLOOKUP(A44, 'Metric Categories 1-14'!$A$8:$A$57, 'Metric Categories 1-14'!$B$8:$FM$57))</f>
        <v>0</v>
      </c>
      <c r="H44" s="20" cm="1">
        <f t="array" ref="H44">_xlfn.XLOOKUP($H$6, 'Metric Categories 1-14'!$B$7:$FM$7, _xlfn.XLOOKUP(A44, 'Metric Categories 1-14'!$A$8:$A$57, 'Metric Categories 1-14'!$B$8:$FM$57))</f>
        <v>1</v>
      </c>
      <c r="I44" s="20" cm="1">
        <f t="array" ref="I44">_xlfn.XLOOKUP($I$6, '15. Workforce Calcs'!$B$8:$BG$8, _xlfn.XLOOKUP(A44, '15. Workforce Calcs'!$A$10:$A$59, '15. Workforce Calcs'!$B$10:$BG$59))</f>
        <v>3</v>
      </c>
      <c r="J44" s="20" cm="1">
        <f t="array" ref="J44">_xlfn.XLOOKUP($J$6, '16. Existing HQs and Projects'!$B$8:$Q$8, _xlfn.XLOOKUP(A44,'16. Existing HQs and Projects'!$A$9:$A$58, '16. Existing HQs and Projects'!$B$9:$Q$58))</f>
        <v>1</v>
      </c>
      <c r="K44" s="37">
        <f t="shared" si="1"/>
        <v>0</v>
      </c>
      <c r="L44" s="37" cm="1">
        <f t="array" ref="L44">_xlfn.IFS(K44=0, 1, K44&gt;$K$59, 3, K44=$K$59, 3, K44&lt;$K$59, 2)</f>
        <v>1</v>
      </c>
    </row>
    <row r="45" spans="1:12">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35">
        <f t="shared" si="2"/>
        <v>1.63625</v>
      </c>
      <c r="F45" s="301" cm="1">
        <f t="array" ref="F45">_xlfn.IFS(E45=0, 1, E45&gt;$E$59, 3, E45=$E$59, 3, E45&lt;$E$59, 2)</f>
        <v>3</v>
      </c>
      <c r="G45" s="20" cm="1">
        <f t="array" ref="G45">_xlfn.XLOOKUP($G$6, 'Metric Categories 1-14'!$B$7:$FM$7, _xlfn.XLOOKUP(A45, 'Metric Categories 1-14'!$A$8:$A$57, 'Metric Categories 1-14'!$B$8:$FM$57))</f>
        <v>2.5</v>
      </c>
      <c r="H45" s="20" cm="1">
        <f t="array" ref="H45">_xlfn.XLOOKUP($H$6, 'Metric Categories 1-14'!$B$7:$FM$7, _xlfn.XLOOKUP(A45, 'Metric Categories 1-14'!$A$8:$A$57, 'Metric Categories 1-14'!$B$8:$FM$57))</f>
        <v>3</v>
      </c>
      <c r="I45" s="20" cm="1">
        <f t="array" ref="I45">_xlfn.XLOOKUP($I$6, '15. Workforce Calcs'!$B$8:$BG$8, _xlfn.XLOOKUP(A45, '15. Workforce Calcs'!$A$10:$A$59, '15. Workforce Calcs'!$B$10:$BG$59))</f>
        <v>2</v>
      </c>
      <c r="J45" s="20" cm="1">
        <f t="array" ref="J45">_xlfn.XLOOKUP($J$6, '16. Existing HQs and Projects'!$B$8:$Q$8, _xlfn.XLOOKUP(A45,'16. Existing HQs and Projects'!$A$9:$A$58, '16. Existing HQs and Projects'!$B$9:$Q$58))</f>
        <v>1</v>
      </c>
      <c r="K45" s="37">
        <f t="shared" si="1"/>
        <v>2.5499999999999998</v>
      </c>
      <c r="L45" s="37" cm="1">
        <f t="array" ref="L45">_xlfn.IFS(K45=0, 1, K45&gt;$K$59, 3, K45=$K$59, 3, K45&lt;$K$59, 2)</f>
        <v>3</v>
      </c>
    </row>
    <row r="46" spans="1:12">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35">
        <f t="shared" si="2"/>
        <v>1.1749999999999998</v>
      </c>
      <c r="F46" s="301" cm="1">
        <f t="array" ref="F46">_xlfn.IFS(E46=0, 1, E46&gt;$E$59, 3, E46=$E$59, 3, E46&lt;$E$59, 2)</f>
        <v>2</v>
      </c>
      <c r="G46" s="20" cm="1">
        <f t="array" ref="G46">_xlfn.XLOOKUP($G$6, 'Metric Categories 1-14'!$B$7:$FM$7, _xlfn.XLOOKUP(A46, 'Metric Categories 1-14'!$A$8:$A$57, 'Metric Categories 1-14'!$B$8:$FM$57))</f>
        <v>2</v>
      </c>
      <c r="H46" s="20" cm="1">
        <f t="array" ref="H46">_xlfn.XLOOKUP($H$6, 'Metric Categories 1-14'!$B$7:$FM$7, _xlfn.XLOOKUP(A46, 'Metric Categories 1-14'!$A$8:$A$57, 'Metric Categories 1-14'!$B$8:$FM$57))</f>
        <v>1</v>
      </c>
      <c r="I46" s="20" cm="1">
        <f t="array" ref="I46">_xlfn.XLOOKUP($I$6, '15. Workforce Calcs'!$B$8:$BG$8, _xlfn.XLOOKUP(A46, '15. Workforce Calcs'!$A$10:$A$59, '15. Workforce Calcs'!$B$10:$BG$59))</f>
        <v>2</v>
      </c>
      <c r="J46" s="20" cm="1">
        <f t="array" ref="J46">_xlfn.XLOOKUP($J$6, '16. Existing HQs and Projects'!$B$8:$Q$8, _xlfn.XLOOKUP(A46,'16. Existing HQs and Projects'!$A$9:$A$58, '16. Existing HQs and Projects'!$B$9:$Q$58))</f>
        <v>1</v>
      </c>
      <c r="K46" s="37">
        <f t="shared" si="1"/>
        <v>1.5500000000000003</v>
      </c>
      <c r="L46" s="37" cm="1">
        <f t="array" ref="L46">_xlfn.IFS(K46=0, 1, K46&gt;$K$59, 3, K46=$K$59, 3, K46&lt;$K$59, 2)</f>
        <v>2</v>
      </c>
    </row>
    <row r="47" spans="1:12">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35">
        <f t="shared" si="2"/>
        <v>0</v>
      </c>
      <c r="F47" s="301" cm="1">
        <f t="array" ref="F47">_xlfn.IFS(E47=0, 1, E47&gt;$E$59, 3, E47=$E$59, 3, E47&lt;$E$59, 2)</f>
        <v>1</v>
      </c>
      <c r="G47" s="20" cm="1">
        <f t="array" ref="G47">_xlfn.XLOOKUP($G$6, 'Metric Categories 1-14'!$B$7:$FM$7, _xlfn.XLOOKUP(A47, 'Metric Categories 1-14'!$A$8:$A$57, 'Metric Categories 1-14'!$B$8:$FM$57))</f>
        <v>0</v>
      </c>
      <c r="H47" s="20" cm="1">
        <f t="array" ref="H47">_xlfn.XLOOKUP($H$6, 'Metric Categories 1-14'!$B$7:$FM$7, _xlfn.XLOOKUP(A47, 'Metric Categories 1-14'!$A$8:$A$57, 'Metric Categories 1-14'!$B$8:$FM$57))</f>
        <v>1</v>
      </c>
      <c r="I47" s="20" cm="1">
        <f t="array" ref="I47">_xlfn.XLOOKUP($I$6, '15. Workforce Calcs'!$B$8:$BG$8, _xlfn.XLOOKUP(A47, '15. Workforce Calcs'!$A$10:$A$59, '15. Workforce Calcs'!$B$10:$BG$59))</f>
        <v>1</v>
      </c>
      <c r="J47" s="20" cm="1">
        <f t="array" ref="J47">_xlfn.XLOOKUP($J$6, '16. Existing HQs and Projects'!$B$8:$Q$8, _xlfn.XLOOKUP(A47,'16. Existing HQs and Projects'!$A$9:$A$58, '16. Existing HQs and Projects'!$B$9:$Q$58))</f>
        <v>1</v>
      </c>
      <c r="K47" s="37">
        <f t="shared" si="1"/>
        <v>0</v>
      </c>
      <c r="L47" s="37" cm="1">
        <f t="array" ref="L47">_xlfn.IFS(K47=0, 1, K47&gt;$K$59, 3, K47=$K$59, 3, K47&lt;$K$59, 2)</f>
        <v>1</v>
      </c>
    </row>
    <row r="48" spans="1:12">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35">
        <f t="shared" si="2"/>
        <v>0</v>
      </c>
      <c r="F48" s="301" cm="1">
        <f t="array" ref="F48">_xlfn.IFS(E48=0, 1, E48&gt;$E$59, 3, E48=$E$59, 3, E48&lt;$E$59, 2)</f>
        <v>1</v>
      </c>
      <c r="G48" s="20" cm="1">
        <f t="array" ref="G48">_xlfn.XLOOKUP($G$6, 'Metric Categories 1-14'!$B$7:$FM$7, _xlfn.XLOOKUP(A48, 'Metric Categories 1-14'!$A$8:$A$57, 'Metric Categories 1-14'!$B$8:$FM$57))</f>
        <v>0</v>
      </c>
      <c r="H48" s="20" cm="1">
        <f t="array" ref="H48">_xlfn.XLOOKUP($H$6, 'Metric Categories 1-14'!$B$7:$FM$7, _xlfn.XLOOKUP(A48, 'Metric Categories 1-14'!$A$8:$A$57, 'Metric Categories 1-14'!$B$8:$FM$57))</f>
        <v>1</v>
      </c>
      <c r="I48" s="20" cm="1">
        <f t="array" ref="I48">_xlfn.XLOOKUP($I$6, '15. Workforce Calcs'!$B$8:$BG$8, _xlfn.XLOOKUP(A48, '15. Workforce Calcs'!$A$10:$A$59, '15. Workforce Calcs'!$B$10:$BG$59))</f>
        <v>3</v>
      </c>
      <c r="J48" s="20" cm="1">
        <f t="array" ref="J48">_xlfn.XLOOKUP($J$6, '16. Existing HQs and Projects'!$B$8:$Q$8, _xlfn.XLOOKUP(A48,'16. Existing HQs and Projects'!$A$9:$A$58, '16. Existing HQs and Projects'!$B$9:$Q$58))</f>
        <v>1</v>
      </c>
      <c r="K48" s="37">
        <f t="shared" si="1"/>
        <v>0</v>
      </c>
      <c r="L48" s="37" cm="1">
        <f t="array" ref="L48">_xlfn.IFS(K48=0, 1, K48&gt;$K$59, 3, K48=$K$59, 3, K48&lt;$K$59, 2)</f>
        <v>1</v>
      </c>
    </row>
    <row r="49" spans="1:12">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35">
        <f t="shared" si="2"/>
        <v>0.99999999999999978</v>
      </c>
      <c r="F49" s="301" cm="1">
        <f t="array" ref="F49">_xlfn.IFS(E49=0, 1, E49&gt;$E$59, 3, E49=$E$59, 3, E49&lt;$E$59, 2)</f>
        <v>2</v>
      </c>
      <c r="G49" s="20" cm="1">
        <f t="array" ref="G49">_xlfn.XLOOKUP($G$6, 'Metric Categories 1-14'!$B$7:$FM$7, _xlfn.XLOOKUP(A49, 'Metric Categories 1-14'!$A$8:$A$57, 'Metric Categories 1-14'!$B$8:$FM$57))</f>
        <v>2.25</v>
      </c>
      <c r="H49" s="20" cm="1">
        <f t="array" ref="H49">_xlfn.XLOOKUP($H$6, 'Metric Categories 1-14'!$B$7:$FM$7, _xlfn.XLOOKUP(A49, 'Metric Categories 1-14'!$A$8:$A$57, 'Metric Categories 1-14'!$B$8:$FM$57))</f>
        <v>3</v>
      </c>
      <c r="I49" s="20" cm="1">
        <f t="array" ref="I49">_xlfn.XLOOKUP($I$6, '15. Workforce Calcs'!$B$8:$BG$8, _xlfn.XLOOKUP(A49, '15. Workforce Calcs'!$A$10:$A$59, '15. Workforce Calcs'!$B$10:$BG$59))</f>
        <v>3</v>
      </c>
      <c r="J49" s="20" cm="1">
        <f t="array" ref="J49">_xlfn.XLOOKUP($J$6, '16. Existing HQs and Projects'!$B$8:$Q$8, _xlfn.XLOOKUP(A49,'16. Existing HQs and Projects'!$A$9:$A$58, '16. Existing HQs and Projects'!$B$9:$Q$58))</f>
        <v>3</v>
      </c>
      <c r="K49" s="37">
        <f t="shared" si="1"/>
        <v>2.6999999999999997</v>
      </c>
      <c r="L49" s="37" cm="1">
        <f t="array" ref="L49">_xlfn.IFS(K49=0, 1, K49&gt;$K$59, 3, K49=$K$59, 3, K49&lt;$K$59, 2)</f>
        <v>3</v>
      </c>
    </row>
    <row r="50" spans="1:12">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35">
        <f t="shared" si="2"/>
        <v>0</v>
      </c>
      <c r="F50" s="301" cm="1">
        <f t="array" ref="F50">_xlfn.IFS(E50=0, 1, E50&gt;$E$59, 3, E50=$E$59, 3, E50&lt;$E$59, 2)</f>
        <v>1</v>
      </c>
      <c r="G50" s="20" cm="1">
        <f t="array" ref="G50">_xlfn.XLOOKUP($G$6, 'Metric Categories 1-14'!$B$7:$FM$7, _xlfn.XLOOKUP(A50, 'Metric Categories 1-14'!$A$8:$A$57, 'Metric Categories 1-14'!$B$8:$FM$57))</f>
        <v>0</v>
      </c>
      <c r="H50" s="20" cm="1">
        <f t="array" ref="H50">_xlfn.XLOOKUP($H$6, 'Metric Categories 1-14'!$B$7:$FM$7, _xlfn.XLOOKUP(A50, 'Metric Categories 1-14'!$A$8:$A$57, 'Metric Categories 1-14'!$B$8:$FM$57))</f>
        <v>1</v>
      </c>
      <c r="I50" s="20" cm="1">
        <f t="array" ref="I50">_xlfn.XLOOKUP($I$6, '15. Workforce Calcs'!$B$8:$BG$8, _xlfn.XLOOKUP(A50, '15. Workforce Calcs'!$A$10:$A$59, '15. Workforce Calcs'!$B$10:$BG$59))</f>
        <v>1</v>
      </c>
      <c r="J50" s="20" cm="1">
        <f t="array" ref="J50">_xlfn.XLOOKUP($J$6, '16. Existing HQs and Projects'!$B$8:$Q$8, _xlfn.XLOOKUP(A50,'16. Existing HQs and Projects'!$A$9:$A$58, '16. Existing HQs and Projects'!$B$9:$Q$58))</f>
        <v>1</v>
      </c>
      <c r="K50" s="37">
        <f t="shared" si="1"/>
        <v>0</v>
      </c>
      <c r="L50" s="37" cm="1">
        <f t="array" ref="L50">_xlfn.IFS(K50=0, 1, K50&gt;$K$59, 3, K50=$K$59, 3, K50&lt;$K$59, 2)</f>
        <v>1</v>
      </c>
    </row>
    <row r="51" spans="1:12">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35">
        <f t="shared" si="2"/>
        <v>0</v>
      </c>
      <c r="F51" s="301" cm="1">
        <f t="array" ref="F51">_xlfn.IFS(E51=0, 1, E51&gt;$E$59, 3, E51=$E$59, 3, E51&lt;$E$59, 2)</f>
        <v>1</v>
      </c>
      <c r="G51" s="20" cm="1">
        <f t="array" ref="G51">_xlfn.XLOOKUP($G$6, 'Metric Categories 1-14'!$B$7:$FM$7, _xlfn.XLOOKUP(A51, 'Metric Categories 1-14'!$A$8:$A$57, 'Metric Categories 1-14'!$B$8:$FM$57))</f>
        <v>0</v>
      </c>
      <c r="H51" s="20" cm="1">
        <f t="array" ref="H51">_xlfn.XLOOKUP($H$6, 'Metric Categories 1-14'!$B$7:$FM$7, _xlfn.XLOOKUP(A51, 'Metric Categories 1-14'!$A$8:$A$57, 'Metric Categories 1-14'!$B$8:$FM$57))</f>
        <v>1</v>
      </c>
      <c r="I51" s="20" cm="1">
        <f t="array" ref="I51">_xlfn.XLOOKUP($I$6, '15. Workforce Calcs'!$B$8:$BG$8, _xlfn.XLOOKUP(A51, '15. Workforce Calcs'!$A$10:$A$59, '15. Workforce Calcs'!$B$10:$BG$59))</f>
        <v>1</v>
      </c>
      <c r="J51" s="20" cm="1">
        <f t="array" ref="J51">_xlfn.XLOOKUP($J$6, '16. Existing HQs and Projects'!$B$8:$Q$8, _xlfn.XLOOKUP(A51,'16. Existing HQs and Projects'!$A$9:$A$58, '16. Existing HQs and Projects'!$B$9:$Q$58))</f>
        <v>1</v>
      </c>
      <c r="K51" s="37">
        <f t="shared" si="1"/>
        <v>0</v>
      </c>
      <c r="L51" s="37" cm="1">
        <f t="array" ref="L51">_xlfn.IFS(K51=0, 1, K51&gt;$K$59, 3, K51=$K$59, 3, K51&lt;$K$59, 2)</f>
        <v>1</v>
      </c>
    </row>
    <row r="52" spans="1:12">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35">
        <f t="shared" si="2"/>
        <v>1.85</v>
      </c>
      <c r="F52" s="301" cm="1">
        <f t="array" ref="F52">_xlfn.IFS(E52=0, 1, E52&gt;$E$59, 3, E52=$E$59, 3, E52&lt;$E$59, 2)</f>
        <v>3</v>
      </c>
      <c r="G52" s="20" cm="1">
        <f t="array" ref="G52">_xlfn.XLOOKUP($G$6, 'Metric Categories 1-14'!$B$7:$FM$7, _xlfn.XLOOKUP(A52, 'Metric Categories 1-14'!$A$8:$A$57, 'Metric Categories 1-14'!$B$8:$FM$57))</f>
        <v>2</v>
      </c>
      <c r="H52" s="20" cm="1">
        <f t="array" ref="H52">_xlfn.XLOOKUP($H$6, 'Metric Categories 1-14'!$B$7:$FM$7, _xlfn.XLOOKUP(A52, 'Metric Categories 1-14'!$A$8:$A$57, 'Metric Categories 1-14'!$B$8:$FM$57))</f>
        <v>3</v>
      </c>
      <c r="I52" s="20" cm="1">
        <f t="array" ref="I52">_xlfn.XLOOKUP($I$6, '15. Workforce Calcs'!$B$8:$BG$8, _xlfn.XLOOKUP(A52, '15. Workforce Calcs'!$A$10:$A$59, '15. Workforce Calcs'!$B$10:$BG$59))</f>
        <v>3</v>
      </c>
      <c r="J52" s="20" cm="1">
        <f t="array" ref="J52">_xlfn.XLOOKUP($J$6, '16. Existing HQs and Projects'!$B$8:$Q$8, _xlfn.XLOOKUP(A52,'16. Existing HQs and Projects'!$A$9:$A$58, '16. Existing HQs and Projects'!$B$9:$Q$58))</f>
        <v>1</v>
      </c>
      <c r="K52" s="37">
        <f t="shared" si="1"/>
        <v>2.5</v>
      </c>
      <c r="L52" s="37" cm="1">
        <f t="array" ref="L52">_xlfn.IFS(K52=0, 1, K52&gt;$K$59, 3, K52=$K$59, 3, K52&lt;$K$59, 2)</f>
        <v>3</v>
      </c>
    </row>
    <row r="53" spans="1:12">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35">
        <f t="shared" si="2"/>
        <v>2.31</v>
      </c>
      <c r="F53" s="301" cm="1">
        <f t="array" ref="F53">_xlfn.IFS(E53=0, 1, E53&gt;$E$59, 3, E53=$E$59, 3, E53&lt;$E$59, 2)</f>
        <v>3</v>
      </c>
      <c r="G53" s="20" cm="1">
        <f t="array" ref="G53">_xlfn.XLOOKUP($G$6, 'Metric Categories 1-14'!$B$7:$FM$7, _xlfn.XLOOKUP(A53, 'Metric Categories 1-14'!$A$8:$A$57, 'Metric Categories 1-14'!$B$8:$FM$57))</f>
        <v>2.25</v>
      </c>
      <c r="H53" s="20" cm="1">
        <f t="array" ref="H53">_xlfn.XLOOKUP($H$6, 'Metric Categories 1-14'!$B$7:$FM$7, _xlfn.XLOOKUP(A53, 'Metric Categories 1-14'!$A$8:$A$57, 'Metric Categories 1-14'!$B$8:$FM$57))</f>
        <v>1</v>
      </c>
      <c r="I53" s="20" cm="1">
        <f t="array" ref="I53">_xlfn.XLOOKUP($I$6, '15. Workforce Calcs'!$B$8:$BG$8, _xlfn.XLOOKUP(A53, '15. Workforce Calcs'!$A$10:$A$59, '15. Workforce Calcs'!$B$10:$BG$59))</f>
        <v>3</v>
      </c>
      <c r="J53" s="20" cm="1">
        <f t="array" ref="J53">_xlfn.XLOOKUP($J$6, '16. Existing HQs and Projects'!$B$8:$Q$8, _xlfn.XLOOKUP(A53,'16. Existing HQs and Projects'!$A$9:$A$58, '16. Existing HQs and Projects'!$B$9:$Q$58))</f>
        <v>1</v>
      </c>
      <c r="K53" s="37">
        <f t="shared" si="1"/>
        <v>1.8</v>
      </c>
      <c r="L53" s="37" cm="1">
        <f t="array" ref="L53">_xlfn.IFS(K53=0, 1, K53&gt;$K$59, 3, K53=$K$59, 3, K53&lt;$K$59, 2)</f>
        <v>3</v>
      </c>
    </row>
    <row r="54" spans="1:12">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35">
        <f t="shared" si="2"/>
        <v>0</v>
      </c>
      <c r="F54" s="301" cm="1">
        <f t="array" ref="F54">_xlfn.IFS(E54=0, 1, E54&gt;$E$59, 3, E54=$E$59, 3, E54&lt;$E$59, 2)</f>
        <v>1</v>
      </c>
      <c r="G54" s="20" cm="1">
        <f t="array" ref="G54">_xlfn.XLOOKUP($G$6, 'Metric Categories 1-14'!$B$7:$FM$7, _xlfn.XLOOKUP(A54, 'Metric Categories 1-14'!$A$8:$A$57, 'Metric Categories 1-14'!$B$8:$FM$57))</f>
        <v>0</v>
      </c>
      <c r="H54" s="20" cm="1">
        <f t="array" ref="H54">_xlfn.XLOOKUP($H$6, 'Metric Categories 1-14'!$B$7:$FM$7, _xlfn.XLOOKUP(A54, 'Metric Categories 1-14'!$A$8:$A$57, 'Metric Categories 1-14'!$B$8:$FM$57))</f>
        <v>1</v>
      </c>
      <c r="I54" s="20" cm="1">
        <f t="array" ref="I54">_xlfn.XLOOKUP($I$6, '15. Workforce Calcs'!$B$8:$BG$8, _xlfn.XLOOKUP(A54, '15. Workforce Calcs'!$A$10:$A$59, '15. Workforce Calcs'!$B$10:$BG$59))</f>
        <v>2</v>
      </c>
      <c r="J54" s="20" cm="1">
        <f t="array" ref="J54">_xlfn.XLOOKUP($J$6, '16. Existing HQs and Projects'!$B$8:$Q$8, _xlfn.XLOOKUP(A54,'16. Existing HQs and Projects'!$A$9:$A$58, '16. Existing HQs and Projects'!$B$9:$Q$58))</f>
        <v>1</v>
      </c>
      <c r="K54" s="37">
        <f t="shared" si="1"/>
        <v>0</v>
      </c>
      <c r="L54" s="37" cm="1">
        <f t="array" ref="L54">_xlfn.IFS(K54=0, 1, K54&gt;$K$59, 3, K54=$K$59, 3, K54&lt;$K$59, 2)</f>
        <v>1</v>
      </c>
    </row>
    <row r="55" spans="1:12">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35">
        <f t="shared" si="2"/>
        <v>0</v>
      </c>
      <c r="F55" s="301" cm="1">
        <f t="array" ref="F55">_xlfn.IFS(E55=0, 1, E55&gt;$E$59, 3, E55=$E$59, 3, E55&lt;$E$59, 2)</f>
        <v>1</v>
      </c>
      <c r="G55" s="20" cm="1">
        <f t="array" ref="G55">_xlfn.XLOOKUP($G$6, 'Metric Categories 1-14'!$B$7:$FM$7, _xlfn.XLOOKUP(A55, 'Metric Categories 1-14'!$A$8:$A$57, 'Metric Categories 1-14'!$B$8:$FM$57))</f>
        <v>0</v>
      </c>
      <c r="H55" s="20" cm="1">
        <f t="array" ref="H55">_xlfn.XLOOKUP($H$6, 'Metric Categories 1-14'!$B$7:$FM$7, _xlfn.XLOOKUP(A55, 'Metric Categories 1-14'!$A$8:$A$57, 'Metric Categories 1-14'!$B$8:$FM$57))</f>
        <v>1</v>
      </c>
      <c r="I55" s="20" cm="1">
        <f t="array" ref="I55">_xlfn.XLOOKUP($I$6, '15. Workforce Calcs'!$B$8:$BG$8, _xlfn.XLOOKUP(A55, '15. Workforce Calcs'!$A$10:$A$59, '15. Workforce Calcs'!$B$10:$BG$59))</f>
        <v>2</v>
      </c>
      <c r="J55" s="20" cm="1">
        <f t="array" ref="J55">_xlfn.XLOOKUP($J$6, '16. Existing HQs and Projects'!$B$8:$Q$8, _xlfn.XLOOKUP(A55,'16. Existing HQs and Projects'!$A$9:$A$58, '16. Existing HQs and Projects'!$B$9:$Q$58))</f>
        <v>1</v>
      </c>
      <c r="K55" s="37">
        <f t="shared" si="1"/>
        <v>0</v>
      </c>
      <c r="L55" s="37" cm="1">
        <f t="array" ref="L55">_xlfn.IFS(K55=0, 1, K55&gt;$K$59, 3, K55=$K$59, 3, K55&lt;$K$59, 2)</f>
        <v>1</v>
      </c>
    </row>
    <row r="56" spans="1:12">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35">
        <f t="shared" si="2"/>
        <v>0</v>
      </c>
      <c r="F56" s="301" cm="1">
        <f t="array" ref="F56">_xlfn.IFS(E56=0, 1, E56&gt;$E$59, 3, E56=$E$59, 3, E56&lt;$E$59, 2)</f>
        <v>1</v>
      </c>
      <c r="G56" s="20" cm="1">
        <f t="array" ref="G56">_xlfn.XLOOKUP($G$6, 'Metric Categories 1-14'!$B$7:$FM$7, _xlfn.XLOOKUP(A56, 'Metric Categories 1-14'!$A$8:$A$57, 'Metric Categories 1-14'!$B$8:$FM$57))</f>
        <v>0</v>
      </c>
      <c r="H56" s="20" cm="1">
        <f t="array" ref="H56">_xlfn.XLOOKUP($H$6, 'Metric Categories 1-14'!$B$7:$FM$7, _xlfn.XLOOKUP(A56, 'Metric Categories 1-14'!$A$8:$A$57, 'Metric Categories 1-14'!$B$8:$FM$57))</f>
        <v>1</v>
      </c>
      <c r="I56" s="20" cm="1">
        <f t="array" ref="I56">_xlfn.XLOOKUP($I$6, '15. Workforce Calcs'!$B$8:$BG$8, _xlfn.XLOOKUP(A56, '15. Workforce Calcs'!$A$10:$A$59, '15. Workforce Calcs'!$B$10:$BG$59))</f>
        <v>1</v>
      </c>
      <c r="J56" s="20" cm="1">
        <f t="array" ref="J56">_xlfn.XLOOKUP($J$6, '16. Existing HQs and Projects'!$B$8:$Q$8, _xlfn.XLOOKUP(A56,'16. Existing HQs and Projects'!$A$9:$A$58, '16. Existing HQs and Projects'!$B$9:$Q$58))</f>
        <v>1</v>
      </c>
      <c r="K56" s="37">
        <f t="shared" si="1"/>
        <v>0</v>
      </c>
      <c r="L56" s="37" cm="1">
        <f t="array" ref="L56">_xlfn.IFS(K56=0, 1, K56&gt;$K$59, 3, K56=$K$59, 3, K56&lt;$K$59, 2)</f>
        <v>1</v>
      </c>
    </row>
    <row r="58" spans="1:12">
      <c r="E58" s="296">
        <f>PERCENTILE(E7:E56, 1/3)</f>
        <v>0</v>
      </c>
      <c r="K58" s="23">
        <f>PERCENTILE(K7:K56, 1/3)</f>
        <v>0</v>
      </c>
    </row>
    <row r="59" spans="1:12">
      <c r="E59" s="35">
        <f>PERCENTILE(E7:E56, 2/3)</f>
        <v>1.3099999999999994</v>
      </c>
      <c r="K59" s="23">
        <f>PERCENTILE(K7:K56, 2/3)</f>
        <v>1.7666666666666666</v>
      </c>
    </row>
  </sheetData>
  <mergeCells count="2">
    <mergeCell ref="B4:E4"/>
    <mergeCell ref="G4:J4"/>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A0C10-EF95-A148-B1C2-1D90BAEB9FDE}">
  <sheetPr>
    <tabColor rgb="FF7F7F7F"/>
  </sheetPr>
  <dimension ref="A1:AF59"/>
  <sheetViews>
    <sheetView topLeftCell="A19" workbookViewId="0">
      <pane xSplit="1" topLeftCell="B1" activePane="topRight" state="frozen"/>
      <selection pane="topRight" activeCell="D1" sqref="D1"/>
    </sheetView>
  </sheetViews>
  <sheetFormatPr defaultColWidth="15.85546875" defaultRowHeight="15"/>
  <cols>
    <col min="1" max="1" width="15.85546875" style="16"/>
    <col min="2" max="5" width="15.85546875" style="13"/>
    <col min="6" max="6" width="15.85546875" style="296"/>
    <col min="7" max="7" width="15.85546875" style="303"/>
    <col min="8" max="11" width="15.85546875" style="13"/>
    <col min="12" max="12" width="15.85546875" style="23"/>
    <col min="13" max="15" width="15.85546875" style="13"/>
    <col min="16" max="16" width="20.140625" style="13" customWidth="1"/>
    <col min="17" max="16384" width="15.85546875" style="13"/>
  </cols>
  <sheetData>
    <row r="1" spans="1:32" s="4" customFormat="1" ht="27" customHeight="1">
      <c r="C1" s="2" t="s">
        <v>0</v>
      </c>
      <c r="D1" s="2"/>
      <c r="G1" s="297"/>
    </row>
    <row r="2" spans="1:32" s="5" customFormat="1" ht="27" customHeight="1">
      <c r="C2" s="307" t="s">
        <v>713</v>
      </c>
      <c r="D2" s="3"/>
      <c r="G2" s="298"/>
    </row>
    <row r="3" spans="1:32" s="6" customFormat="1" ht="23.25">
      <c r="B3" s="7"/>
      <c r="E3" s="8"/>
      <c r="G3" s="19"/>
      <c r="AF3" s="14"/>
    </row>
    <row r="4" spans="1:32">
      <c r="A4" s="21"/>
      <c r="B4" s="576" t="s">
        <v>699</v>
      </c>
      <c r="C4" s="577"/>
      <c r="D4" s="577"/>
      <c r="E4" s="577"/>
      <c r="F4" s="577"/>
      <c r="G4" s="299"/>
      <c r="H4" s="578" t="s">
        <v>700</v>
      </c>
      <c r="I4" s="578"/>
      <c r="J4" s="578"/>
      <c r="K4" s="579"/>
      <c r="M4" s="23"/>
    </row>
    <row r="5" spans="1:32">
      <c r="A5" s="21" t="s">
        <v>440</v>
      </c>
      <c r="B5" s="26">
        <v>0.35</v>
      </c>
      <c r="C5" s="26">
        <v>0.35</v>
      </c>
      <c r="D5" s="26">
        <v>0.15</v>
      </c>
      <c r="E5" s="26">
        <v>0.15</v>
      </c>
      <c r="F5" s="26">
        <f>SUM(B5:E5)</f>
        <v>1</v>
      </c>
      <c r="G5" s="300"/>
      <c r="H5" s="28">
        <v>0.5</v>
      </c>
      <c r="I5" s="28">
        <v>0.2</v>
      </c>
      <c r="J5" s="28">
        <v>0.2</v>
      </c>
      <c r="K5" s="28">
        <v>0.1</v>
      </c>
      <c r="L5" s="29">
        <f>SUM(H5:K5)</f>
        <v>0.99999999999999989</v>
      </c>
      <c r="M5" s="23"/>
    </row>
    <row r="6" spans="1:32" s="34" customFormat="1" ht="75">
      <c r="A6" s="30" t="s">
        <v>75</v>
      </c>
      <c r="B6" s="15" t="s">
        <v>82</v>
      </c>
      <c r="C6" s="15" t="s">
        <v>84</v>
      </c>
      <c r="D6" s="15" t="s">
        <v>86</v>
      </c>
      <c r="E6" s="15" t="s">
        <v>92</v>
      </c>
      <c r="F6" s="31" t="s">
        <v>701</v>
      </c>
      <c r="G6" s="32" t="s">
        <v>702</v>
      </c>
      <c r="H6" s="15" t="s">
        <v>96</v>
      </c>
      <c r="I6" s="15" t="s">
        <v>505</v>
      </c>
      <c r="J6" s="15" t="s">
        <v>668</v>
      </c>
      <c r="K6" s="15" t="s">
        <v>694</v>
      </c>
      <c r="L6" s="33" t="s">
        <v>703</v>
      </c>
      <c r="M6" s="33" t="s">
        <v>704</v>
      </c>
    </row>
    <row r="7" spans="1:32" ht="15" customHeigh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20" cm="1">
        <f t="array" ref="E7">_xlfn.XLOOKUP($E$6, 'Metric Categories 1-14'!$B$7:$FM$7, _xlfn.XLOOKUP(A7, 'Metric Categories 1-14'!$A$8:$A$57, 'Metric Categories 1-14'!$B$8:$FM$57))</f>
        <v>3</v>
      </c>
      <c r="F7" s="35">
        <f>SUMPRODUCT($B$5:$D$5, B7:D7)</f>
        <v>0.84999999999999987</v>
      </c>
      <c r="G7" s="301" cm="1">
        <f t="array" ref="G7">_xlfn.IFS(F7&lt;$F$58, 1, F7&gt;$F$59, 3, F7&lt;$F$59, 2)</f>
        <v>1</v>
      </c>
      <c r="H7" s="20" cm="1">
        <f t="array" ref="H7">_xlfn.XLOOKUP($H$6, 'Metric Categories 1-14'!$B$7:$FM$7, _xlfn.XLOOKUP(A7, 'Metric Categories 1-14'!$A$8:$A$57, 'Metric Categories 1-14'!$B$8:$FM$57))</f>
        <v>1.95</v>
      </c>
      <c r="I7" s="20" cm="1">
        <f t="array" ref="I7">_xlfn.XLOOKUP($I$6, 'Metric Categories 1-14'!$B$7:$FM$7, _xlfn.XLOOKUP(A7, 'Metric Categories 1-14'!$A$8:$A$57, 'Metric Categories 1-14'!$B$8:$FM$57))</f>
        <v>1.9999999999999978</v>
      </c>
      <c r="J7" s="20" cm="1">
        <f t="array" ref="J7">_xlfn.XLOOKUP($J$6, '15. Workforce Calcs'!$B$8:$BG$8, _xlfn.XLOOKUP(A7, '15. Workforce Calcs'!$A$10:$A$59, '15. Workforce Calcs'!$B$10:$BG$59))</f>
        <v>2</v>
      </c>
      <c r="K7" s="20" cm="1">
        <f t="array" ref="K7">_xlfn.XLOOKUP($K$6, '16. Existing HQs and Projects'!$B$8:$Q$8, _xlfn.XLOOKUP(A7,'16. Existing HQs and Projects'!$A$9:$A$58, '16. Existing HQs and Projects'!$B$9:$Q$58))</f>
        <v>1</v>
      </c>
      <c r="L7" s="37">
        <f t="shared" ref="L7:L37" si="0">SUMPRODUCT($H$5:$K$5, H7:K7)</f>
        <v>1.8749999999999996</v>
      </c>
      <c r="M7" s="37" cm="1">
        <f t="array" ref="M7">_xlfn.IFS(L7&lt;$L$58, 1, L7&gt;$L$59, 3, L7=$L$59, 3, L7&lt;$L$59, 2)</f>
        <v>2</v>
      </c>
    </row>
    <row r="8" spans="1:32">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20" cm="1">
        <f t="array" ref="E8">_xlfn.XLOOKUP($E$6, 'Metric Categories 1-14'!$B$7:$FM$7, _xlfn.XLOOKUP(A8, 'Metric Categories 1-14'!$A$8:$A$57, 'Metric Categories 1-14'!$B$8:$FM$57))</f>
        <v>2.25</v>
      </c>
      <c r="F8" s="35">
        <f t="shared" ref="F8:F56" si="1">SUMPRODUCT($B$5:$D$5, B8:D8)</f>
        <v>0.84999999999999987</v>
      </c>
      <c r="G8" s="301" cm="1">
        <f t="array" ref="G8">_xlfn.IFS(F8&lt;$F$58, 1, F8&gt;$F$59, 3, F8&lt;$F$59, 2)</f>
        <v>1</v>
      </c>
      <c r="H8" s="20" cm="1">
        <f t="array" ref="H8">_xlfn.XLOOKUP($H$6, 'Metric Categories 1-14'!$B$7:$FM$7, _xlfn.XLOOKUP(A8, 'Metric Categories 1-14'!$A$8:$A$57, 'Metric Categories 1-14'!$B$8:$FM$57))</f>
        <v>1</v>
      </c>
      <c r="I8" s="20" cm="1">
        <f t="array" ref="I8">_xlfn.XLOOKUP($I$6, 'Metric Categories 1-14'!$B$7:$FM$7, _xlfn.XLOOKUP(A8, 'Metric Categories 1-14'!$A$8:$A$57, 'Metric Categories 1-14'!$B$8:$FM$57))</f>
        <v>1.9999999999999978</v>
      </c>
      <c r="J8" s="20" cm="1">
        <f t="array" ref="J8">_xlfn.XLOOKUP($J$6, '15. Workforce Calcs'!$B$8:$BG$8, _xlfn.XLOOKUP(A8, '15. Workforce Calcs'!$A$10:$A$59, '15. Workforce Calcs'!$B$10:$BG$59))</f>
        <v>1</v>
      </c>
      <c r="K8" s="20" cm="1">
        <f t="array" ref="K8">_xlfn.XLOOKUP($K$6, '16. Existing HQs and Projects'!$B$8:$Q$8, _xlfn.XLOOKUP(A8,'16. Existing HQs and Projects'!$A$9:$A$58, '16. Existing HQs and Projects'!$B$9:$Q$58))</f>
        <v>1</v>
      </c>
      <c r="L8" s="37">
        <f t="shared" si="0"/>
        <v>1.1999999999999997</v>
      </c>
      <c r="M8" s="37" cm="1">
        <f t="array" ref="M8">_xlfn.IFS(L8&lt;$L$58, 1, L8&gt;$L$59, 3, L8=$L$59, 3, L8&lt;$L$59, 2)</f>
        <v>1</v>
      </c>
      <c r="O8" s="422"/>
      <c r="P8" s="422"/>
    </row>
    <row r="9" spans="1:32">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20" cm="1">
        <f t="array" ref="E9">_xlfn.XLOOKUP($E$6, 'Metric Categories 1-14'!$B$7:$FM$7, _xlfn.XLOOKUP(A9, 'Metric Categories 1-14'!$A$8:$A$57, 'Metric Categories 1-14'!$B$8:$FM$57))</f>
        <v>2</v>
      </c>
      <c r="F9" s="35">
        <f t="shared" si="1"/>
        <v>0.93749999999999989</v>
      </c>
      <c r="G9" s="301" cm="1">
        <f t="array" ref="G9">_xlfn.IFS(F9&lt;$F$58, 1, F9&gt;$F$59, 3, F9&lt;$F$59, 2)</f>
        <v>1</v>
      </c>
      <c r="H9" s="20" cm="1">
        <f t="array" ref="H9">_xlfn.XLOOKUP($H$6, 'Metric Categories 1-14'!$B$7:$FM$7, _xlfn.XLOOKUP(A9, 'Metric Categories 1-14'!$A$8:$A$57, 'Metric Categories 1-14'!$B$8:$FM$57))</f>
        <v>1.9</v>
      </c>
      <c r="I9" s="20" cm="1">
        <f t="array" ref="I9">_xlfn.XLOOKUP($I$6, 'Metric Categories 1-14'!$B$7:$FM$7, _xlfn.XLOOKUP(A9, 'Metric Categories 1-14'!$A$8:$A$57, 'Metric Categories 1-14'!$B$8:$FM$57))</f>
        <v>1.9999999999999978</v>
      </c>
      <c r="J9" s="20" cm="1">
        <f t="array" ref="J9">_xlfn.XLOOKUP($J$6, '15. Workforce Calcs'!$B$8:$BG$8, _xlfn.XLOOKUP(A9, '15. Workforce Calcs'!$A$10:$A$59, '15. Workforce Calcs'!$B$10:$BG$59))</f>
        <v>3</v>
      </c>
      <c r="K9" s="20" cm="1">
        <f t="array" ref="K9">_xlfn.XLOOKUP($K$6, '16. Existing HQs and Projects'!$B$8:$Q$8, _xlfn.XLOOKUP(A9,'16. Existing HQs and Projects'!$A$9:$A$58, '16. Existing HQs and Projects'!$B$9:$Q$58))</f>
        <v>3</v>
      </c>
      <c r="L9" s="37">
        <f t="shared" si="0"/>
        <v>2.25</v>
      </c>
      <c r="M9" s="37" cm="1">
        <f t="array" ref="M9">_xlfn.IFS(L9&lt;$L$58, 1, L9&gt;$L$59, 3, L9=$L$59, 3, L9&lt;$L$59, 2)</f>
        <v>2</v>
      </c>
      <c r="O9" s="12"/>
    </row>
    <row r="10" spans="1:32">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20" cm="1">
        <f t="array" ref="E10">_xlfn.XLOOKUP($E$6, 'Metric Categories 1-14'!$B$7:$FM$7, _xlfn.XLOOKUP(A10, 'Metric Categories 1-14'!$A$8:$A$57, 'Metric Categories 1-14'!$B$8:$FM$57))</f>
        <v>3</v>
      </c>
      <c r="F10" s="35">
        <f t="shared" si="1"/>
        <v>1.0249999999999997</v>
      </c>
      <c r="G10" s="301" cm="1">
        <f t="array" ref="G10">_xlfn.IFS(F10&lt;$F$58, 1, F10&gt;$F$59, 3, F10&lt;$F$59, 2)</f>
        <v>2</v>
      </c>
      <c r="H10" s="20" cm="1">
        <f t="array" ref="H10">_xlfn.XLOOKUP($H$6, 'Metric Categories 1-14'!$B$7:$FM$7, _xlfn.XLOOKUP(A10, 'Metric Categories 1-14'!$A$8:$A$57, 'Metric Categories 1-14'!$B$8:$FM$57))</f>
        <v>2.3499999999999996</v>
      </c>
      <c r="I10" s="20" cm="1">
        <f t="array" ref="I10">_xlfn.XLOOKUP($I$6, 'Metric Categories 1-14'!$B$7:$FM$7, _xlfn.XLOOKUP(A10, 'Metric Categories 1-14'!$A$8:$A$57, 'Metric Categories 1-14'!$B$8:$FM$57))</f>
        <v>1.9999999999999978</v>
      </c>
      <c r="J10" s="20" cm="1">
        <f t="array" ref="J10">_xlfn.XLOOKUP($J$6, '15. Workforce Calcs'!$B$8:$BG$8, _xlfn.XLOOKUP(A10, '15. Workforce Calcs'!$A$10:$A$59, '15. Workforce Calcs'!$B$10:$BG$59))</f>
        <v>2</v>
      </c>
      <c r="K10" s="20" cm="1">
        <f t="array" ref="K10">_xlfn.XLOOKUP($K$6, '16. Existing HQs and Projects'!$B$8:$Q$8, _xlfn.XLOOKUP(A10,'16. Existing HQs and Projects'!$A$9:$A$58, '16. Existing HQs and Projects'!$B$9:$Q$58))</f>
        <v>1</v>
      </c>
      <c r="L10" s="37">
        <f t="shared" si="0"/>
        <v>2.0749999999999993</v>
      </c>
      <c r="M10" s="37" cm="1">
        <f t="array" ref="M10">_xlfn.IFS(L10&lt;$L$58, 1, L10&gt;$L$59, 3, L10=$L$59, 3, L10&lt;$L$59, 2)</f>
        <v>2</v>
      </c>
      <c r="O10" s="12"/>
    </row>
    <row r="11" spans="1:32">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20" cm="1">
        <f t="array" ref="E11">_xlfn.XLOOKUP($E$6, 'Metric Categories 1-14'!$B$7:$FM$7, _xlfn.XLOOKUP(A11, 'Metric Categories 1-14'!$A$8:$A$57, 'Metric Categories 1-14'!$B$8:$FM$57))</f>
        <v>2.25</v>
      </c>
      <c r="F11" s="35">
        <f t="shared" si="1"/>
        <v>1.9987499999999996</v>
      </c>
      <c r="G11" s="301" cm="1">
        <f t="array" ref="G11">_xlfn.IFS(F11&lt;$F$58, 1, F11&gt;$F$59, 3, F11&lt;$F$59, 2)</f>
        <v>3</v>
      </c>
      <c r="H11" s="20" cm="1">
        <f t="array" ref="H11">_xlfn.XLOOKUP($H$6, 'Metric Categories 1-14'!$B$7:$FM$7, _xlfn.XLOOKUP(A11, 'Metric Categories 1-14'!$A$8:$A$57, 'Metric Categories 1-14'!$B$8:$FM$57))</f>
        <v>2.8</v>
      </c>
      <c r="I11" s="20" cm="1">
        <f t="array" ref="I11">_xlfn.XLOOKUP($I$6, 'Metric Categories 1-14'!$B$7:$FM$7, _xlfn.XLOOKUP(A11, 'Metric Categories 1-14'!$A$8:$A$57, 'Metric Categories 1-14'!$B$8:$FM$57))</f>
        <v>2.9999999999999964</v>
      </c>
      <c r="J11" s="20" cm="1">
        <f t="array" ref="J11">_xlfn.XLOOKUP($J$6, '15. Workforce Calcs'!$B$8:$BG$8, _xlfn.XLOOKUP(A11, '15. Workforce Calcs'!$A$10:$A$59, '15. Workforce Calcs'!$B$10:$BG$59))</f>
        <v>3</v>
      </c>
      <c r="K11" s="20" cm="1">
        <f t="array" ref="K11">_xlfn.XLOOKUP($K$6, '16. Existing HQs and Projects'!$B$8:$Q$8, _xlfn.XLOOKUP(A11,'16. Existing HQs and Projects'!$A$9:$A$58, '16. Existing HQs and Projects'!$B$9:$Q$58))</f>
        <v>3</v>
      </c>
      <c r="L11" s="37">
        <f t="shared" si="0"/>
        <v>2.8999999999999995</v>
      </c>
      <c r="M11" s="37" cm="1">
        <f t="array" ref="M11">_xlfn.IFS(L11&lt;$L$58, 1, L11&gt;$L$59, 3, L11=$L$59, 3, L11&lt;$L$59, 2)</f>
        <v>3</v>
      </c>
      <c r="O11" s="12"/>
    </row>
    <row r="12" spans="1:32">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20" cm="1">
        <f t="array" ref="E12">_xlfn.XLOOKUP($E$6, 'Metric Categories 1-14'!$B$7:$FM$7, _xlfn.XLOOKUP(A12, 'Metric Categories 1-14'!$A$8:$A$57, 'Metric Categories 1-14'!$B$8:$FM$57))</f>
        <v>2.25</v>
      </c>
      <c r="F12" s="35">
        <f t="shared" si="1"/>
        <v>1.6274999999999999</v>
      </c>
      <c r="G12" s="301" cm="1">
        <f t="array" ref="G12">_xlfn.IFS(F12&lt;$F$58, 1, F12&gt;$F$59, 3, F12&lt;$F$59, 2)</f>
        <v>3</v>
      </c>
      <c r="H12" s="20" cm="1">
        <f t="array" ref="H12">_xlfn.XLOOKUP($H$6, 'Metric Categories 1-14'!$B$7:$FM$7, _xlfn.XLOOKUP(A12, 'Metric Categories 1-14'!$A$8:$A$57, 'Metric Categories 1-14'!$B$8:$FM$57))</f>
        <v>2.4500000000000002</v>
      </c>
      <c r="I12" s="20" cm="1">
        <f t="array" ref="I12">_xlfn.XLOOKUP($I$6, 'Metric Categories 1-14'!$B$7:$FM$7, _xlfn.XLOOKUP(A12, 'Metric Categories 1-14'!$A$8:$A$57, 'Metric Categories 1-14'!$B$8:$FM$57))</f>
        <v>2.3333333333333308</v>
      </c>
      <c r="J12" s="20" cm="1">
        <f t="array" ref="J12">_xlfn.XLOOKUP($J$6, '15. Workforce Calcs'!$B$8:$BG$8, _xlfn.XLOOKUP(A12, '15. Workforce Calcs'!$A$10:$A$59, '15. Workforce Calcs'!$B$10:$BG$59))</f>
        <v>2</v>
      </c>
      <c r="K12" s="20" cm="1">
        <f t="array" ref="K12">_xlfn.XLOOKUP($K$6, '16. Existing HQs and Projects'!$B$8:$Q$8, _xlfn.XLOOKUP(A12,'16. Existing HQs and Projects'!$A$9:$A$58, '16. Existing HQs and Projects'!$B$9:$Q$58))</f>
        <v>3</v>
      </c>
      <c r="L12" s="37">
        <f t="shared" si="0"/>
        <v>2.3916666666666666</v>
      </c>
      <c r="M12" s="37" cm="1">
        <f t="array" ref="M12">_xlfn.IFS(L12&lt;$L$58, 1, L12&gt;$L$59, 3, L12=$L$59, 3, L12&lt;$L$59, 2)</f>
        <v>3</v>
      </c>
      <c r="N12" s="422"/>
      <c r="O12" s="12"/>
    </row>
    <row r="13" spans="1:32">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20" cm="1">
        <f t="array" ref="E13">_xlfn.XLOOKUP($E$6, 'Metric Categories 1-14'!$B$7:$FM$7, _xlfn.XLOOKUP(A13, 'Metric Categories 1-14'!$A$8:$A$57, 'Metric Categories 1-14'!$B$8:$FM$57))</f>
        <v>3</v>
      </c>
      <c r="F13" s="35">
        <f t="shared" si="1"/>
        <v>1.4962499999999999</v>
      </c>
      <c r="G13" s="301" cm="1">
        <f t="array" ref="G13">_xlfn.IFS(F13&lt;$F$58, 1, F13&gt;$F$59, 3, F13&lt;$F$59, 2)</f>
        <v>3</v>
      </c>
      <c r="H13" s="20" cm="1">
        <f t="array" ref="H13">_xlfn.XLOOKUP($H$6, 'Metric Categories 1-14'!$B$7:$FM$7, _xlfn.XLOOKUP(A13, 'Metric Categories 1-14'!$A$8:$A$57, 'Metric Categories 1-14'!$B$8:$FM$57))</f>
        <v>1.25</v>
      </c>
      <c r="I13" s="20" cm="1">
        <f t="array" ref="I13">_xlfn.XLOOKUP($I$6, 'Metric Categories 1-14'!$B$7:$FM$7, _xlfn.XLOOKUP(A13, 'Metric Categories 1-14'!$A$8:$A$57, 'Metric Categories 1-14'!$B$8:$FM$57))</f>
        <v>0.99999999999999889</v>
      </c>
      <c r="J13" s="20" cm="1">
        <f t="array" ref="J13">_xlfn.XLOOKUP($J$6, '15. Workforce Calcs'!$B$8:$BG$8, _xlfn.XLOOKUP(A13, '15. Workforce Calcs'!$A$10:$A$59, '15. Workforce Calcs'!$B$10:$BG$59))</f>
        <v>1</v>
      </c>
      <c r="K13" s="20" cm="1">
        <f t="array" ref="K13">_xlfn.XLOOKUP($K$6, '16. Existing HQs and Projects'!$B$8:$Q$8, _xlfn.XLOOKUP(A13,'16. Existing HQs and Projects'!$A$9:$A$58, '16. Existing HQs and Projects'!$B$9:$Q$58))</f>
        <v>3</v>
      </c>
      <c r="L13" s="37">
        <f t="shared" si="0"/>
        <v>1.3249999999999997</v>
      </c>
      <c r="M13" s="37" cm="1">
        <f t="array" ref="M13">_xlfn.IFS(L13&lt;$L$58, 1, L13&gt;$L$59, 3, L13=$L$59, 3, L13&lt;$L$59, 2)</f>
        <v>1</v>
      </c>
      <c r="N13" s="12"/>
      <c r="O13" s="12"/>
    </row>
    <row r="14" spans="1:32">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20" cm="1">
        <f t="array" ref="E14">_xlfn.XLOOKUP($E$6, 'Metric Categories 1-14'!$B$7:$FM$7, _xlfn.XLOOKUP(A14, 'Metric Categories 1-14'!$A$8:$A$57, 'Metric Categories 1-14'!$B$8:$FM$57))</f>
        <v>3</v>
      </c>
      <c r="F14" s="35">
        <f t="shared" si="1"/>
        <v>1.3962499999999998</v>
      </c>
      <c r="G14" s="301" cm="1">
        <f t="array" ref="G14">_xlfn.IFS(F14&lt;$F$58, 1, F14&gt;$F$59, 3, F14&lt;$F$59, 2)</f>
        <v>3</v>
      </c>
      <c r="H14" s="20" cm="1">
        <f t="array" ref="H14">_xlfn.XLOOKUP($H$6, 'Metric Categories 1-14'!$B$7:$FM$7, _xlfn.XLOOKUP(A14, 'Metric Categories 1-14'!$A$8:$A$57, 'Metric Categories 1-14'!$B$8:$FM$57))</f>
        <v>1.25</v>
      </c>
      <c r="I14" s="20" cm="1">
        <f t="array" ref="I14">_xlfn.XLOOKUP($I$6, 'Metric Categories 1-14'!$B$7:$FM$7, _xlfn.XLOOKUP(A14, 'Metric Categories 1-14'!$A$8:$A$57, 'Metric Categories 1-14'!$B$8:$FM$57))</f>
        <v>0.99999999999999889</v>
      </c>
      <c r="J14" s="20" cm="1">
        <f t="array" ref="J14">_xlfn.XLOOKUP($J$6, '15. Workforce Calcs'!$B$8:$BG$8, _xlfn.XLOOKUP(A14, '15. Workforce Calcs'!$A$10:$A$59, '15. Workforce Calcs'!$B$10:$BG$59))</f>
        <v>1</v>
      </c>
      <c r="K14" s="20" cm="1">
        <f t="array" ref="K14">_xlfn.XLOOKUP($K$6, '16. Existing HQs and Projects'!$B$8:$Q$8, _xlfn.XLOOKUP(A14,'16. Existing HQs and Projects'!$A$9:$A$58, '16. Existing HQs and Projects'!$B$9:$Q$58))</f>
        <v>1</v>
      </c>
      <c r="L14" s="37">
        <f t="shared" si="0"/>
        <v>1.1249999999999998</v>
      </c>
      <c r="M14" s="37" cm="1">
        <f t="array" ref="M14">_xlfn.IFS(L14&lt;$L$58, 1, L14&gt;$L$59, 3, L14=$L$59, 3, L14&lt;$L$59, 2)</f>
        <v>1</v>
      </c>
      <c r="N14" s="12"/>
    </row>
    <row r="15" spans="1:32">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20" cm="1">
        <f t="array" ref="E15">_xlfn.XLOOKUP($E$6, 'Metric Categories 1-14'!$B$7:$FM$7, _xlfn.XLOOKUP(A15, 'Metric Categories 1-14'!$A$8:$A$57, 'Metric Categories 1-14'!$B$8:$FM$57))</f>
        <v>2.75</v>
      </c>
      <c r="F15" s="35">
        <f t="shared" si="1"/>
        <v>1.1274999999999999</v>
      </c>
      <c r="G15" s="301" cm="1">
        <f t="array" ref="G15">_xlfn.IFS(F15&lt;$F$58, 1, F15&gt;$F$59, 3, F15&lt;$F$59, 2)</f>
        <v>2</v>
      </c>
      <c r="H15" s="20" cm="1">
        <f t="array" ref="H15">_xlfn.XLOOKUP($H$6, 'Metric Categories 1-14'!$B$7:$FM$7, _xlfn.XLOOKUP(A15, 'Metric Categories 1-14'!$A$8:$A$57, 'Metric Categories 1-14'!$B$8:$FM$57))</f>
        <v>2.6500000000000004</v>
      </c>
      <c r="I15" s="20" cm="1">
        <f t="array" ref="I15">_xlfn.XLOOKUP($I$6, 'Metric Categories 1-14'!$B$7:$FM$7, _xlfn.XLOOKUP(A15, 'Metric Categories 1-14'!$A$8:$A$57, 'Metric Categories 1-14'!$B$8:$FM$57))</f>
        <v>1.9999999999999978</v>
      </c>
      <c r="J15" s="20" cm="1">
        <f t="array" ref="J15">_xlfn.XLOOKUP($J$6, '15. Workforce Calcs'!$B$8:$BG$8, _xlfn.XLOOKUP(A15, '15. Workforce Calcs'!$A$10:$A$59, '15. Workforce Calcs'!$B$10:$BG$59))</f>
        <v>3</v>
      </c>
      <c r="K15" s="20" cm="1">
        <f t="array" ref="K15">_xlfn.XLOOKUP($K$6, '16. Existing HQs and Projects'!$B$8:$Q$8, _xlfn.XLOOKUP(A15,'16. Existing HQs and Projects'!$A$9:$A$58, '16. Existing HQs and Projects'!$B$9:$Q$58))</f>
        <v>1</v>
      </c>
      <c r="L15" s="37">
        <f t="shared" si="0"/>
        <v>2.4249999999999998</v>
      </c>
      <c r="M15" s="37" cm="1">
        <f t="array" ref="M15">_xlfn.IFS(L15&lt;$L$58, 1, L15&gt;$L$59, 3, L15=$L$59, 3, L15&lt;$L$59, 2)</f>
        <v>3</v>
      </c>
      <c r="N15" s="12"/>
    </row>
    <row r="16" spans="1:32">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20" cm="1">
        <f t="array" ref="E16">_xlfn.XLOOKUP($E$6, 'Metric Categories 1-14'!$B$7:$FM$7, _xlfn.XLOOKUP(A16, 'Metric Categories 1-14'!$A$8:$A$57, 'Metric Categories 1-14'!$B$8:$FM$57))</f>
        <v>3</v>
      </c>
      <c r="F16" s="35">
        <f t="shared" si="1"/>
        <v>0.93999999999999984</v>
      </c>
      <c r="G16" s="301" cm="1">
        <f t="array" ref="G16">_xlfn.IFS(F16&lt;$F$58, 1, F16&gt;$F$59, 3, F16&lt;$F$59, 2)</f>
        <v>2</v>
      </c>
      <c r="H16" s="20" cm="1">
        <f t="array" ref="H16">_xlfn.XLOOKUP($H$6, 'Metric Categories 1-14'!$B$7:$FM$7, _xlfn.XLOOKUP(A16, 'Metric Categories 1-14'!$A$8:$A$57, 'Metric Categories 1-14'!$B$8:$FM$57))</f>
        <v>2.1500000000000004</v>
      </c>
      <c r="I16" s="20" cm="1">
        <f t="array" ref="I16">_xlfn.XLOOKUP($I$6, 'Metric Categories 1-14'!$B$7:$FM$7, _xlfn.XLOOKUP(A16, 'Metric Categories 1-14'!$A$8:$A$57, 'Metric Categories 1-14'!$B$8:$FM$57))</f>
        <v>1.666666666666665</v>
      </c>
      <c r="J16" s="20" cm="1">
        <f t="array" ref="J16">_xlfn.XLOOKUP($J$6, '15. Workforce Calcs'!$B$8:$BG$8, _xlfn.XLOOKUP(A16, '15. Workforce Calcs'!$A$10:$A$59, '15. Workforce Calcs'!$B$10:$BG$59))</f>
        <v>3</v>
      </c>
      <c r="K16" s="20" cm="1">
        <f t="array" ref="K16">_xlfn.XLOOKUP($K$6, '16. Existing HQs and Projects'!$B$8:$Q$8, _xlfn.XLOOKUP(A16,'16. Existing HQs and Projects'!$A$9:$A$58, '16. Existing HQs and Projects'!$B$9:$Q$58))</f>
        <v>3</v>
      </c>
      <c r="L16" s="37">
        <f t="shared" si="0"/>
        <v>2.3083333333333336</v>
      </c>
      <c r="M16" s="37" cm="1">
        <f t="array" ref="M16">_xlfn.IFS(L16&lt;$L$58, 1, L16&gt;$L$59, 3, L16=$L$59, 3, L16&lt;$L$59, 2)</f>
        <v>3</v>
      </c>
      <c r="N16" s="12"/>
    </row>
    <row r="17" spans="1:15">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20" cm="1">
        <f t="array" ref="E17">_xlfn.XLOOKUP($E$6, 'Metric Categories 1-14'!$B$7:$FM$7, _xlfn.XLOOKUP(A17, 'Metric Categories 1-14'!$A$8:$A$57, 'Metric Categories 1-14'!$B$8:$FM$57))</f>
        <v>2</v>
      </c>
      <c r="F17" s="35">
        <f t="shared" si="1"/>
        <v>1.4124999999999999</v>
      </c>
      <c r="G17" s="301" cm="1">
        <f t="array" ref="G17">_xlfn.IFS(F17&lt;$F$58, 1, F17&gt;$F$59, 3, F17&lt;$F$59, 2)</f>
        <v>3</v>
      </c>
      <c r="H17" s="20" cm="1">
        <f t="array" ref="H17">_xlfn.XLOOKUP($H$6, 'Metric Categories 1-14'!$B$7:$FM$7, _xlfn.XLOOKUP(A17, 'Metric Categories 1-14'!$A$8:$A$57, 'Metric Categories 1-14'!$B$8:$FM$57))</f>
        <v>1.25</v>
      </c>
      <c r="I17" s="20" cm="1">
        <f t="array" ref="I17">_xlfn.XLOOKUP($I$6, 'Metric Categories 1-14'!$B$7:$FM$7, _xlfn.XLOOKUP(A17, 'Metric Categories 1-14'!$A$8:$A$57, 'Metric Categories 1-14'!$B$8:$FM$57))</f>
        <v>1.3333333333333319</v>
      </c>
      <c r="J17" s="20" cm="1">
        <f t="array" ref="J17">_xlfn.XLOOKUP($J$6, '15. Workforce Calcs'!$B$8:$BG$8, _xlfn.XLOOKUP(A17, '15. Workforce Calcs'!$A$10:$A$59, '15. Workforce Calcs'!$B$10:$BG$59))</f>
        <v>1</v>
      </c>
      <c r="K17" s="20" cm="1">
        <f t="array" ref="K17">_xlfn.XLOOKUP($K$6, '16. Existing HQs and Projects'!$B$8:$Q$8, _xlfn.XLOOKUP(A17,'16. Existing HQs and Projects'!$A$9:$A$58, '16. Existing HQs and Projects'!$B$9:$Q$58))</f>
        <v>1</v>
      </c>
      <c r="L17" s="37">
        <f t="shared" si="0"/>
        <v>1.1916666666666664</v>
      </c>
      <c r="M17" s="37" cm="1">
        <f t="array" ref="M17">_xlfn.IFS(L17&lt;$L$58, 1, L17&gt;$L$59, 3, L17=$L$59, 3, L17&lt;$L$59, 2)</f>
        <v>1</v>
      </c>
    </row>
    <row r="18" spans="1:15">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20" cm="1">
        <f t="array" ref="E18">_xlfn.XLOOKUP($E$6, 'Metric Categories 1-14'!$B$7:$FM$7, _xlfn.XLOOKUP(A18, 'Metric Categories 1-14'!$A$8:$A$57, 'Metric Categories 1-14'!$B$8:$FM$57))</f>
        <v>2.75</v>
      </c>
      <c r="F18" s="35">
        <f t="shared" si="1"/>
        <v>0.93999999999999984</v>
      </c>
      <c r="G18" s="301" cm="1">
        <f t="array" ref="G18">_xlfn.IFS(F18&lt;$F$58, 1, F18&gt;$F$59, 3, F18&lt;$F$59, 2)</f>
        <v>2</v>
      </c>
      <c r="H18" s="20" cm="1">
        <f t="array" ref="H18">_xlfn.XLOOKUP($H$6, 'Metric Categories 1-14'!$B$7:$FM$7, _xlfn.XLOOKUP(A18, 'Metric Categories 1-14'!$A$8:$A$57, 'Metric Categories 1-14'!$B$8:$FM$57))</f>
        <v>2.25</v>
      </c>
      <c r="I18" s="20" cm="1">
        <f t="array" ref="I18">_xlfn.XLOOKUP($I$6, 'Metric Categories 1-14'!$B$7:$FM$7, _xlfn.XLOOKUP(A18, 'Metric Categories 1-14'!$A$8:$A$57, 'Metric Categories 1-14'!$B$8:$FM$57))</f>
        <v>1.666666666666665</v>
      </c>
      <c r="J18" s="20" cm="1">
        <f t="array" ref="J18">_xlfn.XLOOKUP($J$6, '15. Workforce Calcs'!$B$8:$BG$8, _xlfn.XLOOKUP(A18, '15. Workforce Calcs'!$A$10:$A$59, '15. Workforce Calcs'!$B$10:$BG$59))</f>
        <v>1</v>
      </c>
      <c r="K18" s="20" cm="1">
        <f t="array" ref="K18">_xlfn.XLOOKUP($K$6, '16. Existing HQs and Projects'!$B$8:$Q$8, _xlfn.XLOOKUP(A18,'16. Existing HQs and Projects'!$A$9:$A$58, '16. Existing HQs and Projects'!$B$9:$Q$58))</f>
        <v>3</v>
      </c>
      <c r="L18" s="37">
        <f t="shared" si="0"/>
        <v>1.958333333333333</v>
      </c>
      <c r="M18" s="37" cm="1">
        <f t="array" ref="M18">_xlfn.IFS(L18&lt;$L$58, 1, L18&gt;$L$59, 3, L18=$L$59, 3, L18&lt;$L$59, 2)</f>
        <v>2</v>
      </c>
    </row>
    <row r="19" spans="1:15">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20" cm="1">
        <f t="array" ref="E19">_xlfn.XLOOKUP($E$6, 'Metric Categories 1-14'!$B$7:$FM$7, _xlfn.XLOOKUP(A19, 'Metric Categories 1-14'!$A$8:$A$57, 'Metric Categories 1-14'!$B$8:$FM$57))</f>
        <v>3</v>
      </c>
      <c r="F19" s="35">
        <f t="shared" si="1"/>
        <v>1.3349999999999997</v>
      </c>
      <c r="G19" s="301" cm="1">
        <f t="array" ref="G19">_xlfn.IFS(F19&lt;$F$58, 1, F19&gt;$F$59, 3, F19&lt;$F$59, 2)</f>
        <v>3</v>
      </c>
      <c r="H19" s="20" cm="1">
        <f t="array" ref="H19">_xlfn.XLOOKUP($H$6, 'Metric Categories 1-14'!$B$7:$FM$7, _xlfn.XLOOKUP(A19, 'Metric Categories 1-14'!$A$8:$A$57, 'Metric Categories 1-14'!$B$8:$FM$57))</f>
        <v>2.2999999999999998</v>
      </c>
      <c r="I19" s="20" cm="1">
        <f t="array" ref="I19">_xlfn.XLOOKUP($I$6, 'Metric Categories 1-14'!$B$7:$FM$7, _xlfn.XLOOKUP(A19, 'Metric Categories 1-14'!$A$8:$A$57, 'Metric Categories 1-14'!$B$8:$FM$57))</f>
        <v>2.9999999999999964</v>
      </c>
      <c r="J19" s="20" cm="1">
        <f t="array" ref="J19">_xlfn.XLOOKUP($J$6, '15. Workforce Calcs'!$B$8:$BG$8, _xlfn.XLOOKUP(A19, '15. Workforce Calcs'!$A$10:$A$59, '15. Workforce Calcs'!$B$10:$BG$59))</f>
        <v>3</v>
      </c>
      <c r="K19" s="20" cm="1">
        <f t="array" ref="K19">_xlfn.XLOOKUP($K$6, '16. Existing HQs and Projects'!$B$8:$Q$8, _xlfn.XLOOKUP(A19,'16. Existing HQs and Projects'!$A$9:$A$58, '16. Existing HQs and Projects'!$B$9:$Q$58))</f>
        <v>1</v>
      </c>
      <c r="L19" s="37">
        <f t="shared" si="0"/>
        <v>2.4499999999999993</v>
      </c>
      <c r="M19" s="37" cm="1">
        <f t="array" ref="M19">_xlfn.IFS(L19&lt;$L$58, 1, L19&gt;$L$59, 3, L19=$L$59, 3, L19&lt;$L$59, 2)</f>
        <v>3</v>
      </c>
    </row>
    <row r="20" spans="1:15">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20" cm="1">
        <f t="array" ref="E20">_xlfn.XLOOKUP($E$6, 'Metric Categories 1-14'!$B$7:$FM$7, _xlfn.XLOOKUP(A20, 'Metric Categories 1-14'!$A$8:$A$57, 'Metric Categories 1-14'!$B$8:$FM$57))</f>
        <v>2.25</v>
      </c>
      <c r="F20" s="35">
        <f t="shared" si="1"/>
        <v>0.93999999999999984</v>
      </c>
      <c r="G20" s="301" cm="1">
        <f t="array" ref="G20">_xlfn.IFS(F20&lt;$F$58, 1, F20&gt;$F$59, 3, F20&lt;$F$59, 2)</f>
        <v>2</v>
      </c>
      <c r="H20" s="20" cm="1">
        <f t="array" ref="H20">_xlfn.XLOOKUP($H$6, 'Metric Categories 1-14'!$B$7:$FM$7, _xlfn.XLOOKUP(A20, 'Metric Categories 1-14'!$A$8:$A$57, 'Metric Categories 1-14'!$B$8:$FM$57))</f>
        <v>2.2999999999999998</v>
      </c>
      <c r="I20" s="20" cm="1">
        <f t="array" ref="I20">_xlfn.XLOOKUP($I$6, 'Metric Categories 1-14'!$B$7:$FM$7, _xlfn.XLOOKUP(A20, 'Metric Categories 1-14'!$A$8:$A$57, 'Metric Categories 1-14'!$B$8:$FM$57))</f>
        <v>2.9999999999999964</v>
      </c>
      <c r="J20" s="20" cm="1">
        <f t="array" ref="J20">_xlfn.XLOOKUP($J$6, '15. Workforce Calcs'!$B$8:$BG$8, _xlfn.XLOOKUP(A20, '15. Workforce Calcs'!$A$10:$A$59, '15. Workforce Calcs'!$B$10:$BG$59))</f>
        <v>3</v>
      </c>
      <c r="K20" s="20" cm="1">
        <f t="array" ref="K20">_xlfn.XLOOKUP($K$6, '16. Existing HQs and Projects'!$B$8:$Q$8, _xlfn.XLOOKUP(A20,'16. Existing HQs and Projects'!$A$9:$A$58, '16. Existing HQs and Projects'!$B$9:$Q$58))</f>
        <v>1</v>
      </c>
      <c r="L20" s="37">
        <f t="shared" si="0"/>
        <v>2.4499999999999993</v>
      </c>
      <c r="M20" s="37" cm="1">
        <f t="array" ref="M20">_xlfn.IFS(L20&lt;$L$58, 1, L20&gt;$L$59, 3, L20=$L$59, 3, L20&lt;$L$59, 2)</f>
        <v>3</v>
      </c>
    </row>
    <row r="21" spans="1:15">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20" cm="1">
        <f t="array" ref="E21">_xlfn.XLOOKUP($E$6, 'Metric Categories 1-14'!$B$7:$FM$7, _xlfn.XLOOKUP(A21, 'Metric Categories 1-14'!$A$8:$A$57, 'Metric Categories 1-14'!$B$8:$FM$57))</f>
        <v>2</v>
      </c>
      <c r="F21" s="35">
        <f t="shared" si="1"/>
        <v>1.0249999999999997</v>
      </c>
      <c r="G21" s="301" cm="1">
        <f t="array" ref="G21">_xlfn.IFS(F21&lt;$F$58, 1, F21&gt;$F$59, 3, F21&lt;$F$59, 2)</f>
        <v>2</v>
      </c>
      <c r="H21" s="20" cm="1">
        <f t="array" ref="H21">_xlfn.XLOOKUP($H$6, 'Metric Categories 1-14'!$B$7:$FM$7, _xlfn.XLOOKUP(A21, 'Metric Categories 1-14'!$A$8:$A$57, 'Metric Categories 1-14'!$B$8:$FM$57))</f>
        <v>2.0999999999999996</v>
      </c>
      <c r="I21" s="20" cm="1">
        <f t="array" ref="I21">_xlfn.XLOOKUP($I$6, 'Metric Categories 1-14'!$B$7:$FM$7, _xlfn.XLOOKUP(A21, 'Metric Categories 1-14'!$A$8:$A$57, 'Metric Categories 1-14'!$B$8:$FM$57))</f>
        <v>1.666666666666665</v>
      </c>
      <c r="J21" s="20" cm="1">
        <f t="array" ref="J21">_xlfn.XLOOKUP($J$6, '15. Workforce Calcs'!$B$8:$BG$8, _xlfn.XLOOKUP(A21, '15. Workforce Calcs'!$A$10:$A$59, '15. Workforce Calcs'!$B$10:$BG$59))</f>
        <v>2</v>
      </c>
      <c r="K21" s="20" cm="1">
        <f t="array" ref="K21">_xlfn.XLOOKUP($K$6, '16. Existing HQs and Projects'!$B$8:$Q$8, _xlfn.XLOOKUP(A21,'16. Existing HQs and Projects'!$A$9:$A$58, '16. Existing HQs and Projects'!$B$9:$Q$58))</f>
        <v>3</v>
      </c>
      <c r="L21" s="37">
        <f t="shared" si="0"/>
        <v>2.083333333333333</v>
      </c>
      <c r="M21" s="37" cm="1">
        <f t="array" ref="M21">_xlfn.IFS(L21&lt;$L$58, 1, L21&gt;$L$59, 3, L21=$L$59, 3, L21&lt;$L$59, 2)</f>
        <v>2</v>
      </c>
    </row>
    <row r="22" spans="1:15">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20" cm="1">
        <f t="array" ref="E22">_xlfn.XLOOKUP($E$6, 'Metric Categories 1-14'!$B$7:$FM$7, _xlfn.XLOOKUP(A22, 'Metric Categories 1-14'!$A$8:$A$57, 'Metric Categories 1-14'!$B$8:$FM$57))</f>
        <v>3</v>
      </c>
      <c r="F22" s="35">
        <f t="shared" si="1"/>
        <v>0.77999999999999992</v>
      </c>
      <c r="G22" s="301" cm="1">
        <f t="array" ref="G22">_xlfn.IFS(F22&lt;$F$58, 1, F22&gt;$F$59, 3, F22&lt;$F$59, 2)</f>
        <v>1</v>
      </c>
      <c r="H22" s="20" cm="1">
        <f t="array" ref="H22">_xlfn.XLOOKUP($H$6, 'Metric Categories 1-14'!$B$7:$FM$7, _xlfn.XLOOKUP(A22, 'Metric Categories 1-14'!$A$8:$A$57, 'Metric Categories 1-14'!$B$8:$FM$57))</f>
        <v>2.3499999999999996</v>
      </c>
      <c r="I22" s="20" cm="1">
        <f t="array" ref="I22">_xlfn.XLOOKUP($I$6, 'Metric Categories 1-14'!$B$7:$FM$7, _xlfn.XLOOKUP(A22, 'Metric Categories 1-14'!$A$8:$A$57, 'Metric Categories 1-14'!$B$8:$FM$57))</f>
        <v>2.6666666666666634</v>
      </c>
      <c r="J22" s="20" cm="1">
        <f t="array" ref="J22">_xlfn.XLOOKUP($J$6, '15. Workforce Calcs'!$B$8:$BG$8, _xlfn.XLOOKUP(A22, '15. Workforce Calcs'!$A$10:$A$59, '15. Workforce Calcs'!$B$10:$BG$59))</f>
        <v>1</v>
      </c>
      <c r="K22" s="20" cm="1">
        <f t="array" ref="K22">_xlfn.XLOOKUP($K$6, '16. Existing HQs and Projects'!$B$8:$Q$8, _xlfn.XLOOKUP(A22,'16. Existing HQs and Projects'!$A$9:$A$58, '16. Existing HQs and Projects'!$B$9:$Q$58))</f>
        <v>1</v>
      </c>
      <c r="L22" s="37">
        <f t="shared" si="0"/>
        <v>2.0083333333333324</v>
      </c>
      <c r="M22" s="37" cm="1">
        <f t="array" ref="M22">_xlfn.IFS(L22&lt;$L$58, 1, L22&gt;$L$59, 3, L22=$L$59, 3, L22&lt;$L$59, 2)</f>
        <v>2</v>
      </c>
      <c r="N22" s="6"/>
      <c r="O22" s="6"/>
    </row>
    <row r="23" spans="1:15">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20" cm="1">
        <f t="array" ref="E23">_xlfn.XLOOKUP($E$6, 'Metric Categories 1-14'!$B$7:$FM$7, _xlfn.XLOOKUP(A23, 'Metric Categories 1-14'!$A$8:$A$57, 'Metric Categories 1-14'!$B$8:$FM$57))</f>
        <v>2.25</v>
      </c>
      <c r="F23" s="35">
        <f t="shared" si="1"/>
        <v>1.1824999999999999</v>
      </c>
      <c r="G23" s="301" cm="1">
        <f t="array" ref="G23">_xlfn.IFS(F23&lt;$F$58, 1, F23&gt;$F$59, 3, F23&lt;$F$59, 2)</f>
        <v>2</v>
      </c>
      <c r="H23" s="20" cm="1">
        <f t="array" ref="H23">_xlfn.XLOOKUP($H$6, 'Metric Categories 1-14'!$B$7:$FM$7, _xlfn.XLOOKUP(A23, 'Metric Categories 1-14'!$A$8:$A$57, 'Metric Categories 1-14'!$B$8:$FM$57))</f>
        <v>2.2999999999999998</v>
      </c>
      <c r="I23" s="20" cm="1">
        <f t="array" ref="I23">_xlfn.XLOOKUP($I$6, 'Metric Categories 1-14'!$B$7:$FM$7, _xlfn.XLOOKUP(A23, 'Metric Categories 1-14'!$A$8:$A$57, 'Metric Categories 1-14'!$B$8:$FM$57))</f>
        <v>2.9999999999999964</v>
      </c>
      <c r="J23" s="20" cm="1">
        <f t="array" ref="J23">_xlfn.XLOOKUP($J$6, '15. Workforce Calcs'!$B$8:$BG$8, _xlfn.XLOOKUP(A23, '15. Workforce Calcs'!$A$10:$A$59, '15. Workforce Calcs'!$B$10:$BG$59))</f>
        <v>2</v>
      </c>
      <c r="K23" s="20" cm="1">
        <f t="array" ref="K23">_xlfn.XLOOKUP($K$6, '16. Existing HQs and Projects'!$B$8:$Q$8, _xlfn.XLOOKUP(A23,'16. Existing HQs and Projects'!$A$9:$A$58, '16. Existing HQs and Projects'!$B$9:$Q$58))</f>
        <v>1</v>
      </c>
      <c r="L23" s="37">
        <f t="shared" si="0"/>
        <v>2.2499999999999991</v>
      </c>
      <c r="M23" s="37" cm="1">
        <f t="array" ref="M23">_xlfn.IFS(L23&lt;$L$58, 1, L23&gt;$L$59, 3, L23=$L$59, 3, L23&lt;$L$59, 2)</f>
        <v>2</v>
      </c>
    </row>
    <row r="24" spans="1:15">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20" cm="1">
        <f t="array" ref="E24">_xlfn.XLOOKUP($E$6, 'Metric Categories 1-14'!$B$7:$FM$7, _xlfn.XLOOKUP(A24, 'Metric Categories 1-14'!$A$8:$A$57, 'Metric Categories 1-14'!$B$8:$FM$57))</f>
        <v>3</v>
      </c>
      <c r="F24" s="35">
        <f t="shared" si="1"/>
        <v>1.1949999999999998</v>
      </c>
      <c r="G24" s="301" cm="1">
        <f t="array" ref="G24">_xlfn.IFS(F24&lt;$F$58, 1, F24&gt;$F$59, 3, F24&lt;$F$59, 2)</f>
        <v>2</v>
      </c>
      <c r="H24" s="20" cm="1">
        <f t="array" ref="H24">_xlfn.XLOOKUP($H$6, 'Metric Categories 1-14'!$B$7:$FM$7, _xlfn.XLOOKUP(A24, 'Metric Categories 1-14'!$A$8:$A$57, 'Metric Categories 1-14'!$B$8:$FM$57))</f>
        <v>2.2000000000000002</v>
      </c>
      <c r="I24" s="20" cm="1">
        <f t="array" ref="I24">_xlfn.XLOOKUP($I$6, 'Metric Categories 1-14'!$B$7:$FM$7, _xlfn.XLOOKUP(A24, 'Metric Categories 1-14'!$A$8:$A$57, 'Metric Categories 1-14'!$B$8:$FM$57))</f>
        <v>2.3333333333333308</v>
      </c>
      <c r="J24" s="20" cm="1">
        <f t="array" ref="J24">_xlfn.XLOOKUP($J$6, '15. Workforce Calcs'!$B$8:$BG$8, _xlfn.XLOOKUP(A24, '15. Workforce Calcs'!$A$10:$A$59, '15. Workforce Calcs'!$B$10:$BG$59))</f>
        <v>3</v>
      </c>
      <c r="K24" s="20" cm="1">
        <f t="array" ref="K24">_xlfn.XLOOKUP($K$6, '16. Existing HQs and Projects'!$B$8:$Q$8, _xlfn.XLOOKUP(A24,'16. Existing HQs and Projects'!$A$9:$A$58, '16. Existing HQs and Projects'!$B$9:$Q$58))</f>
        <v>3</v>
      </c>
      <c r="L24" s="37">
        <f t="shared" si="0"/>
        <v>2.4666666666666659</v>
      </c>
      <c r="M24" s="37" cm="1">
        <f t="array" ref="M24">_xlfn.IFS(L24&lt;$L$58, 1, L24&gt;$L$59, 3, L24=$L$59, 3, L24&lt;$L$59, 2)</f>
        <v>3</v>
      </c>
    </row>
    <row r="25" spans="1:15">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20" cm="1">
        <f t="array" ref="E25">_xlfn.XLOOKUP($E$6, 'Metric Categories 1-14'!$B$7:$FM$7, _xlfn.XLOOKUP(A25, 'Metric Categories 1-14'!$A$8:$A$57, 'Metric Categories 1-14'!$B$8:$FM$57))</f>
        <v>3</v>
      </c>
      <c r="F25" s="35">
        <f t="shared" si="1"/>
        <v>1.4662499999999998</v>
      </c>
      <c r="G25" s="301" cm="1">
        <f t="array" ref="G25">_xlfn.IFS(F25&lt;$F$58, 1, F25&gt;$F$59, 3, F25&lt;$F$59, 2)</f>
        <v>3</v>
      </c>
      <c r="H25" s="20" cm="1">
        <f t="array" ref="H25">_xlfn.XLOOKUP($H$6, 'Metric Categories 1-14'!$B$7:$FM$7, _xlfn.XLOOKUP(A25, 'Metric Categories 1-14'!$A$8:$A$57, 'Metric Categories 1-14'!$B$8:$FM$57))</f>
        <v>1.2000000000000002</v>
      </c>
      <c r="I25" s="20" cm="1">
        <f t="array" ref="I25">_xlfn.XLOOKUP($I$6, 'Metric Categories 1-14'!$B$7:$FM$7, _xlfn.XLOOKUP(A25, 'Metric Categories 1-14'!$A$8:$A$57, 'Metric Categories 1-14'!$B$8:$FM$57))</f>
        <v>0.99999999999999889</v>
      </c>
      <c r="J25" s="20" cm="1">
        <f t="array" ref="J25">_xlfn.XLOOKUP($J$6, '15. Workforce Calcs'!$B$8:$BG$8, _xlfn.XLOOKUP(A25, '15. Workforce Calcs'!$A$10:$A$59, '15. Workforce Calcs'!$B$10:$BG$59))</f>
        <v>1</v>
      </c>
      <c r="K25" s="20" cm="1">
        <f t="array" ref="K25">_xlfn.XLOOKUP($K$6, '16. Existing HQs and Projects'!$B$8:$Q$8, _xlfn.XLOOKUP(A25,'16. Existing HQs and Projects'!$A$9:$A$58, '16. Existing HQs and Projects'!$B$9:$Q$58))</f>
        <v>1</v>
      </c>
      <c r="L25" s="37">
        <f t="shared" si="0"/>
        <v>1.0999999999999999</v>
      </c>
      <c r="M25" s="37" cm="1">
        <f t="array" ref="M25">_xlfn.IFS(L25&lt;$L$58, 1, L25&gt;$L$59, 3, L25=$L$59, 3, L25&lt;$L$59, 2)</f>
        <v>1</v>
      </c>
    </row>
    <row r="26" spans="1:15">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20" cm="1">
        <f t="array" ref="E26">_xlfn.XLOOKUP($E$6, 'Metric Categories 1-14'!$B$7:$FM$7, _xlfn.XLOOKUP(A26, 'Metric Categories 1-14'!$A$8:$A$57, 'Metric Categories 1-14'!$B$8:$FM$57))</f>
        <v>3</v>
      </c>
      <c r="F26" s="35">
        <f t="shared" si="1"/>
        <v>1.5162500000000001</v>
      </c>
      <c r="G26" s="301" cm="1">
        <f t="array" ref="G26">_xlfn.IFS(F26&lt;$F$58, 1, F26&gt;$F$59, 3, F26&lt;$F$59, 2)</f>
        <v>3</v>
      </c>
      <c r="H26" s="20" cm="1">
        <f t="array" ref="H26">_xlfn.XLOOKUP($H$6, 'Metric Categories 1-14'!$B$7:$FM$7, _xlfn.XLOOKUP(A26, 'Metric Categories 1-14'!$A$8:$A$57, 'Metric Categories 1-14'!$B$8:$FM$57))</f>
        <v>2</v>
      </c>
      <c r="I26" s="20" cm="1">
        <f t="array" ref="I26">_xlfn.XLOOKUP($I$6, 'Metric Categories 1-14'!$B$7:$FM$7, _xlfn.XLOOKUP(A26, 'Metric Categories 1-14'!$A$8:$A$57, 'Metric Categories 1-14'!$B$8:$FM$57))</f>
        <v>1.666666666666665</v>
      </c>
      <c r="J26" s="20" cm="1">
        <f t="array" ref="J26">_xlfn.XLOOKUP($J$6, '15. Workforce Calcs'!$B$8:$BG$8, _xlfn.XLOOKUP(A26, '15. Workforce Calcs'!$A$10:$A$59, '15. Workforce Calcs'!$B$10:$BG$59))</f>
        <v>2</v>
      </c>
      <c r="K26" s="20" cm="1">
        <f t="array" ref="K26">_xlfn.XLOOKUP($K$6, '16. Existing HQs and Projects'!$B$8:$Q$8, _xlfn.XLOOKUP(A26,'16. Existing HQs and Projects'!$A$9:$A$58, '16. Existing HQs and Projects'!$B$9:$Q$58))</f>
        <v>3</v>
      </c>
      <c r="L26" s="37">
        <f t="shared" si="0"/>
        <v>2.0333333333333332</v>
      </c>
      <c r="M26" s="37" cm="1">
        <f t="array" ref="M26">_xlfn.IFS(L26&lt;$L$58, 1, L26&gt;$L$59, 3, L26=$L$59, 3, L26&lt;$L$59, 2)</f>
        <v>2</v>
      </c>
    </row>
    <row r="27" spans="1:15">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20" cm="1">
        <f t="array" ref="E27">_xlfn.XLOOKUP($E$6, 'Metric Categories 1-14'!$B$7:$FM$7, _xlfn.XLOOKUP(A27, 'Metric Categories 1-14'!$A$8:$A$57, 'Metric Categories 1-14'!$B$8:$FM$57))</f>
        <v>3</v>
      </c>
      <c r="F27" s="35">
        <f t="shared" si="1"/>
        <v>1.7362499999999998</v>
      </c>
      <c r="G27" s="301" cm="1">
        <f t="array" ref="G27">_xlfn.IFS(F27&lt;$F$58, 1, F27&gt;$F$59, 3, F27&lt;$F$59, 2)</f>
        <v>3</v>
      </c>
      <c r="H27" s="20" cm="1">
        <f t="array" ref="H27">_xlfn.XLOOKUP($H$6, 'Metric Categories 1-14'!$B$7:$FM$7, _xlfn.XLOOKUP(A27, 'Metric Categories 1-14'!$A$8:$A$57, 'Metric Categories 1-14'!$B$8:$FM$57))</f>
        <v>1.65</v>
      </c>
      <c r="I27" s="20" cm="1">
        <f t="array" ref="I27">_xlfn.XLOOKUP($I$6, 'Metric Categories 1-14'!$B$7:$FM$7, _xlfn.XLOOKUP(A27, 'Metric Categories 1-14'!$A$8:$A$57, 'Metric Categories 1-14'!$B$8:$FM$57))</f>
        <v>0.99999999999999889</v>
      </c>
      <c r="J27" s="20" cm="1">
        <f t="array" ref="J27">_xlfn.XLOOKUP($J$6, '15. Workforce Calcs'!$B$8:$BG$8, _xlfn.XLOOKUP(A27, '15. Workforce Calcs'!$A$10:$A$59, '15. Workforce Calcs'!$B$10:$BG$59))</f>
        <v>2</v>
      </c>
      <c r="K27" s="20" cm="1">
        <f t="array" ref="K27">_xlfn.XLOOKUP($K$6, '16. Existing HQs and Projects'!$B$8:$Q$8, _xlfn.XLOOKUP(A27,'16. Existing HQs and Projects'!$A$9:$A$58, '16. Existing HQs and Projects'!$B$9:$Q$58))</f>
        <v>1</v>
      </c>
      <c r="L27" s="37">
        <f t="shared" si="0"/>
        <v>1.5249999999999999</v>
      </c>
      <c r="M27" s="37" cm="1">
        <f t="array" ref="M27">_xlfn.IFS(L27&lt;$L$58, 1, L27&gt;$L$59, 3, L27=$L$59, 3, L27&lt;$L$59, 2)</f>
        <v>1</v>
      </c>
    </row>
    <row r="28" spans="1:15">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20" cm="1">
        <f t="array" ref="E28">_xlfn.XLOOKUP($E$6, 'Metric Categories 1-14'!$B$7:$FM$7, _xlfn.XLOOKUP(A28, 'Metric Categories 1-14'!$A$8:$A$57, 'Metric Categories 1-14'!$B$8:$FM$57))</f>
        <v>2.25</v>
      </c>
      <c r="F28" s="35">
        <f t="shared" si="1"/>
        <v>1.3074999999999999</v>
      </c>
      <c r="G28" s="301" cm="1">
        <f t="array" ref="G28">_xlfn.IFS(F28&lt;$F$58, 1, F28&gt;$F$59, 3, F28&lt;$F$59, 2)</f>
        <v>2</v>
      </c>
      <c r="H28" s="20" cm="1">
        <f t="array" ref="H28">_xlfn.XLOOKUP($H$6, 'Metric Categories 1-14'!$B$7:$FM$7, _xlfn.XLOOKUP(A28, 'Metric Categories 1-14'!$A$8:$A$57, 'Metric Categories 1-14'!$B$8:$FM$57))</f>
        <v>2.75</v>
      </c>
      <c r="I28" s="20" cm="1">
        <f t="array" ref="I28">_xlfn.XLOOKUP($I$6, 'Metric Categories 1-14'!$B$7:$FM$7, _xlfn.XLOOKUP(A28, 'Metric Categories 1-14'!$A$8:$A$57, 'Metric Categories 1-14'!$B$8:$FM$57))</f>
        <v>2.6666666666666634</v>
      </c>
      <c r="J28" s="20" cm="1">
        <f t="array" ref="J28">_xlfn.XLOOKUP($J$6, '15. Workforce Calcs'!$B$8:$BG$8, _xlfn.XLOOKUP(A28, '15. Workforce Calcs'!$A$10:$A$59, '15. Workforce Calcs'!$B$10:$BG$59))</f>
        <v>3</v>
      </c>
      <c r="K28" s="20" cm="1">
        <f t="array" ref="K28">_xlfn.XLOOKUP($K$6, '16. Existing HQs and Projects'!$B$8:$Q$8, _xlfn.XLOOKUP(A28,'16. Existing HQs and Projects'!$A$9:$A$58, '16. Existing HQs and Projects'!$B$9:$Q$58))</f>
        <v>1</v>
      </c>
      <c r="L28" s="37">
        <f t="shared" si="0"/>
        <v>2.6083333333333329</v>
      </c>
      <c r="M28" s="37" cm="1">
        <f t="array" ref="M28">_xlfn.IFS(L28&lt;$L$58, 1, L28&gt;$L$59, 3, L28=$L$59, 3, L28&lt;$L$59, 2)</f>
        <v>3</v>
      </c>
    </row>
    <row r="29" spans="1:15">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20" cm="1">
        <f t="array" ref="E29">_xlfn.XLOOKUP($E$6, 'Metric Categories 1-14'!$B$7:$FM$7, _xlfn.XLOOKUP(A29, 'Metric Categories 1-14'!$A$8:$A$57, 'Metric Categories 1-14'!$B$8:$FM$57))</f>
        <v>2</v>
      </c>
      <c r="F29" s="35">
        <f t="shared" si="1"/>
        <v>1.5699999999999998</v>
      </c>
      <c r="G29" s="301" cm="1">
        <f t="array" ref="G29">_xlfn.IFS(F29&lt;$F$58, 1, F29&gt;$F$59, 3, F29&lt;$F$59, 2)</f>
        <v>3</v>
      </c>
      <c r="H29" s="20" cm="1">
        <f t="array" ref="H29">_xlfn.XLOOKUP($H$6, 'Metric Categories 1-14'!$B$7:$FM$7, _xlfn.XLOOKUP(A29, 'Metric Categories 1-14'!$A$8:$A$57, 'Metric Categories 1-14'!$B$8:$FM$57))</f>
        <v>2.75</v>
      </c>
      <c r="I29" s="20" cm="1">
        <f t="array" ref="I29">_xlfn.XLOOKUP($I$6, 'Metric Categories 1-14'!$B$7:$FM$7, _xlfn.XLOOKUP(A29, 'Metric Categories 1-14'!$A$8:$A$57, 'Metric Categories 1-14'!$B$8:$FM$57))</f>
        <v>1.3333333333333319</v>
      </c>
      <c r="J29" s="20" cm="1">
        <f t="array" ref="J29">_xlfn.XLOOKUP($J$6, '15. Workforce Calcs'!$B$8:$BG$8, _xlfn.XLOOKUP(A29, '15. Workforce Calcs'!$A$10:$A$59, '15. Workforce Calcs'!$B$10:$BG$59))</f>
        <v>2</v>
      </c>
      <c r="K29" s="20" cm="1">
        <f t="array" ref="K29">_xlfn.XLOOKUP($K$6, '16. Existing HQs and Projects'!$B$8:$Q$8, _xlfn.XLOOKUP(A29,'16. Existing HQs and Projects'!$A$9:$A$58, '16. Existing HQs and Projects'!$B$9:$Q$58))</f>
        <v>3</v>
      </c>
      <c r="L29" s="37">
        <f t="shared" si="0"/>
        <v>2.3416666666666668</v>
      </c>
      <c r="M29" s="37" cm="1">
        <f t="array" ref="M29">_xlfn.IFS(L29&lt;$L$58, 1, L29&gt;$L$59, 3, L29=$L$59, 3, L29&lt;$L$59, 2)</f>
        <v>3</v>
      </c>
    </row>
    <row r="30" spans="1:15">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20" cm="1">
        <f t="array" ref="E30">_xlfn.XLOOKUP($E$6, 'Metric Categories 1-14'!$B$7:$FM$7, _xlfn.XLOOKUP(A30, 'Metric Categories 1-14'!$A$8:$A$57, 'Metric Categories 1-14'!$B$8:$FM$57))</f>
        <v>3</v>
      </c>
      <c r="F30" s="35">
        <f t="shared" si="1"/>
        <v>0.87999999999999989</v>
      </c>
      <c r="G30" s="301" cm="1">
        <f t="array" ref="G30">_xlfn.IFS(F30&lt;$F$58, 1, F30&gt;$F$59, 3, F30&lt;$F$59, 2)</f>
        <v>1</v>
      </c>
      <c r="H30" s="20" cm="1">
        <f t="array" ref="H30">_xlfn.XLOOKUP($H$6, 'Metric Categories 1-14'!$B$7:$FM$7, _xlfn.XLOOKUP(A30, 'Metric Categories 1-14'!$A$8:$A$57, 'Metric Categories 1-14'!$B$8:$FM$57))</f>
        <v>1.75</v>
      </c>
      <c r="I30" s="20" cm="1">
        <f t="array" ref="I30">_xlfn.XLOOKUP($I$6, 'Metric Categories 1-14'!$B$7:$FM$7, _xlfn.XLOOKUP(A30, 'Metric Categories 1-14'!$A$8:$A$57, 'Metric Categories 1-14'!$B$8:$FM$57))</f>
        <v>2.3333333333333308</v>
      </c>
      <c r="J30" s="20" cm="1">
        <f t="array" ref="J30">_xlfn.XLOOKUP($J$6, '15. Workforce Calcs'!$B$8:$BG$8, _xlfn.XLOOKUP(A30, '15. Workforce Calcs'!$A$10:$A$59, '15. Workforce Calcs'!$B$10:$BG$59))</f>
        <v>2</v>
      </c>
      <c r="K30" s="20" cm="1">
        <f t="array" ref="K30">_xlfn.XLOOKUP($K$6, '16. Existing HQs and Projects'!$B$8:$Q$8, _xlfn.XLOOKUP(A30,'16. Existing HQs and Projects'!$A$9:$A$58, '16. Existing HQs and Projects'!$B$9:$Q$58))</f>
        <v>3</v>
      </c>
      <c r="L30" s="37">
        <f t="shared" si="0"/>
        <v>2.0416666666666661</v>
      </c>
      <c r="M30" s="37" cm="1">
        <f t="array" ref="M30">_xlfn.IFS(L30&lt;$L$58, 1, L30&gt;$L$59, 3, L30=$L$59, 3, L30&lt;$L$59, 2)</f>
        <v>2</v>
      </c>
    </row>
    <row r="31" spans="1:15">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20" cm="1">
        <f t="array" ref="E31">_xlfn.XLOOKUP($E$6, 'Metric Categories 1-14'!$B$7:$FM$7, _xlfn.XLOOKUP(A31, 'Metric Categories 1-14'!$A$8:$A$57, 'Metric Categories 1-14'!$B$8:$FM$57))</f>
        <v>3</v>
      </c>
      <c r="F31" s="35">
        <f t="shared" si="1"/>
        <v>0.84999999999999987</v>
      </c>
      <c r="G31" s="301" cm="1">
        <f t="array" ref="G31">_xlfn.IFS(F31&lt;$F$58, 1, F31&gt;$F$59, 3, F31&lt;$F$59, 2)</f>
        <v>1</v>
      </c>
      <c r="H31" s="20" cm="1">
        <f t="array" ref="H31">_xlfn.XLOOKUP($H$6, 'Metric Categories 1-14'!$B$7:$FM$7, _xlfn.XLOOKUP(A31, 'Metric Categories 1-14'!$A$8:$A$57, 'Metric Categories 1-14'!$B$8:$FM$57))</f>
        <v>2.3499999999999996</v>
      </c>
      <c r="I31" s="20" cm="1">
        <f t="array" ref="I31">_xlfn.XLOOKUP($I$6, 'Metric Categories 1-14'!$B$7:$FM$7, _xlfn.XLOOKUP(A31, 'Metric Categories 1-14'!$A$8:$A$57, 'Metric Categories 1-14'!$B$8:$FM$57))</f>
        <v>2.6666666666666634</v>
      </c>
      <c r="J31" s="20" cm="1">
        <f t="array" ref="J31">_xlfn.XLOOKUP($J$6, '15. Workforce Calcs'!$B$8:$BG$8, _xlfn.XLOOKUP(A31, '15. Workforce Calcs'!$A$10:$A$59, '15. Workforce Calcs'!$B$10:$BG$59))</f>
        <v>2</v>
      </c>
      <c r="K31" s="20" cm="1">
        <f t="array" ref="K31">_xlfn.XLOOKUP($K$6, '16. Existing HQs and Projects'!$B$8:$Q$8, _xlfn.XLOOKUP(A31,'16. Existing HQs and Projects'!$A$9:$A$58, '16. Existing HQs and Projects'!$B$9:$Q$58))</f>
        <v>3</v>
      </c>
      <c r="L31" s="37">
        <f t="shared" si="0"/>
        <v>2.4083333333333323</v>
      </c>
      <c r="M31" s="37" cm="1">
        <f t="array" ref="M31">_xlfn.IFS(L31&lt;$L$58, 1, L31&gt;$L$59, 3, L31=$L$59, 3, L31&lt;$L$59, 2)</f>
        <v>3</v>
      </c>
    </row>
    <row r="32" spans="1:15">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20" cm="1">
        <f t="array" ref="E32">_xlfn.XLOOKUP($E$6, 'Metric Categories 1-14'!$B$7:$FM$7, _xlfn.XLOOKUP(A32, 'Metric Categories 1-14'!$A$8:$A$57, 'Metric Categories 1-14'!$B$8:$FM$57))</f>
        <v>2.25</v>
      </c>
      <c r="F32" s="35">
        <f t="shared" si="1"/>
        <v>1.1675</v>
      </c>
      <c r="G32" s="301" cm="1">
        <f t="array" ref="G32">_xlfn.IFS(F32&lt;$F$58, 1, F32&gt;$F$59, 3, F32&lt;$F$59, 2)</f>
        <v>2</v>
      </c>
      <c r="H32" s="20" cm="1">
        <f t="array" ref="H32">_xlfn.XLOOKUP($H$6, 'Metric Categories 1-14'!$B$7:$FM$7, _xlfn.XLOOKUP(A32, 'Metric Categories 1-14'!$A$8:$A$57, 'Metric Categories 1-14'!$B$8:$FM$57))</f>
        <v>1.85</v>
      </c>
      <c r="I32" s="20" cm="1">
        <f t="array" ref="I32">_xlfn.XLOOKUP($I$6, 'Metric Categories 1-14'!$B$7:$FM$7, _xlfn.XLOOKUP(A32, 'Metric Categories 1-14'!$A$8:$A$57, 'Metric Categories 1-14'!$B$8:$FM$57))</f>
        <v>2.3333333333333308</v>
      </c>
      <c r="J32" s="20" cm="1">
        <f t="array" ref="J32">_xlfn.XLOOKUP($J$6, '15. Workforce Calcs'!$B$8:$BG$8, _xlfn.XLOOKUP(A32, '15. Workforce Calcs'!$A$10:$A$59, '15. Workforce Calcs'!$B$10:$BG$59))</f>
        <v>1</v>
      </c>
      <c r="K32" s="20" cm="1">
        <f t="array" ref="K32">_xlfn.XLOOKUP($K$6, '16. Existing HQs and Projects'!$B$8:$Q$8, _xlfn.XLOOKUP(A32,'16. Existing HQs and Projects'!$A$9:$A$58, '16. Existing HQs and Projects'!$B$9:$Q$58))</f>
        <v>1</v>
      </c>
      <c r="L32" s="37">
        <f t="shared" si="0"/>
        <v>1.6916666666666662</v>
      </c>
      <c r="M32" s="37" cm="1">
        <f t="array" ref="M32">_xlfn.IFS(L32&lt;$L$58, 1, L32&gt;$L$59, 3, L32=$L$59, 3, L32&lt;$L$59, 2)</f>
        <v>1</v>
      </c>
    </row>
    <row r="33" spans="1:13">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20" cm="1">
        <f t="array" ref="E33">_xlfn.XLOOKUP($E$6, 'Metric Categories 1-14'!$B$7:$FM$7, _xlfn.XLOOKUP(A33, 'Metric Categories 1-14'!$A$8:$A$57, 'Metric Categories 1-14'!$B$8:$FM$57))</f>
        <v>3</v>
      </c>
      <c r="F33" s="35">
        <f t="shared" si="1"/>
        <v>0.87999999999999989</v>
      </c>
      <c r="G33" s="301" cm="1">
        <f t="array" ref="G33">_xlfn.IFS(F33&lt;$F$58, 1, F33&gt;$F$59, 3, F33&lt;$F$59, 2)</f>
        <v>1</v>
      </c>
      <c r="H33" s="20" cm="1">
        <f t="array" ref="H33">_xlfn.XLOOKUP($H$6, 'Metric Categories 1-14'!$B$7:$FM$7, _xlfn.XLOOKUP(A33, 'Metric Categories 1-14'!$A$8:$A$57, 'Metric Categories 1-14'!$B$8:$FM$57))</f>
        <v>2.0999999999999996</v>
      </c>
      <c r="I33" s="20" cm="1">
        <f t="array" ref="I33">_xlfn.XLOOKUP($I$6, 'Metric Categories 1-14'!$B$7:$FM$7, _xlfn.XLOOKUP(A33, 'Metric Categories 1-14'!$A$8:$A$57, 'Metric Categories 1-14'!$B$8:$FM$57))</f>
        <v>1.9999999999999978</v>
      </c>
      <c r="J33" s="20" cm="1">
        <f t="array" ref="J33">_xlfn.XLOOKUP($J$6, '15. Workforce Calcs'!$B$8:$BG$8, _xlfn.XLOOKUP(A33, '15. Workforce Calcs'!$A$10:$A$59, '15. Workforce Calcs'!$B$10:$BG$59))</f>
        <v>1</v>
      </c>
      <c r="K33" s="20" cm="1">
        <f t="array" ref="K33">_xlfn.XLOOKUP($K$6, '16. Existing HQs and Projects'!$B$8:$Q$8, _xlfn.XLOOKUP(A33,'16. Existing HQs and Projects'!$A$9:$A$58, '16. Existing HQs and Projects'!$B$9:$Q$58))</f>
        <v>1</v>
      </c>
      <c r="L33" s="37">
        <f t="shared" si="0"/>
        <v>1.7499999999999993</v>
      </c>
      <c r="M33" s="37" cm="1">
        <f t="array" ref="M33">_xlfn.IFS(L33&lt;$L$58, 1, L33&gt;$L$59, 3, L33=$L$59, 3, L33&lt;$L$59, 2)</f>
        <v>1</v>
      </c>
    </row>
    <row r="34" spans="1:13">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20" cm="1">
        <f t="array" ref="E34">_xlfn.XLOOKUP($E$6, 'Metric Categories 1-14'!$B$7:$FM$7, _xlfn.XLOOKUP(A34, 'Metric Categories 1-14'!$A$8:$A$57, 'Metric Categories 1-14'!$B$8:$FM$57))</f>
        <v>3</v>
      </c>
      <c r="F34" s="35">
        <f t="shared" si="1"/>
        <v>1.2524999999999997</v>
      </c>
      <c r="G34" s="301" cm="1">
        <f t="array" ref="G34">_xlfn.IFS(F34&lt;$F$58, 1, F34&gt;$F$59, 3, F34&lt;$F$59, 2)</f>
        <v>2</v>
      </c>
      <c r="H34" s="20" cm="1">
        <f t="array" ref="H34">_xlfn.XLOOKUP($H$6, 'Metric Categories 1-14'!$B$7:$FM$7, _xlfn.XLOOKUP(A34, 'Metric Categories 1-14'!$A$8:$A$57, 'Metric Categories 1-14'!$B$8:$FM$57))</f>
        <v>1.5</v>
      </c>
      <c r="I34" s="20" cm="1">
        <f t="array" ref="I34">_xlfn.XLOOKUP($I$6, 'Metric Categories 1-14'!$B$7:$FM$7, _xlfn.XLOOKUP(A34, 'Metric Categories 1-14'!$A$8:$A$57, 'Metric Categories 1-14'!$B$8:$FM$57))</f>
        <v>1.6666666666666647</v>
      </c>
      <c r="J34" s="20" cm="1">
        <f t="array" ref="J34">_xlfn.XLOOKUP($J$6, '15. Workforce Calcs'!$B$8:$BG$8, _xlfn.XLOOKUP(A34, '15. Workforce Calcs'!$A$10:$A$59, '15. Workforce Calcs'!$B$10:$BG$59))</f>
        <v>1</v>
      </c>
      <c r="K34" s="20" cm="1">
        <f t="array" ref="K34">_xlfn.XLOOKUP($K$6, '16. Existing HQs and Projects'!$B$8:$Q$8, _xlfn.XLOOKUP(A34,'16. Existing HQs and Projects'!$A$9:$A$58, '16. Existing HQs and Projects'!$B$9:$Q$58))</f>
        <v>1</v>
      </c>
      <c r="L34" s="37">
        <f t="shared" si="0"/>
        <v>1.3833333333333331</v>
      </c>
      <c r="M34" s="37" cm="1">
        <f t="array" ref="M34">_xlfn.IFS(L34&lt;$L$58, 1, L34&gt;$L$59, 3, L34=$L$59, 3, L34&lt;$L$59, 2)</f>
        <v>1</v>
      </c>
    </row>
    <row r="35" spans="1:13" ht="30">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20" cm="1">
        <f t="array" ref="E35">_xlfn.XLOOKUP($E$6, 'Metric Categories 1-14'!$B$7:$FM$7, _xlfn.XLOOKUP(A35, 'Metric Categories 1-14'!$A$8:$A$57, 'Metric Categories 1-14'!$B$8:$FM$57))</f>
        <v>3</v>
      </c>
      <c r="F35" s="35">
        <f t="shared" si="1"/>
        <v>1.2387499999999998</v>
      </c>
      <c r="G35" s="301" cm="1">
        <f t="array" ref="G35">_xlfn.IFS(F35&lt;$F$58, 1, F35&gt;$F$59, 3, F35&lt;$F$59, 2)</f>
        <v>2</v>
      </c>
      <c r="H35" s="20" cm="1">
        <f t="array" ref="H35">_xlfn.XLOOKUP($H$6, 'Metric Categories 1-14'!$B$7:$FM$7, _xlfn.XLOOKUP(A35, 'Metric Categories 1-14'!$A$8:$A$57, 'Metric Categories 1-14'!$B$8:$FM$57))</f>
        <v>1.7000000000000002</v>
      </c>
      <c r="I35" s="20" cm="1">
        <f t="array" ref="I35">_xlfn.XLOOKUP($I$6, 'Metric Categories 1-14'!$B$7:$FM$7, _xlfn.XLOOKUP(A35, 'Metric Categories 1-14'!$A$8:$A$57, 'Metric Categories 1-14'!$B$8:$FM$57))</f>
        <v>1.3333333333333319</v>
      </c>
      <c r="J35" s="20" cm="1">
        <f t="array" ref="J35">_xlfn.XLOOKUP($J$6, '15. Workforce Calcs'!$B$8:$BG$8, _xlfn.XLOOKUP(A35, '15. Workforce Calcs'!$A$10:$A$59, '15. Workforce Calcs'!$B$10:$BG$59))</f>
        <v>1</v>
      </c>
      <c r="K35" s="20" cm="1">
        <f t="array" ref="K35">_xlfn.XLOOKUP($K$6, '16. Existing HQs and Projects'!$B$8:$Q$8, _xlfn.XLOOKUP(A35,'16. Existing HQs and Projects'!$A$9:$A$58, '16. Existing HQs and Projects'!$B$9:$Q$58))</f>
        <v>1</v>
      </c>
      <c r="L35" s="37">
        <f t="shared" si="0"/>
        <v>1.4166666666666665</v>
      </c>
      <c r="M35" s="37" cm="1">
        <f t="array" ref="M35">_xlfn.IFS(L35&lt;$L$58, 1, L35&gt;$L$59, 3, L35=$L$59, 3, L35&lt;$L$59, 2)</f>
        <v>1</v>
      </c>
    </row>
    <row r="36" spans="1:13">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20" cm="1">
        <f t="array" ref="E36">_xlfn.XLOOKUP($E$6, 'Metric Categories 1-14'!$B$7:$FM$7, _xlfn.XLOOKUP(A36, 'Metric Categories 1-14'!$A$8:$A$57, 'Metric Categories 1-14'!$B$8:$FM$57))</f>
        <v>3</v>
      </c>
      <c r="F36" s="35">
        <f t="shared" si="1"/>
        <v>1.6837499999999999</v>
      </c>
      <c r="G36" s="301" cm="1">
        <f t="array" ref="G36">_xlfn.IFS(F36&lt;$F$58, 1, F36&gt;$F$59, 3, F36&lt;$F$59, 2)</f>
        <v>3</v>
      </c>
      <c r="H36" s="20" cm="1">
        <f t="array" ref="H36">_xlfn.XLOOKUP($H$6, 'Metric Categories 1-14'!$B$7:$FM$7, _xlfn.XLOOKUP(A36, 'Metric Categories 1-14'!$A$8:$A$57, 'Metric Categories 1-14'!$B$8:$FM$57))</f>
        <v>1.7000000000000002</v>
      </c>
      <c r="I36" s="20" cm="1">
        <f t="array" ref="I36">_xlfn.XLOOKUP($I$6, 'Metric Categories 1-14'!$B$7:$FM$7, _xlfn.XLOOKUP(A36, 'Metric Categories 1-14'!$A$8:$A$57, 'Metric Categories 1-14'!$B$8:$FM$57))</f>
        <v>1.3333333333333319</v>
      </c>
      <c r="J36" s="20" cm="1">
        <f t="array" ref="J36">_xlfn.XLOOKUP($J$6, '15. Workforce Calcs'!$B$8:$BG$8, _xlfn.XLOOKUP(A36, '15. Workforce Calcs'!$A$10:$A$59, '15. Workforce Calcs'!$B$10:$BG$59))</f>
        <v>3</v>
      </c>
      <c r="K36" s="20" cm="1">
        <f t="array" ref="K36">_xlfn.XLOOKUP($K$6, '16. Existing HQs and Projects'!$B$8:$Q$8, _xlfn.XLOOKUP(A36,'16. Existing HQs and Projects'!$A$9:$A$58, '16. Existing HQs and Projects'!$B$9:$Q$58))</f>
        <v>3</v>
      </c>
      <c r="L36" s="37">
        <f t="shared" si="0"/>
        <v>2.0166666666666666</v>
      </c>
      <c r="M36" s="37" cm="1">
        <f t="array" ref="M36">_xlfn.IFS(L36&lt;$L$58, 1, L36&gt;$L$59, 3, L36=$L$59, 3, L36&lt;$L$59, 2)</f>
        <v>2</v>
      </c>
    </row>
    <row r="37" spans="1:13">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20" cm="1">
        <f t="array" ref="E37">_xlfn.XLOOKUP($E$6, 'Metric Categories 1-14'!$B$7:$FM$7, _xlfn.XLOOKUP(A37, 'Metric Categories 1-14'!$A$8:$A$57, 'Metric Categories 1-14'!$B$8:$FM$57))</f>
        <v>3</v>
      </c>
      <c r="F37" s="35">
        <f t="shared" si="1"/>
        <v>1.1512499999999999</v>
      </c>
      <c r="G37" s="301" cm="1">
        <f t="array" ref="G37">_xlfn.IFS(F37&lt;$F$58, 1, F37&gt;$F$59, 3, F37&lt;$F$59, 2)</f>
        <v>2</v>
      </c>
      <c r="H37" s="20" cm="1">
        <f t="array" ref="H37">_xlfn.XLOOKUP($H$6, 'Metric Categories 1-14'!$B$7:$FM$7, _xlfn.XLOOKUP(A37, 'Metric Categories 1-14'!$A$8:$A$57, 'Metric Categories 1-14'!$B$8:$FM$57))</f>
        <v>1.7000000000000002</v>
      </c>
      <c r="I37" s="20" cm="1">
        <f t="array" ref="I37">_xlfn.XLOOKUP($I$6, 'Metric Categories 1-14'!$B$7:$FM$7, _xlfn.XLOOKUP(A37, 'Metric Categories 1-14'!$A$8:$A$57, 'Metric Categories 1-14'!$B$8:$FM$57))</f>
        <v>2.3333333333333308</v>
      </c>
      <c r="J37" s="20" cm="1">
        <f t="array" ref="J37">_xlfn.XLOOKUP($J$6, '15. Workforce Calcs'!$B$8:$BG$8, _xlfn.XLOOKUP(A37, '15. Workforce Calcs'!$A$10:$A$59, '15. Workforce Calcs'!$B$10:$BG$59))</f>
        <v>2</v>
      </c>
      <c r="K37" s="20" cm="1">
        <f t="array" ref="K37">_xlfn.XLOOKUP($K$6, '16. Existing HQs and Projects'!$B$8:$Q$8, _xlfn.XLOOKUP(A37,'16. Existing HQs and Projects'!$A$9:$A$58, '16. Existing HQs and Projects'!$B$9:$Q$58))</f>
        <v>1</v>
      </c>
      <c r="L37" s="37">
        <f t="shared" si="0"/>
        <v>1.8166666666666664</v>
      </c>
      <c r="M37" s="37" cm="1">
        <f t="array" ref="M37">_xlfn.IFS(L37&lt;$L$58, 1, L37&gt;$L$59, 3, L37=$L$59, 3, L37&lt;$L$59, 2)</f>
        <v>1</v>
      </c>
    </row>
    <row r="38" spans="1:13">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20" cm="1">
        <f t="array" ref="E38">_xlfn.XLOOKUP($E$6, 'Metric Categories 1-14'!$B$7:$FM$7, _xlfn.XLOOKUP(A38, 'Metric Categories 1-14'!$A$8:$A$57, 'Metric Categories 1-14'!$B$8:$FM$57))</f>
        <v>2</v>
      </c>
      <c r="F38" s="35">
        <f t="shared" si="1"/>
        <v>1.7362499999999998</v>
      </c>
      <c r="G38" s="301" cm="1">
        <f t="array" ref="G38">_xlfn.IFS(F38&lt;$F$58, 1, F38&gt;$F$59, 3, F38&lt;$F$59, 2)</f>
        <v>3</v>
      </c>
      <c r="H38" s="20" cm="1">
        <f t="array" ref="H38">_xlfn.XLOOKUP($H$6, 'Metric Categories 1-14'!$B$7:$FM$7, _xlfn.XLOOKUP(A38, 'Metric Categories 1-14'!$A$8:$A$57, 'Metric Categories 1-14'!$B$8:$FM$57))</f>
        <v>2.2000000000000002</v>
      </c>
      <c r="I38" s="20" cm="1">
        <f t="array" ref="I38">_xlfn.XLOOKUP($I$6, 'Metric Categories 1-14'!$B$7:$FM$7, _xlfn.XLOOKUP(A38, 'Metric Categories 1-14'!$A$8:$A$57, 'Metric Categories 1-14'!$B$8:$FM$57))</f>
        <v>2.9999999999999964</v>
      </c>
      <c r="J38" s="20" cm="1">
        <f t="array" ref="J38">_xlfn.XLOOKUP($J$6, '15. Workforce Calcs'!$B$8:$BG$8, _xlfn.XLOOKUP(A38, '15. Workforce Calcs'!$A$10:$A$59, '15. Workforce Calcs'!$B$10:$BG$59))</f>
        <v>3</v>
      </c>
      <c r="K38" s="20" cm="1">
        <f t="array" ref="K38">_xlfn.XLOOKUP($K$6, '16. Existing HQs and Projects'!$B$8:$Q$8, _xlfn.XLOOKUP(A38,'16. Existing HQs and Projects'!$A$9:$A$58, '16. Existing HQs and Projects'!$B$9:$Q$58))</f>
        <v>1</v>
      </c>
      <c r="L38" s="37">
        <f t="shared" ref="L38:L56" si="2">SUMPRODUCT($H$5:$K$5, H38:K38)</f>
        <v>2.3999999999999995</v>
      </c>
      <c r="M38" s="37" cm="1">
        <f t="array" ref="M38">_xlfn.IFS(L38&lt;$L$58, 1, L38&gt;$L$59, 3, L38=$L$59, 3, L38&lt;$L$59, 2)</f>
        <v>3</v>
      </c>
    </row>
    <row r="39" spans="1:13">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20" cm="1">
        <f t="array" ref="E39">_xlfn.XLOOKUP($E$6, 'Metric Categories 1-14'!$B$7:$FM$7, _xlfn.XLOOKUP(A39, 'Metric Categories 1-14'!$A$8:$A$57, 'Metric Categories 1-14'!$B$8:$FM$57))</f>
        <v>3</v>
      </c>
      <c r="F39" s="35">
        <f t="shared" si="1"/>
        <v>1.3574999999999999</v>
      </c>
      <c r="G39" s="301" cm="1">
        <f t="array" ref="G39">_xlfn.IFS(F39&lt;$F$58, 1, F39&gt;$F$59, 3, F39&lt;$F$59, 2)</f>
        <v>3</v>
      </c>
      <c r="H39" s="20" cm="1">
        <f t="array" ref="H39">_xlfn.XLOOKUP($H$6, 'Metric Categories 1-14'!$B$7:$FM$7, _xlfn.XLOOKUP(A39, 'Metric Categories 1-14'!$A$8:$A$57, 'Metric Categories 1-14'!$B$8:$FM$57))</f>
        <v>2.4000000000000004</v>
      </c>
      <c r="I39" s="20" cm="1">
        <f t="array" ref="I39">_xlfn.XLOOKUP($I$6, 'Metric Categories 1-14'!$B$7:$FM$7, _xlfn.XLOOKUP(A39, 'Metric Categories 1-14'!$A$8:$A$57, 'Metric Categories 1-14'!$B$8:$FM$57))</f>
        <v>1.666666666666665</v>
      </c>
      <c r="J39" s="20" cm="1">
        <f t="array" ref="J39">_xlfn.XLOOKUP($J$6, '15. Workforce Calcs'!$B$8:$BG$8, _xlfn.XLOOKUP(A39, '15. Workforce Calcs'!$A$10:$A$59, '15. Workforce Calcs'!$B$10:$BG$59))</f>
        <v>3</v>
      </c>
      <c r="K39" s="20" cm="1">
        <f t="array" ref="K39">_xlfn.XLOOKUP($K$6, '16. Existing HQs and Projects'!$B$8:$Q$8, _xlfn.XLOOKUP(A39,'16. Existing HQs and Projects'!$A$9:$A$58, '16. Existing HQs and Projects'!$B$9:$Q$58))</f>
        <v>1</v>
      </c>
      <c r="L39" s="37">
        <f t="shared" si="2"/>
        <v>2.2333333333333334</v>
      </c>
      <c r="M39" s="37" cm="1">
        <f t="array" ref="M39">_xlfn.IFS(L39&lt;$L$58, 1, L39&gt;$L$59, 3, L39=$L$59, 3, L39&lt;$L$59, 2)</f>
        <v>2</v>
      </c>
    </row>
    <row r="40" spans="1:13">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20" cm="1">
        <f t="array" ref="E40">_xlfn.XLOOKUP($E$6, 'Metric Categories 1-14'!$B$7:$FM$7, _xlfn.XLOOKUP(A40, 'Metric Categories 1-14'!$A$8:$A$57, 'Metric Categories 1-14'!$B$8:$FM$57))</f>
        <v>3</v>
      </c>
      <c r="F40" s="35">
        <f t="shared" si="1"/>
        <v>0.84999999999999987</v>
      </c>
      <c r="G40" s="301" cm="1">
        <f t="array" ref="G40">_xlfn.IFS(F40&lt;$F$58, 1, F40&gt;$F$59, 3, F40&lt;$F$59, 2)</f>
        <v>1</v>
      </c>
      <c r="H40" s="20" cm="1">
        <f t="array" ref="H40">_xlfn.XLOOKUP($H$6, 'Metric Categories 1-14'!$B$7:$FM$7, _xlfn.XLOOKUP(A40, 'Metric Categories 1-14'!$A$8:$A$57, 'Metric Categories 1-14'!$B$8:$FM$57))</f>
        <v>1.9499999999999997</v>
      </c>
      <c r="I40" s="20" cm="1">
        <f t="array" ref="I40">_xlfn.XLOOKUP($I$6, 'Metric Categories 1-14'!$B$7:$FM$7, _xlfn.XLOOKUP(A40, 'Metric Categories 1-14'!$A$8:$A$57, 'Metric Categories 1-14'!$B$8:$FM$57))</f>
        <v>1.9999999999999978</v>
      </c>
      <c r="J40" s="20" cm="1">
        <f t="array" ref="J40">_xlfn.XLOOKUP($J$6, '15. Workforce Calcs'!$B$8:$BG$8, _xlfn.XLOOKUP(A40, '15. Workforce Calcs'!$A$10:$A$59, '15. Workforce Calcs'!$B$10:$BG$59))</f>
        <v>1</v>
      </c>
      <c r="K40" s="20" cm="1">
        <f t="array" ref="K40">_xlfn.XLOOKUP($K$6, '16. Existing HQs and Projects'!$B$8:$Q$8, _xlfn.XLOOKUP(A40,'16. Existing HQs and Projects'!$A$9:$A$58, '16. Existing HQs and Projects'!$B$9:$Q$58))</f>
        <v>1</v>
      </c>
      <c r="L40" s="37">
        <f t="shared" si="2"/>
        <v>1.6749999999999996</v>
      </c>
      <c r="M40" s="37" cm="1">
        <f t="array" ref="M40">_xlfn.IFS(L40&lt;$L$58, 1, L40&gt;$L$59, 3, L40=$L$59, 3, L40&lt;$L$59, 2)</f>
        <v>1</v>
      </c>
    </row>
    <row r="41" spans="1:13">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20" cm="1">
        <f t="array" ref="E41">_xlfn.XLOOKUP($E$6, 'Metric Categories 1-14'!$B$7:$FM$7, _xlfn.XLOOKUP(A41, 'Metric Categories 1-14'!$A$8:$A$57, 'Metric Categories 1-14'!$B$8:$FM$57))</f>
        <v>3</v>
      </c>
      <c r="F41" s="35">
        <f t="shared" si="1"/>
        <v>0.84999999999999987</v>
      </c>
      <c r="G41" s="301" cm="1">
        <f t="array" ref="G41">_xlfn.IFS(F41&lt;$F$58, 1, F41&gt;$F$59, 3, F41&lt;$F$59, 2)</f>
        <v>1</v>
      </c>
      <c r="H41" s="20" cm="1">
        <f t="array" ref="H41">_xlfn.XLOOKUP($H$6, 'Metric Categories 1-14'!$B$7:$FM$7, _xlfn.XLOOKUP(A41, 'Metric Categories 1-14'!$A$8:$A$57, 'Metric Categories 1-14'!$B$8:$FM$57))</f>
        <v>2.2999999999999998</v>
      </c>
      <c r="I41" s="20" cm="1">
        <f t="array" ref="I41">_xlfn.XLOOKUP($I$6, 'Metric Categories 1-14'!$B$7:$FM$7, _xlfn.XLOOKUP(A41, 'Metric Categories 1-14'!$A$8:$A$57, 'Metric Categories 1-14'!$B$8:$FM$57))</f>
        <v>2.9999999999999964</v>
      </c>
      <c r="J41" s="20" cm="1">
        <f t="array" ref="J41">_xlfn.XLOOKUP($J$6, '15. Workforce Calcs'!$B$8:$BG$8, _xlfn.XLOOKUP(A41, '15. Workforce Calcs'!$A$10:$A$59, '15. Workforce Calcs'!$B$10:$BG$59))</f>
        <v>3</v>
      </c>
      <c r="K41" s="20" cm="1">
        <f t="array" ref="K41">_xlfn.XLOOKUP($K$6, '16. Existing HQs and Projects'!$B$8:$Q$8, _xlfn.XLOOKUP(A41,'16. Existing HQs and Projects'!$A$9:$A$58, '16. Existing HQs and Projects'!$B$9:$Q$58))</f>
        <v>3</v>
      </c>
      <c r="L41" s="37">
        <f t="shared" si="2"/>
        <v>2.6499999999999995</v>
      </c>
      <c r="M41" s="37" cm="1">
        <f t="array" ref="M41">_xlfn.IFS(L41&lt;$L$58, 1, L41&gt;$L$59, 3, L41=$L$59, 3, L41&lt;$L$59, 2)</f>
        <v>3</v>
      </c>
    </row>
    <row r="42" spans="1:13">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20" cm="1">
        <f t="array" ref="E42">_xlfn.XLOOKUP($E$6, 'Metric Categories 1-14'!$B$7:$FM$7, _xlfn.XLOOKUP(A42, 'Metric Categories 1-14'!$A$8:$A$57, 'Metric Categories 1-14'!$B$8:$FM$57))</f>
        <v>3</v>
      </c>
      <c r="F42" s="35">
        <f t="shared" si="1"/>
        <v>0.77999999999999992</v>
      </c>
      <c r="G42" s="301" cm="1">
        <f t="array" ref="G42">_xlfn.IFS(F42&lt;$F$58, 1, F42&gt;$F$59, 3, F42&lt;$F$59, 2)</f>
        <v>1</v>
      </c>
      <c r="H42" s="20" cm="1">
        <f t="array" ref="H42">_xlfn.XLOOKUP($H$6, 'Metric Categories 1-14'!$B$7:$FM$7, _xlfn.XLOOKUP(A42, 'Metric Categories 1-14'!$A$8:$A$57, 'Metric Categories 1-14'!$B$8:$FM$57))</f>
        <v>2.25</v>
      </c>
      <c r="I42" s="20" cm="1">
        <f t="array" ref="I42">_xlfn.XLOOKUP($I$6, 'Metric Categories 1-14'!$B$7:$FM$7, _xlfn.XLOOKUP(A42, 'Metric Categories 1-14'!$A$8:$A$57, 'Metric Categories 1-14'!$B$8:$FM$57))</f>
        <v>2.6666666666666634</v>
      </c>
      <c r="J42" s="20" cm="1">
        <f t="array" ref="J42">_xlfn.XLOOKUP($J$6, '15. Workforce Calcs'!$B$8:$BG$8, _xlfn.XLOOKUP(A42, '15. Workforce Calcs'!$A$10:$A$59, '15. Workforce Calcs'!$B$10:$BG$59))</f>
        <v>2</v>
      </c>
      <c r="K42" s="20" cm="1">
        <f t="array" ref="K42">_xlfn.XLOOKUP($K$6, '16. Existing HQs and Projects'!$B$8:$Q$8, _xlfn.XLOOKUP(A42,'16. Existing HQs and Projects'!$A$9:$A$58, '16. Existing HQs and Projects'!$B$9:$Q$58))</f>
        <v>1</v>
      </c>
      <c r="L42" s="37">
        <f t="shared" si="2"/>
        <v>2.1583333333333328</v>
      </c>
      <c r="M42" s="37" cm="1">
        <f t="array" ref="M42">_xlfn.IFS(L42&lt;$L$58, 1, L42&gt;$L$59, 3, L42=$L$59, 3, L42&lt;$L$59, 2)</f>
        <v>2</v>
      </c>
    </row>
    <row r="43" spans="1:13">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20" cm="1">
        <f t="array" ref="E43">_xlfn.XLOOKUP($E$6, 'Metric Categories 1-14'!$B$7:$FM$7, _xlfn.XLOOKUP(A43, 'Metric Categories 1-14'!$A$8:$A$57, 'Metric Categories 1-14'!$B$8:$FM$57))</f>
        <v>3</v>
      </c>
      <c r="F43" s="35">
        <f t="shared" si="1"/>
        <v>1.4124999999999999</v>
      </c>
      <c r="G43" s="301" cm="1">
        <f t="array" ref="G43">_xlfn.IFS(F43&lt;$F$58, 1, F43&gt;$F$59, 3, F43&lt;$F$59, 2)</f>
        <v>3</v>
      </c>
      <c r="H43" s="20" cm="1">
        <f t="array" ref="H43">_xlfn.XLOOKUP($H$6, 'Metric Categories 1-14'!$B$7:$FM$7, _xlfn.XLOOKUP(A43, 'Metric Categories 1-14'!$A$8:$A$57, 'Metric Categories 1-14'!$B$8:$FM$57))</f>
        <v>2.4500000000000002</v>
      </c>
      <c r="I43" s="20" cm="1">
        <f t="array" ref="I43">_xlfn.XLOOKUP($I$6, 'Metric Categories 1-14'!$B$7:$FM$7, _xlfn.XLOOKUP(A43, 'Metric Categories 1-14'!$A$8:$A$57, 'Metric Categories 1-14'!$B$8:$FM$57))</f>
        <v>1.9999999999999978</v>
      </c>
      <c r="J43" s="20" cm="1">
        <f t="array" ref="J43">_xlfn.XLOOKUP($J$6, '15. Workforce Calcs'!$B$8:$BG$8, _xlfn.XLOOKUP(A43, '15. Workforce Calcs'!$A$10:$A$59, '15. Workforce Calcs'!$B$10:$BG$59))</f>
        <v>2</v>
      </c>
      <c r="K43" s="20" cm="1">
        <f t="array" ref="K43">_xlfn.XLOOKUP($K$6, '16. Existing HQs and Projects'!$B$8:$Q$8, _xlfn.XLOOKUP(A43,'16. Existing HQs and Projects'!$A$9:$A$58, '16. Existing HQs and Projects'!$B$9:$Q$58))</f>
        <v>3</v>
      </c>
      <c r="L43" s="37">
        <f t="shared" si="2"/>
        <v>2.3249999999999993</v>
      </c>
      <c r="M43" s="37" cm="1">
        <f t="array" ref="M43">_xlfn.IFS(L43&lt;$L$58, 1, L43&gt;$L$59, 3, L43=$L$59, 3, L43&lt;$L$59, 2)</f>
        <v>3</v>
      </c>
    </row>
    <row r="44" spans="1:13">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20" cm="1">
        <f t="array" ref="E44">_xlfn.XLOOKUP($E$6, 'Metric Categories 1-14'!$B$7:$FM$7, _xlfn.XLOOKUP(A44, 'Metric Categories 1-14'!$A$8:$A$57, 'Metric Categories 1-14'!$B$8:$FM$57))</f>
        <v>2</v>
      </c>
      <c r="F44" s="35">
        <f t="shared" si="1"/>
        <v>1.25875</v>
      </c>
      <c r="G44" s="301" cm="1">
        <f t="array" ref="G44">_xlfn.IFS(F44&lt;$F$58, 1, F44&gt;$F$59, 3, F44&lt;$F$59, 2)</f>
        <v>2</v>
      </c>
      <c r="H44" s="20" cm="1">
        <f t="array" ref="H44">_xlfn.XLOOKUP($H$6, 'Metric Categories 1-14'!$B$7:$FM$7, _xlfn.XLOOKUP(A44, 'Metric Categories 1-14'!$A$8:$A$57, 'Metric Categories 1-14'!$B$8:$FM$57))</f>
        <v>1.95</v>
      </c>
      <c r="I44" s="20" cm="1">
        <f t="array" ref="I44">_xlfn.XLOOKUP($I$6, 'Metric Categories 1-14'!$B$7:$FM$7, _xlfn.XLOOKUP(A44, 'Metric Categories 1-14'!$A$8:$A$57, 'Metric Categories 1-14'!$B$8:$FM$57))</f>
        <v>2.9999999999999964</v>
      </c>
      <c r="J44" s="20" cm="1">
        <f t="array" ref="J44">_xlfn.XLOOKUP($J$6, '15. Workforce Calcs'!$B$8:$BG$8, _xlfn.XLOOKUP(A44, '15. Workforce Calcs'!$A$10:$A$59, '15. Workforce Calcs'!$B$10:$BG$59))</f>
        <v>3</v>
      </c>
      <c r="K44" s="20" cm="1">
        <f t="array" ref="K44">_xlfn.XLOOKUP($K$6, '16. Existing HQs and Projects'!$B$8:$Q$8, _xlfn.XLOOKUP(A44,'16. Existing HQs and Projects'!$A$9:$A$58, '16. Existing HQs and Projects'!$B$9:$Q$58))</f>
        <v>1</v>
      </c>
      <c r="L44" s="37">
        <f t="shared" si="2"/>
        <v>2.2749999999999995</v>
      </c>
      <c r="M44" s="37" cm="1">
        <f t="array" ref="M44">_xlfn.IFS(L44&lt;$L$58, 1, L44&gt;$L$59, 3, L44=$L$59, 3, L44&lt;$L$59, 2)</f>
        <v>3</v>
      </c>
    </row>
    <row r="45" spans="1:13">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20" cm="1">
        <f t="array" ref="E45">_xlfn.XLOOKUP($E$6, 'Metric Categories 1-14'!$B$7:$FM$7, _xlfn.XLOOKUP(A45, 'Metric Categories 1-14'!$A$8:$A$57, 'Metric Categories 1-14'!$B$8:$FM$57))</f>
        <v>3</v>
      </c>
      <c r="F45" s="35">
        <f t="shared" si="1"/>
        <v>1.4262499999999998</v>
      </c>
      <c r="G45" s="301" cm="1">
        <f t="array" ref="G45">_xlfn.IFS(F45&lt;$F$58, 1, F45&gt;$F$59, 3, F45&lt;$F$59, 2)</f>
        <v>3</v>
      </c>
      <c r="H45" s="20" cm="1">
        <f t="array" ref="H45">_xlfn.XLOOKUP($H$6, 'Metric Categories 1-14'!$B$7:$FM$7, _xlfn.XLOOKUP(A45, 'Metric Categories 1-14'!$A$8:$A$57, 'Metric Categories 1-14'!$B$8:$FM$57))</f>
        <v>1</v>
      </c>
      <c r="I45" s="20" cm="1">
        <f t="array" ref="I45">_xlfn.XLOOKUP($I$6, 'Metric Categories 1-14'!$B$7:$FM$7, _xlfn.XLOOKUP(A45, 'Metric Categories 1-14'!$A$8:$A$57, 'Metric Categories 1-14'!$B$8:$FM$57))</f>
        <v>0.99999999999999889</v>
      </c>
      <c r="J45" s="20" cm="1">
        <f t="array" ref="J45">_xlfn.XLOOKUP($J$6, '15. Workforce Calcs'!$B$8:$BG$8, _xlfn.XLOOKUP(A45, '15. Workforce Calcs'!$A$10:$A$59, '15. Workforce Calcs'!$B$10:$BG$59))</f>
        <v>1</v>
      </c>
      <c r="K45" s="20" cm="1">
        <f t="array" ref="K45">_xlfn.XLOOKUP($K$6, '16. Existing HQs and Projects'!$B$8:$Q$8, _xlfn.XLOOKUP(A45,'16. Existing HQs and Projects'!$A$9:$A$58, '16. Existing HQs and Projects'!$B$9:$Q$58))</f>
        <v>1</v>
      </c>
      <c r="L45" s="37">
        <f t="shared" si="2"/>
        <v>0.99999999999999967</v>
      </c>
      <c r="M45" s="37" cm="1">
        <f t="array" ref="M45">_xlfn.IFS(L45&lt;$L$58, 1, L45&gt;$L$59, 3, L45=$L$59, 3, L45&lt;$L$59, 2)</f>
        <v>1</v>
      </c>
    </row>
    <row r="46" spans="1:13">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20" cm="1">
        <f t="array" ref="E46">_xlfn.XLOOKUP($E$6, 'Metric Categories 1-14'!$B$7:$FM$7, _xlfn.XLOOKUP(A46, 'Metric Categories 1-14'!$A$8:$A$57, 'Metric Categories 1-14'!$B$8:$FM$57))</f>
        <v>3</v>
      </c>
      <c r="F46" s="35">
        <f t="shared" si="1"/>
        <v>1.0249999999999997</v>
      </c>
      <c r="G46" s="301" cm="1">
        <f t="array" ref="G46">_xlfn.IFS(F46&lt;$F$58, 1, F46&gt;$F$59, 3, F46&lt;$F$59, 2)</f>
        <v>2</v>
      </c>
      <c r="H46" s="20" cm="1">
        <f t="array" ref="H46">_xlfn.XLOOKUP($H$6, 'Metric Categories 1-14'!$B$7:$FM$7, _xlfn.XLOOKUP(A46, 'Metric Categories 1-14'!$A$8:$A$57, 'Metric Categories 1-14'!$B$8:$FM$57))</f>
        <v>2.2000000000000002</v>
      </c>
      <c r="I46" s="20" cm="1">
        <f t="array" ref="I46">_xlfn.XLOOKUP($I$6, 'Metric Categories 1-14'!$B$7:$FM$7, _xlfn.XLOOKUP(A46, 'Metric Categories 1-14'!$A$8:$A$57, 'Metric Categories 1-14'!$B$8:$FM$57))</f>
        <v>1.666666666666665</v>
      </c>
      <c r="J46" s="20" cm="1">
        <f t="array" ref="J46">_xlfn.XLOOKUP($J$6, '15. Workforce Calcs'!$B$8:$BG$8, _xlfn.XLOOKUP(A46, '15. Workforce Calcs'!$A$10:$A$59, '15. Workforce Calcs'!$B$10:$BG$59))</f>
        <v>2</v>
      </c>
      <c r="K46" s="20" cm="1">
        <f t="array" ref="K46">_xlfn.XLOOKUP($K$6, '16. Existing HQs and Projects'!$B$8:$Q$8, _xlfn.XLOOKUP(A46,'16. Existing HQs and Projects'!$A$9:$A$58, '16. Existing HQs and Projects'!$B$9:$Q$58))</f>
        <v>1</v>
      </c>
      <c r="L46" s="37">
        <f t="shared" si="2"/>
        <v>1.9333333333333331</v>
      </c>
      <c r="M46" s="37" cm="1">
        <f t="array" ref="M46">_xlfn.IFS(L46&lt;$L$58, 1, L46&gt;$L$59, 3, L46=$L$59, 3, L46&lt;$L$59, 2)</f>
        <v>2</v>
      </c>
    </row>
    <row r="47" spans="1:13">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20" cm="1">
        <f t="array" ref="E47">_xlfn.XLOOKUP($E$6, 'Metric Categories 1-14'!$B$7:$FM$7, _xlfn.XLOOKUP(A47, 'Metric Categories 1-14'!$A$8:$A$57, 'Metric Categories 1-14'!$B$8:$FM$57))</f>
        <v>2.25</v>
      </c>
      <c r="F47" s="35">
        <f t="shared" si="1"/>
        <v>0.93999999999999984</v>
      </c>
      <c r="G47" s="301" cm="1">
        <f t="array" ref="G47">_xlfn.IFS(F47&lt;$F$58, 1, F47&gt;$F$59, 3, F47&lt;$F$59, 2)</f>
        <v>2</v>
      </c>
      <c r="H47" s="20" cm="1">
        <f t="array" ref="H47">_xlfn.XLOOKUP($H$6, 'Metric Categories 1-14'!$B$7:$FM$7, _xlfn.XLOOKUP(A47, 'Metric Categories 1-14'!$A$8:$A$57, 'Metric Categories 1-14'!$B$8:$FM$57))</f>
        <v>2.1999999999999997</v>
      </c>
      <c r="I47" s="20" cm="1">
        <f t="array" ref="I47">_xlfn.XLOOKUP($I$6, 'Metric Categories 1-14'!$B$7:$FM$7, _xlfn.XLOOKUP(A47, 'Metric Categories 1-14'!$A$8:$A$57, 'Metric Categories 1-14'!$B$8:$FM$57))</f>
        <v>1.3333333333333319</v>
      </c>
      <c r="J47" s="20" cm="1">
        <f t="array" ref="J47">_xlfn.XLOOKUP($J$6, '15. Workforce Calcs'!$B$8:$BG$8, _xlfn.XLOOKUP(A47, '15. Workforce Calcs'!$A$10:$A$59, '15. Workforce Calcs'!$B$10:$BG$59))</f>
        <v>1</v>
      </c>
      <c r="K47" s="20" cm="1">
        <f t="array" ref="K47">_xlfn.XLOOKUP($K$6, '16. Existing HQs and Projects'!$B$8:$Q$8, _xlfn.XLOOKUP(A47,'16. Existing HQs and Projects'!$A$9:$A$58, '16. Existing HQs and Projects'!$B$9:$Q$58))</f>
        <v>1</v>
      </c>
      <c r="L47" s="37">
        <f t="shared" si="2"/>
        <v>1.6666666666666663</v>
      </c>
      <c r="M47" s="37" cm="1">
        <f t="array" ref="M47">_xlfn.IFS(L47&lt;$L$58, 1, L47&gt;$L$59, 3, L47=$L$59, 3, L47&lt;$L$59, 2)</f>
        <v>1</v>
      </c>
    </row>
    <row r="48" spans="1:13">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20" cm="1">
        <f t="array" ref="E48">_xlfn.XLOOKUP($E$6, 'Metric Categories 1-14'!$B$7:$FM$7, _xlfn.XLOOKUP(A48, 'Metric Categories 1-14'!$A$8:$A$57, 'Metric Categories 1-14'!$B$8:$FM$57))</f>
        <v>3</v>
      </c>
      <c r="F48" s="35">
        <f t="shared" si="1"/>
        <v>0.84999999999999987</v>
      </c>
      <c r="G48" s="301" cm="1">
        <f t="array" ref="G48">_xlfn.IFS(F48&lt;$F$58, 1, F48&gt;$F$59, 3, F48&lt;$F$59, 2)</f>
        <v>1</v>
      </c>
      <c r="H48" s="20" cm="1">
        <f t="array" ref="H48">_xlfn.XLOOKUP($H$6, 'Metric Categories 1-14'!$B$7:$FM$7, _xlfn.XLOOKUP(A48, 'Metric Categories 1-14'!$A$8:$A$57, 'Metric Categories 1-14'!$B$8:$FM$57))</f>
        <v>1.95</v>
      </c>
      <c r="I48" s="20" cm="1">
        <f t="array" ref="I48">_xlfn.XLOOKUP($I$6, 'Metric Categories 1-14'!$B$7:$FM$7, _xlfn.XLOOKUP(A48, 'Metric Categories 1-14'!$A$8:$A$57, 'Metric Categories 1-14'!$B$8:$FM$57))</f>
        <v>2.6666666666666634</v>
      </c>
      <c r="J48" s="20" cm="1">
        <f t="array" ref="J48">_xlfn.XLOOKUP($J$6, '15. Workforce Calcs'!$B$8:$BG$8, _xlfn.XLOOKUP(A48, '15. Workforce Calcs'!$A$10:$A$59, '15. Workforce Calcs'!$B$10:$BG$59))</f>
        <v>3</v>
      </c>
      <c r="K48" s="20" cm="1">
        <f t="array" ref="K48">_xlfn.XLOOKUP($K$6, '16. Existing HQs and Projects'!$B$8:$Q$8, _xlfn.XLOOKUP(A48,'16. Existing HQs and Projects'!$A$9:$A$58, '16. Existing HQs and Projects'!$B$9:$Q$58))</f>
        <v>3</v>
      </c>
      <c r="L48" s="37">
        <f t="shared" si="2"/>
        <v>2.4083333333333323</v>
      </c>
      <c r="M48" s="37" cm="1">
        <f t="array" ref="M48">_xlfn.IFS(L48&lt;$L$58, 1, L48&gt;$L$59, 3, L48=$L$59, 3, L48&lt;$L$59, 2)</f>
        <v>3</v>
      </c>
    </row>
    <row r="49" spans="1:13">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20" cm="1">
        <f t="array" ref="E49">_xlfn.XLOOKUP($E$6, 'Metric Categories 1-14'!$B$7:$FM$7, _xlfn.XLOOKUP(A49, 'Metric Categories 1-14'!$A$8:$A$57, 'Metric Categories 1-14'!$B$8:$FM$57))</f>
        <v>3</v>
      </c>
      <c r="F49" s="35">
        <f t="shared" si="1"/>
        <v>0.84999999999999987</v>
      </c>
      <c r="G49" s="301" cm="1">
        <f t="array" ref="G49">_xlfn.IFS(F49&lt;$F$58, 1, F49&gt;$F$59, 3, F49&lt;$F$59, 2)</f>
        <v>1</v>
      </c>
      <c r="H49" s="20" cm="1">
        <f t="array" ref="H49">_xlfn.XLOOKUP($H$6, 'Metric Categories 1-14'!$B$7:$FM$7, _xlfn.XLOOKUP(A49, 'Metric Categories 1-14'!$A$8:$A$57, 'Metric Categories 1-14'!$B$8:$FM$57))</f>
        <v>3</v>
      </c>
      <c r="I49" s="20" cm="1">
        <f t="array" ref="I49">_xlfn.XLOOKUP($I$6, 'Metric Categories 1-14'!$B$7:$FM$7, _xlfn.XLOOKUP(A49, 'Metric Categories 1-14'!$A$8:$A$57, 'Metric Categories 1-14'!$B$8:$FM$57))</f>
        <v>2.6666666666666634</v>
      </c>
      <c r="J49" s="20" cm="1">
        <f t="array" ref="J49">_xlfn.XLOOKUP($J$6, '15. Workforce Calcs'!$B$8:$BG$8, _xlfn.XLOOKUP(A49, '15. Workforce Calcs'!$A$10:$A$59, '15. Workforce Calcs'!$B$10:$BG$59))</f>
        <v>3</v>
      </c>
      <c r="K49" s="20" cm="1">
        <f t="array" ref="K49">_xlfn.XLOOKUP($K$6, '16. Existing HQs and Projects'!$B$8:$Q$8, _xlfn.XLOOKUP(A49,'16. Existing HQs and Projects'!$A$9:$A$58, '16. Existing HQs and Projects'!$B$9:$Q$58))</f>
        <v>3</v>
      </c>
      <c r="L49" s="37">
        <f t="shared" si="2"/>
        <v>2.9333333333333327</v>
      </c>
      <c r="M49" s="37" cm="1">
        <f t="array" ref="M49">_xlfn.IFS(L49&lt;$L$58, 1, L49&gt;$L$59, 3, L49=$L$59, 3, L49&lt;$L$59, 2)</f>
        <v>3</v>
      </c>
    </row>
    <row r="50" spans="1:13">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20" cm="1">
        <f t="array" ref="E50">_xlfn.XLOOKUP($E$6, 'Metric Categories 1-14'!$B$7:$FM$7, _xlfn.XLOOKUP(A50, 'Metric Categories 1-14'!$A$8:$A$57, 'Metric Categories 1-14'!$B$8:$FM$57))</f>
        <v>3</v>
      </c>
      <c r="F50" s="35">
        <f t="shared" si="1"/>
        <v>0.84999999999999987</v>
      </c>
      <c r="G50" s="301" cm="1">
        <f t="array" ref="G50">_xlfn.IFS(F50&lt;$F$58, 1, F50&gt;$F$59, 3, F50&lt;$F$59, 2)</f>
        <v>1</v>
      </c>
      <c r="H50" s="20" cm="1">
        <f t="array" ref="H50">_xlfn.XLOOKUP($H$6, 'Metric Categories 1-14'!$B$7:$FM$7, _xlfn.XLOOKUP(A50, 'Metric Categories 1-14'!$A$8:$A$57, 'Metric Categories 1-14'!$B$8:$FM$57))</f>
        <v>1.7000000000000002</v>
      </c>
      <c r="I50" s="20" cm="1">
        <f t="array" ref="I50">_xlfn.XLOOKUP($I$6, 'Metric Categories 1-14'!$B$7:$FM$7, _xlfn.XLOOKUP(A50, 'Metric Categories 1-14'!$A$8:$A$57, 'Metric Categories 1-14'!$B$8:$FM$57))</f>
        <v>2.3333333333333308</v>
      </c>
      <c r="J50" s="20" cm="1">
        <f t="array" ref="J50">_xlfn.XLOOKUP($J$6, '15. Workforce Calcs'!$B$8:$BG$8, _xlfn.XLOOKUP(A50, '15. Workforce Calcs'!$A$10:$A$59, '15. Workforce Calcs'!$B$10:$BG$59))</f>
        <v>2</v>
      </c>
      <c r="K50" s="20" cm="1">
        <f t="array" ref="K50">_xlfn.XLOOKUP($K$6, '16. Existing HQs and Projects'!$B$8:$Q$8, _xlfn.XLOOKUP(A50,'16. Existing HQs and Projects'!$A$9:$A$58, '16. Existing HQs and Projects'!$B$9:$Q$58))</f>
        <v>3</v>
      </c>
      <c r="L50" s="37">
        <f t="shared" si="2"/>
        <v>2.0166666666666666</v>
      </c>
      <c r="M50" s="37" cm="1">
        <f t="array" ref="M50">_xlfn.IFS(L50&lt;$L$58, 1, L50&gt;$L$59, 3, L50=$L$59, 3, L50&lt;$L$59, 2)</f>
        <v>2</v>
      </c>
    </row>
    <row r="51" spans="1:13">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20" cm="1">
        <f t="array" ref="E51">_xlfn.XLOOKUP($E$6, 'Metric Categories 1-14'!$B$7:$FM$7, _xlfn.XLOOKUP(A51, 'Metric Categories 1-14'!$A$8:$A$57, 'Metric Categories 1-14'!$B$8:$FM$57))</f>
        <v>3</v>
      </c>
      <c r="F51" s="35">
        <f t="shared" si="1"/>
        <v>1.2862499999999999</v>
      </c>
      <c r="G51" s="301" cm="1">
        <f t="array" ref="G51">_xlfn.IFS(F51&lt;$F$58, 1, F51&gt;$F$59, 3, F51&lt;$F$59, 2)</f>
        <v>2</v>
      </c>
      <c r="H51" s="20" cm="1">
        <f t="array" ref="H51">_xlfn.XLOOKUP($H$6, 'Metric Categories 1-14'!$B$7:$FM$7, _xlfn.XLOOKUP(A51, 'Metric Categories 1-14'!$A$8:$A$57, 'Metric Categories 1-14'!$B$8:$FM$57))</f>
        <v>1.2000000000000002</v>
      </c>
      <c r="I51" s="20" cm="1">
        <f t="array" ref="I51">_xlfn.XLOOKUP($I$6, 'Metric Categories 1-14'!$B$7:$FM$7, _xlfn.XLOOKUP(A51, 'Metric Categories 1-14'!$A$8:$A$57, 'Metric Categories 1-14'!$B$8:$FM$57))</f>
        <v>1.666666666666665</v>
      </c>
      <c r="J51" s="20" cm="1">
        <f t="array" ref="J51">_xlfn.XLOOKUP($J$6, '15. Workforce Calcs'!$B$8:$BG$8, _xlfn.XLOOKUP(A51, '15. Workforce Calcs'!$A$10:$A$59, '15. Workforce Calcs'!$B$10:$BG$59))</f>
        <v>1</v>
      </c>
      <c r="K51" s="20" cm="1">
        <f t="array" ref="K51">_xlfn.XLOOKUP($K$6, '16. Existing HQs and Projects'!$B$8:$Q$8, _xlfn.XLOOKUP(A51,'16. Existing HQs and Projects'!$A$9:$A$58, '16. Existing HQs and Projects'!$B$9:$Q$58))</f>
        <v>1</v>
      </c>
      <c r="L51" s="37">
        <f t="shared" si="2"/>
        <v>1.2333333333333332</v>
      </c>
      <c r="M51" s="37" cm="1">
        <f t="array" ref="M51">_xlfn.IFS(L51&lt;$L$58, 1, L51&gt;$L$59, 3, L51=$L$59, 3, L51&lt;$L$59, 2)</f>
        <v>1</v>
      </c>
    </row>
    <row r="52" spans="1:13">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20" cm="1">
        <f t="array" ref="E52">_xlfn.XLOOKUP($E$6, 'Metric Categories 1-14'!$B$7:$FM$7, _xlfn.XLOOKUP(A52, 'Metric Categories 1-14'!$A$8:$A$57, 'Metric Categories 1-14'!$B$8:$FM$57))</f>
        <v>2</v>
      </c>
      <c r="F52" s="35">
        <f t="shared" si="1"/>
        <v>1.52</v>
      </c>
      <c r="G52" s="301" cm="1">
        <f t="array" ref="G52">_xlfn.IFS(F52&lt;$F$58, 1, F52&gt;$F$59, 3, F52&lt;$F$59, 2)</f>
        <v>3</v>
      </c>
      <c r="H52" s="20" cm="1">
        <f t="array" ref="H52">_xlfn.XLOOKUP($H$6, 'Metric Categories 1-14'!$B$7:$FM$7, _xlfn.XLOOKUP(A52, 'Metric Categories 1-14'!$A$8:$A$57, 'Metric Categories 1-14'!$B$8:$FM$57))</f>
        <v>2.1500000000000004</v>
      </c>
      <c r="I52" s="20" cm="1">
        <f t="array" ref="I52">_xlfn.XLOOKUP($I$6, 'Metric Categories 1-14'!$B$7:$FM$7, _xlfn.XLOOKUP(A52, 'Metric Categories 1-14'!$A$8:$A$57, 'Metric Categories 1-14'!$B$8:$FM$57))</f>
        <v>1.3333333333333319</v>
      </c>
      <c r="J52" s="20" cm="1">
        <f t="array" ref="J52">_xlfn.XLOOKUP($J$6, '15. Workforce Calcs'!$B$8:$BG$8, _xlfn.XLOOKUP(A52, '15. Workforce Calcs'!$A$10:$A$59, '15. Workforce Calcs'!$B$10:$BG$59))</f>
        <v>3</v>
      </c>
      <c r="K52" s="20" cm="1">
        <f t="array" ref="K52">_xlfn.XLOOKUP($K$6, '16. Existing HQs and Projects'!$B$8:$Q$8, _xlfn.XLOOKUP(A52,'16. Existing HQs and Projects'!$A$9:$A$58, '16. Existing HQs and Projects'!$B$9:$Q$58))</f>
        <v>1</v>
      </c>
      <c r="L52" s="37">
        <f t="shared" si="2"/>
        <v>2.0416666666666665</v>
      </c>
      <c r="M52" s="37" cm="1">
        <f t="array" ref="M52">_xlfn.IFS(L52&lt;$L$58, 1, L52&gt;$L$59, 3, L52=$L$59, 3, L52&lt;$L$59, 2)</f>
        <v>2</v>
      </c>
    </row>
    <row r="53" spans="1:13">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20" cm="1">
        <f t="array" ref="E53">_xlfn.XLOOKUP($E$6, 'Metric Categories 1-14'!$B$7:$FM$7, _xlfn.XLOOKUP(A53, 'Metric Categories 1-14'!$A$8:$A$57, 'Metric Categories 1-14'!$B$8:$FM$57))</f>
        <v>3</v>
      </c>
      <c r="F53" s="35">
        <f t="shared" si="1"/>
        <v>1.89</v>
      </c>
      <c r="G53" s="301" cm="1">
        <f t="array" ref="G53">_xlfn.IFS(F53&lt;$F$58, 1, F53&gt;$F$59, 3, F53&lt;$F$59, 2)</f>
        <v>3</v>
      </c>
      <c r="H53" s="20" cm="1">
        <f t="array" ref="H53">_xlfn.XLOOKUP($H$6, 'Metric Categories 1-14'!$B$7:$FM$7, _xlfn.XLOOKUP(A53, 'Metric Categories 1-14'!$A$8:$A$57, 'Metric Categories 1-14'!$B$8:$FM$57))</f>
        <v>2.8</v>
      </c>
      <c r="I53" s="20" cm="1">
        <f t="array" ref="I53">_xlfn.XLOOKUP($I$6, 'Metric Categories 1-14'!$B$7:$FM$7, _xlfn.XLOOKUP(A53, 'Metric Categories 1-14'!$A$8:$A$57, 'Metric Categories 1-14'!$B$8:$FM$57))</f>
        <v>1.9999999999999978</v>
      </c>
      <c r="J53" s="20" cm="1">
        <f t="array" ref="J53">_xlfn.XLOOKUP($J$6, '15. Workforce Calcs'!$B$8:$BG$8, _xlfn.XLOOKUP(A53, '15. Workforce Calcs'!$A$10:$A$59, '15. Workforce Calcs'!$B$10:$BG$59))</f>
        <v>3</v>
      </c>
      <c r="K53" s="20" cm="1">
        <f t="array" ref="K53">_xlfn.XLOOKUP($K$6, '16. Existing HQs and Projects'!$B$8:$Q$8, _xlfn.XLOOKUP(A53,'16. Existing HQs and Projects'!$A$9:$A$58, '16. Existing HQs and Projects'!$B$9:$Q$58))</f>
        <v>3</v>
      </c>
      <c r="L53" s="37">
        <f t="shared" si="2"/>
        <v>2.6999999999999993</v>
      </c>
      <c r="M53" s="37" cm="1">
        <f t="array" ref="M53">_xlfn.IFS(L53&lt;$L$58, 1, L53&gt;$L$59, 3, L53=$L$59, 3, L53&lt;$L$59, 2)</f>
        <v>3</v>
      </c>
    </row>
    <row r="54" spans="1:13">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20" cm="1">
        <f t="array" ref="E54">_xlfn.XLOOKUP($E$6, 'Metric Categories 1-14'!$B$7:$FM$7, _xlfn.XLOOKUP(A54, 'Metric Categories 1-14'!$A$8:$A$57, 'Metric Categories 1-14'!$B$8:$FM$57))</f>
        <v>3</v>
      </c>
      <c r="F54" s="35">
        <f t="shared" si="1"/>
        <v>0.93999999999999984</v>
      </c>
      <c r="G54" s="301" cm="1">
        <f t="array" ref="G54">_xlfn.IFS(F54&lt;$F$58, 1, F54&gt;$F$59, 3, F54&lt;$F$59, 2)</f>
        <v>2</v>
      </c>
      <c r="H54" s="20" cm="1">
        <f t="array" ref="H54">_xlfn.XLOOKUP($H$6, 'Metric Categories 1-14'!$B$7:$FM$7, _xlfn.XLOOKUP(A54, 'Metric Categories 1-14'!$A$8:$A$57, 'Metric Categories 1-14'!$B$8:$FM$57))</f>
        <v>1.2000000000000002</v>
      </c>
      <c r="I54" s="20" cm="1">
        <f t="array" ref="I54">_xlfn.XLOOKUP($I$6, 'Metric Categories 1-14'!$B$7:$FM$7, _xlfn.XLOOKUP(A54, 'Metric Categories 1-14'!$A$8:$A$57, 'Metric Categories 1-14'!$B$8:$FM$57))</f>
        <v>1.9999999999999978</v>
      </c>
      <c r="J54" s="20" cm="1">
        <f t="array" ref="J54">_xlfn.XLOOKUP($J$6, '15. Workforce Calcs'!$B$8:$BG$8, _xlfn.XLOOKUP(A54, '15. Workforce Calcs'!$A$10:$A$59, '15. Workforce Calcs'!$B$10:$BG$59))</f>
        <v>1</v>
      </c>
      <c r="K54" s="20" cm="1">
        <f t="array" ref="K54">_xlfn.XLOOKUP($K$6, '16. Existing HQs and Projects'!$B$8:$Q$8, _xlfn.XLOOKUP(A54,'16. Existing HQs and Projects'!$A$9:$A$58, '16. Existing HQs and Projects'!$B$9:$Q$58))</f>
        <v>1</v>
      </c>
      <c r="L54" s="37">
        <f t="shared" si="2"/>
        <v>1.2999999999999998</v>
      </c>
      <c r="M54" s="37" cm="1">
        <f t="array" ref="M54">_xlfn.IFS(L54&lt;$L$58, 1, L54&gt;$L$59, 3, L54=$L$59, 3, L54&lt;$L$59, 2)</f>
        <v>1</v>
      </c>
    </row>
    <row r="55" spans="1:13">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20" cm="1">
        <f t="array" ref="E55">_xlfn.XLOOKUP($E$6, 'Metric Categories 1-14'!$B$7:$FM$7, _xlfn.XLOOKUP(A55, 'Metric Categories 1-14'!$A$8:$A$57, 'Metric Categories 1-14'!$B$8:$FM$57))</f>
        <v>3</v>
      </c>
      <c r="F55" s="35">
        <f t="shared" si="1"/>
        <v>1.0274999999999999</v>
      </c>
      <c r="G55" s="301" cm="1">
        <f t="array" ref="G55">_xlfn.IFS(F55&lt;$F$58, 1, F55&gt;$F$59, 3, F55&lt;$F$59, 2)</f>
        <v>2</v>
      </c>
      <c r="H55" s="20" cm="1">
        <f t="array" ref="H55">_xlfn.XLOOKUP($H$6, 'Metric Categories 1-14'!$B$7:$FM$7, _xlfn.XLOOKUP(A55, 'Metric Categories 1-14'!$A$8:$A$57, 'Metric Categories 1-14'!$B$8:$FM$57))</f>
        <v>2.5499999999999998</v>
      </c>
      <c r="I55" s="20" cm="1">
        <f t="array" ref="I55">_xlfn.XLOOKUP($I$6, 'Metric Categories 1-14'!$B$7:$FM$7, _xlfn.XLOOKUP(A55, 'Metric Categories 1-14'!$A$8:$A$57, 'Metric Categories 1-14'!$B$8:$FM$57))</f>
        <v>1.666666666666665</v>
      </c>
      <c r="J55" s="20" cm="1">
        <f t="array" ref="J55">_xlfn.XLOOKUP($J$6, '15. Workforce Calcs'!$B$8:$BG$8, _xlfn.XLOOKUP(A55, '15. Workforce Calcs'!$A$10:$A$59, '15. Workforce Calcs'!$B$10:$BG$59))</f>
        <v>2</v>
      </c>
      <c r="K55" s="20" cm="1">
        <f t="array" ref="K55">_xlfn.XLOOKUP($K$6, '16. Existing HQs and Projects'!$B$8:$Q$8, _xlfn.XLOOKUP(A55,'16. Existing HQs and Projects'!$A$9:$A$58, '16. Existing HQs and Projects'!$B$9:$Q$58))</f>
        <v>1</v>
      </c>
      <c r="L55" s="37">
        <f t="shared" si="2"/>
        <v>2.1083333333333329</v>
      </c>
      <c r="M55" s="37" cm="1">
        <f t="array" ref="M55">_xlfn.IFS(L55&lt;$L$58, 1, L55&gt;$L$59, 3, L55=$L$59, 3, L55&lt;$L$59, 2)</f>
        <v>2</v>
      </c>
    </row>
    <row r="56" spans="1:13">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20" cm="1">
        <f t="array" ref="E56">_xlfn.XLOOKUP($E$6, 'Metric Categories 1-14'!$B$7:$FM$7, _xlfn.XLOOKUP(A56, 'Metric Categories 1-14'!$A$8:$A$57, 'Metric Categories 1-14'!$B$8:$FM$57))</f>
        <v>3</v>
      </c>
      <c r="F56" s="35">
        <f t="shared" si="1"/>
        <v>0.86999999999999988</v>
      </c>
      <c r="G56" s="301" cm="1">
        <f t="array" ref="G56">_xlfn.IFS(F56&lt;$F$58, 1, F56&gt;$F$59, 3, F56&lt;$F$59, 2)</f>
        <v>1</v>
      </c>
      <c r="H56" s="20" cm="1">
        <f t="array" ref="H56">_xlfn.XLOOKUP($H$6, 'Metric Categories 1-14'!$B$7:$FM$7, _xlfn.XLOOKUP(A56, 'Metric Categories 1-14'!$A$8:$A$57, 'Metric Categories 1-14'!$B$8:$FM$57))</f>
        <v>1.5</v>
      </c>
      <c r="I56" s="20" cm="1">
        <f t="array" ref="I56">_xlfn.XLOOKUP($I$6, 'Metric Categories 1-14'!$B$7:$FM$7, _xlfn.XLOOKUP(A56, 'Metric Categories 1-14'!$A$8:$A$57, 'Metric Categories 1-14'!$B$8:$FM$57))</f>
        <v>1.9999999999999978</v>
      </c>
      <c r="J56" s="20" cm="1">
        <f t="array" ref="J56">_xlfn.XLOOKUP($J$6, '15. Workforce Calcs'!$B$8:$BG$8, _xlfn.XLOOKUP(A56, '15. Workforce Calcs'!$A$10:$A$59, '15. Workforce Calcs'!$B$10:$BG$59))</f>
        <v>1</v>
      </c>
      <c r="K56" s="20" cm="1">
        <f t="array" ref="K56">_xlfn.XLOOKUP($K$6, '16. Existing HQs and Projects'!$B$8:$Q$8, _xlfn.XLOOKUP(A56,'16. Existing HQs and Projects'!$A$9:$A$58, '16. Existing HQs and Projects'!$B$9:$Q$58))</f>
        <v>1</v>
      </c>
      <c r="L56" s="37">
        <f t="shared" si="2"/>
        <v>1.4499999999999995</v>
      </c>
      <c r="M56" s="37" cm="1">
        <f t="array" ref="M56">_xlfn.IFS(L56&lt;$L$58, 1, L56&gt;$L$59, 3, L56=$L$59, 3, L56&lt;$L$59, 2)</f>
        <v>1</v>
      </c>
    </row>
    <row r="57" spans="1:13">
      <c r="I57" s="20"/>
    </row>
    <row r="58" spans="1:13">
      <c r="F58" s="35">
        <f>PERCENTILE(F7:F56, 1/3)</f>
        <v>0.93999999999999984</v>
      </c>
      <c r="L58" s="37">
        <f>PERCENTILE(L7:L56, 1/3)</f>
        <v>1.8361111111111108</v>
      </c>
    </row>
    <row r="59" spans="1:13">
      <c r="F59" s="35">
        <f>PERCENTILE(F7:F56, 2/3)</f>
        <v>1.325833333333333</v>
      </c>
      <c r="L59" s="37">
        <f>PERCENTILE(L7:L56, 2/3)</f>
        <v>2.2666666666666662</v>
      </c>
    </row>
  </sheetData>
  <mergeCells count="2">
    <mergeCell ref="B4:F4"/>
    <mergeCell ref="H4:K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4F6E2-9C96-1140-8DCC-1CD04ABA9D8C}">
  <sheetPr>
    <tabColor rgb="FF7F7F7F"/>
  </sheetPr>
  <dimension ref="A1:P74"/>
  <sheetViews>
    <sheetView workbookViewId="0">
      <selection activeCell="D1" sqref="D1"/>
    </sheetView>
  </sheetViews>
  <sheetFormatPr defaultColWidth="10.85546875" defaultRowHeight="14.45"/>
  <cols>
    <col min="1" max="1" width="20.140625" customWidth="1"/>
    <col min="2" max="17" width="15.85546875" customWidth="1"/>
    <col min="16384" max="16384" width="33.140625" customWidth="1"/>
  </cols>
  <sheetData>
    <row r="1" spans="1:16" ht="29.1">
      <c r="A1" s="4"/>
      <c r="B1" s="4"/>
      <c r="C1" s="2" t="s">
        <v>0</v>
      </c>
      <c r="D1" s="2"/>
      <c r="E1" s="4"/>
      <c r="F1" s="4"/>
      <c r="G1" s="297"/>
      <c r="H1" s="4"/>
      <c r="I1" s="4"/>
      <c r="J1" s="4"/>
      <c r="K1" s="4"/>
      <c r="L1" s="4"/>
      <c r="M1" s="4"/>
      <c r="N1" s="4"/>
    </row>
    <row r="2" spans="1:16" ht="36.950000000000003" thickBot="1">
      <c r="A2" s="5"/>
      <c r="B2" s="5"/>
      <c r="C2" s="307" t="s">
        <v>714</v>
      </c>
      <c r="D2" s="3"/>
      <c r="E2" s="5"/>
      <c r="F2" s="5"/>
      <c r="G2" s="298"/>
      <c r="H2" s="5"/>
      <c r="I2" s="5"/>
      <c r="J2" s="5"/>
      <c r="K2" s="5"/>
      <c r="L2" s="5"/>
      <c r="M2" s="5"/>
      <c r="N2" s="5"/>
    </row>
    <row r="3" spans="1:16" ht="23.25" customHeight="1">
      <c r="A3" s="6"/>
      <c r="B3" s="7"/>
      <c r="C3" s="6"/>
      <c r="D3" s="6"/>
      <c r="E3" s="8"/>
      <c r="F3" s="6"/>
      <c r="G3" s="19"/>
      <c r="H3" s="6"/>
      <c r="I3" s="6"/>
      <c r="J3" s="6"/>
      <c r="K3" s="6"/>
      <c r="L3" s="6"/>
      <c r="M3" s="6"/>
      <c r="N3" s="6"/>
      <c r="O3" s="6"/>
      <c r="P3" s="6"/>
    </row>
    <row r="4" spans="1:16" ht="21.75" customHeight="1">
      <c r="A4" s="21"/>
      <c r="B4" s="576" t="s">
        <v>699</v>
      </c>
      <c r="C4" s="577"/>
      <c r="D4" s="577"/>
      <c r="E4" s="577"/>
      <c r="F4" s="577"/>
      <c r="G4" s="299"/>
      <c r="H4" s="578" t="s">
        <v>700</v>
      </c>
      <c r="I4" s="578"/>
      <c r="J4" s="578"/>
      <c r="K4" s="578"/>
      <c r="L4" s="579"/>
      <c r="M4" s="23"/>
      <c r="N4" s="23"/>
      <c r="O4" s="13"/>
      <c r="P4" s="13"/>
    </row>
    <row r="5" spans="1:16" ht="23.25" customHeight="1">
      <c r="A5" s="21" t="s">
        <v>440</v>
      </c>
      <c r="B5" s="26">
        <v>0.35</v>
      </c>
      <c r="C5" s="26">
        <v>0.35</v>
      </c>
      <c r="D5" s="26">
        <v>0.15</v>
      </c>
      <c r="E5" s="26">
        <v>0.15</v>
      </c>
      <c r="F5" s="26">
        <f>SUM(B5:E5)</f>
        <v>1</v>
      </c>
      <c r="G5" s="300"/>
      <c r="H5" s="28">
        <v>0.35</v>
      </c>
      <c r="I5" s="28">
        <v>0.3</v>
      </c>
      <c r="J5" s="28">
        <v>0.25</v>
      </c>
      <c r="K5" s="28">
        <v>0.05</v>
      </c>
      <c r="L5" s="28">
        <v>0.05</v>
      </c>
      <c r="M5" s="29">
        <f>SUM(H5:L5)</f>
        <v>1</v>
      </c>
      <c r="N5" s="23"/>
      <c r="O5" s="13"/>
      <c r="P5" s="13"/>
    </row>
    <row r="6" spans="1:16" ht="72.95" thickBot="1">
      <c r="A6" s="30" t="s">
        <v>75</v>
      </c>
      <c r="B6" s="15" t="s">
        <v>82</v>
      </c>
      <c r="C6" s="15" t="s">
        <v>84</v>
      </c>
      <c r="D6" s="15" t="s">
        <v>86</v>
      </c>
      <c r="E6" s="15" t="s">
        <v>89</v>
      </c>
      <c r="F6" s="31" t="s">
        <v>701</v>
      </c>
      <c r="G6" s="32" t="s">
        <v>702</v>
      </c>
      <c r="H6" s="15" t="s">
        <v>99</v>
      </c>
      <c r="I6" s="15" t="s">
        <v>113</v>
      </c>
      <c r="J6" s="15" t="s">
        <v>116</v>
      </c>
      <c r="K6" s="15" t="s">
        <v>669</v>
      </c>
      <c r="L6" s="15" t="s">
        <v>696</v>
      </c>
      <c r="M6" s="33" t="s">
        <v>703</v>
      </c>
      <c r="N6" s="33" t="s">
        <v>704</v>
      </c>
    </row>
    <row r="7" spans="1:16" ht="15" customHeight="1">
      <c r="A7" s="65" t="s">
        <v>81</v>
      </c>
      <c r="B7" s="335" cm="1">
        <f t="array" ref="B7">_xlfn.XLOOKUP($B$6, 'Metric Categories 1-14'!$B$7:$FM$7, _xlfn.XLOOKUP(A7, 'Metric Categories 1-14'!$A$8:$A$57, 'Metric Categories 1-14'!$B$8:$FM$57))</f>
        <v>0.99999999999999989</v>
      </c>
      <c r="C7" s="335" cm="1">
        <f t="array" ref="C7">_xlfn.XLOOKUP($C$6, 'Metric Categories 1-14'!$B$7:$FM$7, _xlfn.XLOOKUP(A7, 'Metric Categories 1-14'!$A$8:$A$57, 'Metric Categories 1-14'!$B$8:$FM$57))</f>
        <v>0.99999999999999978</v>
      </c>
      <c r="D7" s="335" cm="1">
        <f t="array" ref="D7">_xlfn.XLOOKUP($D$6, 'Metric Categories 1-14'!$B$7:$FM$7, _xlfn.XLOOKUP(A7, 'Metric Categories 1-14'!$A$8:$A$57, 'Metric Categories 1-14'!$B$8:$FM$57))</f>
        <v>1</v>
      </c>
      <c r="E7" s="335" cm="1">
        <f t="array" ref="E7">_xlfn.XLOOKUP($E$6, 'Metric Categories 1-14'!$B$7:$FM$7, _xlfn.XLOOKUP(A7, 'Metric Categories 1-14'!$A$8:$A$57, 'Metric Categories 1-14'!$B$8:$FM$57))</f>
        <v>1.4000000000000001</v>
      </c>
      <c r="F7" s="336">
        <f>SUMPRODUCT($B$5:$E$5, B7:E7)</f>
        <v>1.0599999999999998</v>
      </c>
      <c r="G7" s="336" cm="1">
        <f t="array" ref="G7">_xlfn.IFS(F7&lt;$F$58, 1, F7&gt;$F$59, 3, F7=$F$59, 3, F7&lt;$F$59, 2)</f>
        <v>1</v>
      </c>
      <c r="H7" s="335" cm="1">
        <f t="array" ref="H7">_xlfn.XLOOKUP($H$6, 'Metric Categories 1-14'!$B$7:$FM$7, _xlfn.XLOOKUP(A7, 'Metric Categories 1-14'!$A$8:$A$57, 'Metric Categories 1-14'!$B$8:$FM$57))</f>
        <v>3</v>
      </c>
      <c r="I7" s="335" cm="1">
        <f t="array" ref="I7">_xlfn.XLOOKUP($I$6, 'Metric Categories 1-14'!$B$7:$FM$7, _xlfn.XLOOKUP(A7, 'Metric Categories 1-14'!$A$8:$A$57, 'Metric Categories 1-14'!$B$8:$FM$57))</f>
        <v>1.4</v>
      </c>
      <c r="J7" s="335" cm="1">
        <f t="array" ref="J7">_xlfn.XLOOKUP($J$6, 'Metric Categories 1-14'!$B$7:$FM$7, _xlfn.XLOOKUP(A7, 'Metric Categories 1-14'!$A$8:$A$57, 'Metric Categories 1-14'!$B$8:$FM$57))</f>
        <v>2.25</v>
      </c>
      <c r="K7" s="335" cm="1">
        <f t="array" ref="K7">_xlfn.XLOOKUP($K$6, '15. Workforce Calcs'!$B$8:$BG$8, _xlfn.XLOOKUP(A7, '15. Workforce Calcs'!$A$10:$A$59, '15. Workforce Calcs'!$B$10:$BG$59))</f>
        <v>2</v>
      </c>
      <c r="L7" s="335" cm="1">
        <f t="array" ref="L7">_xlfn.XLOOKUP($L$6, '16. Existing HQs and Projects'!$B$8:$Q$8, _xlfn.XLOOKUP(A7,'16. Existing HQs and Projects'!$A$9:$A$58, '16. Existing HQs and Projects'!$B$9:$Q$58))</f>
        <v>1</v>
      </c>
      <c r="M7" s="337">
        <f t="shared" ref="M7:M37" si="0">SUMPRODUCT($H$5:$L$5, H7:L7)</f>
        <v>2.1824999999999997</v>
      </c>
      <c r="N7" s="337" cm="1">
        <f t="array" ref="N7">_xlfn.IFS(M7&lt;$M$58, 1, M7&gt;$M$59, 3, M7 = $M$59, 3, M7&lt;$M$59, 2)</f>
        <v>3</v>
      </c>
      <c r="O7" s="13"/>
      <c r="P7" s="13"/>
    </row>
    <row r="8" spans="1:16">
      <c r="A8" s="39" t="s">
        <v>83</v>
      </c>
      <c r="B8" s="332" cm="1">
        <f t="array" ref="B8">_xlfn.XLOOKUP($B$6, 'Metric Categories 1-14'!$B$7:$FM$7, _xlfn.XLOOKUP(A8, 'Metric Categories 1-14'!$A$8:$A$57, 'Metric Categories 1-14'!$B$8:$FM$57))</f>
        <v>0.99999999999999989</v>
      </c>
      <c r="C8" s="332" cm="1">
        <f t="array" ref="C8">_xlfn.XLOOKUP($C$6, 'Metric Categories 1-14'!$B$7:$FM$7, _xlfn.XLOOKUP(A8, 'Metric Categories 1-14'!$A$8:$A$57, 'Metric Categories 1-14'!$B$8:$FM$57))</f>
        <v>0.99999999999999978</v>
      </c>
      <c r="D8" s="332" cm="1">
        <f t="array" ref="D8">_xlfn.XLOOKUP($D$6, 'Metric Categories 1-14'!$B$7:$FM$7, _xlfn.XLOOKUP(A8, 'Metric Categories 1-14'!$A$8:$A$57, 'Metric Categories 1-14'!$B$8:$FM$57))</f>
        <v>1</v>
      </c>
      <c r="E8" s="332" cm="1">
        <f t="array" ref="E8">_xlfn.XLOOKUP($E$6, 'Metric Categories 1-14'!$B$7:$FM$7, _xlfn.XLOOKUP(A8, 'Metric Categories 1-14'!$A$8:$A$57, 'Metric Categories 1-14'!$B$8:$FM$57))</f>
        <v>1.5</v>
      </c>
      <c r="F8" s="333">
        <f t="shared" ref="F8:F56" si="1">SUMPRODUCT($B$5:$E$5, B8:E8)</f>
        <v>1.0749999999999997</v>
      </c>
      <c r="G8" s="336" cm="1">
        <f t="array" ref="G8">_xlfn.IFS(F8&lt;$F$58, 1, F8&gt;$F$59, 3, F8=$F$59, 3, F8&lt;$F$59, 2)</f>
        <v>1</v>
      </c>
      <c r="H8" s="332" cm="1">
        <f t="array" ref="H8">_xlfn.XLOOKUP($H$6, 'Metric Categories 1-14'!$B$7:$FM$7, _xlfn.XLOOKUP(A8, 'Metric Categories 1-14'!$A$8:$A$57, 'Metric Categories 1-14'!$B$8:$FM$57))</f>
        <v>1</v>
      </c>
      <c r="I8" s="332" cm="1">
        <f t="array" ref="I8">_xlfn.XLOOKUP($I$6, 'Metric Categories 1-14'!$B$7:$FM$7, _xlfn.XLOOKUP(A8, 'Metric Categories 1-14'!$A$8:$A$57, 'Metric Categories 1-14'!$B$8:$FM$57))</f>
        <v>1</v>
      </c>
      <c r="J8" s="332" cm="1">
        <f t="array" ref="J8">_xlfn.XLOOKUP($J$6, 'Metric Categories 1-14'!$B$7:$FM$7, _xlfn.XLOOKUP(A8, 'Metric Categories 1-14'!$A$8:$A$57, 'Metric Categories 1-14'!$B$8:$FM$57))</f>
        <v>2.5</v>
      </c>
      <c r="K8" s="332" cm="1">
        <f t="array" ref="K8">_xlfn.XLOOKUP($K$6, '15. Workforce Calcs'!$B$8:$BG$8, _xlfn.XLOOKUP(A8, '15. Workforce Calcs'!$A$10:$A$59, '15. Workforce Calcs'!$B$10:$BG$59))</f>
        <v>1</v>
      </c>
      <c r="L8" s="332" cm="1">
        <f t="array" ref="L8">_xlfn.XLOOKUP($L$6, '16. Existing HQs and Projects'!$B$8:$Q$8, _xlfn.XLOOKUP(A8,'16. Existing HQs and Projects'!$A$9:$A$58, '16. Existing HQs and Projects'!$B$9:$Q$58))</f>
        <v>1</v>
      </c>
      <c r="M8" s="334">
        <f t="shared" si="0"/>
        <v>1.375</v>
      </c>
      <c r="N8" s="337" cm="1">
        <f t="array" ref="N8">_xlfn.IFS(M8&lt;$M$58, 1, M8&gt;$M$59, 3, M8 = $M$59, 3, M8&lt;$M$59, 2)</f>
        <v>1</v>
      </c>
      <c r="O8" s="13"/>
      <c r="P8" s="13"/>
    </row>
    <row r="9" spans="1:16">
      <c r="A9" s="39" t="s">
        <v>74</v>
      </c>
      <c r="B9" s="332" cm="1">
        <f t="array" ref="B9">_xlfn.XLOOKUP($B$6, 'Metric Categories 1-14'!$B$7:$FM$7, _xlfn.XLOOKUP(A9, 'Metric Categories 1-14'!$A$8:$A$57, 'Metric Categories 1-14'!$B$8:$FM$57))</f>
        <v>1.25</v>
      </c>
      <c r="C9" s="332" cm="1">
        <f t="array" ref="C9">_xlfn.XLOOKUP($C$6, 'Metric Categories 1-14'!$B$7:$FM$7, _xlfn.XLOOKUP(A9, 'Metric Categories 1-14'!$A$8:$A$57, 'Metric Categories 1-14'!$B$8:$FM$57))</f>
        <v>0.99999999999999978</v>
      </c>
      <c r="D9" s="332" cm="1">
        <f t="array" ref="D9">_xlfn.XLOOKUP($D$6, 'Metric Categories 1-14'!$B$7:$FM$7, _xlfn.XLOOKUP(A9, 'Metric Categories 1-14'!$A$8:$A$57, 'Metric Categories 1-14'!$B$8:$FM$57))</f>
        <v>1</v>
      </c>
      <c r="E9" s="332" cm="1">
        <f t="array" ref="E9">_xlfn.XLOOKUP($E$6, 'Metric Categories 1-14'!$B$7:$FM$7, _xlfn.XLOOKUP(A9, 'Metric Categories 1-14'!$A$8:$A$57, 'Metric Categories 1-14'!$B$8:$FM$57))</f>
        <v>1.5</v>
      </c>
      <c r="F9" s="333">
        <f t="shared" si="1"/>
        <v>1.1624999999999999</v>
      </c>
      <c r="G9" s="336" cm="1">
        <f t="array" ref="G9">_xlfn.IFS(F9&lt;$F$58, 1, F9&gt;$F$59, 3, F9=$F$59, 3, F9&lt;$F$59, 2)</f>
        <v>1</v>
      </c>
      <c r="H9" s="332" cm="1">
        <f t="array" ref="H9">_xlfn.XLOOKUP($H$6, 'Metric Categories 1-14'!$B$7:$FM$7, _xlfn.XLOOKUP(A9, 'Metric Categories 1-14'!$A$8:$A$57, 'Metric Categories 1-14'!$B$8:$FM$57))</f>
        <v>2</v>
      </c>
      <c r="I9" s="332" cm="1">
        <f t="array" ref="I9">_xlfn.XLOOKUP($I$6, 'Metric Categories 1-14'!$B$7:$FM$7, _xlfn.XLOOKUP(A9, 'Metric Categories 1-14'!$A$8:$A$57, 'Metric Categories 1-14'!$B$8:$FM$57))</f>
        <v>1.2000000000000002</v>
      </c>
      <c r="J9" s="332" cm="1">
        <f t="array" ref="J9">_xlfn.XLOOKUP($J$6, 'Metric Categories 1-14'!$B$7:$FM$7, _xlfn.XLOOKUP(A9, 'Metric Categories 1-14'!$A$8:$A$57, 'Metric Categories 1-14'!$B$8:$FM$57))</f>
        <v>1.5</v>
      </c>
      <c r="K9" s="332" cm="1">
        <f t="array" ref="K9">_xlfn.XLOOKUP($K$6, '15. Workforce Calcs'!$B$8:$BG$8, _xlfn.XLOOKUP(A9, '15. Workforce Calcs'!$A$10:$A$59, '15. Workforce Calcs'!$B$10:$BG$59))</f>
        <v>2</v>
      </c>
      <c r="L9" s="332" cm="1">
        <f t="array" ref="L9">_xlfn.XLOOKUP($L$6, '16. Existing HQs and Projects'!$B$8:$Q$8, _xlfn.XLOOKUP(A9,'16. Existing HQs and Projects'!$A$9:$A$58, '16. Existing HQs and Projects'!$B$9:$Q$58))</f>
        <v>1</v>
      </c>
      <c r="M9" s="334">
        <f t="shared" si="0"/>
        <v>1.5850000000000002</v>
      </c>
      <c r="N9" s="337" cm="1">
        <f t="array" ref="N9">_xlfn.IFS(M9&lt;$M$58, 1, M9&gt;$M$59, 3, M9 = $M$59, 3, M9&lt;$M$59, 2)</f>
        <v>1</v>
      </c>
      <c r="O9" s="13"/>
      <c r="P9" s="13"/>
    </row>
    <row r="10" spans="1:16">
      <c r="A10" s="39" t="s">
        <v>88</v>
      </c>
      <c r="B10" s="332" cm="1">
        <f t="array" ref="B10">_xlfn.XLOOKUP($B$6, 'Metric Categories 1-14'!$B$7:$FM$7, _xlfn.XLOOKUP(A10, 'Metric Categories 1-14'!$A$8:$A$57, 'Metric Categories 1-14'!$B$8:$FM$57))</f>
        <v>1.5</v>
      </c>
      <c r="C10" s="332" cm="1">
        <f t="array" ref="C10">_xlfn.XLOOKUP($C$6, 'Metric Categories 1-14'!$B$7:$FM$7, _xlfn.XLOOKUP(A10, 'Metric Categories 1-14'!$A$8:$A$57, 'Metric Categories 1-14'!$B$8:$FM$57))</f>
        <v>0.99999999999999978</v>
      </c>
      <c r="D10" s="332" cm="1">
        <f t="array" ref="D10">_xlfn.XLOOKUP($D$6, 'Metric Categories 1-14'!$B$7:$FM$7, _xlfn.XLOOKUP(A10, 'Metric Categories 1-14'!$A$8:$A$57, 'Metric Categories 1-14'!$B$8:$FM$57))</f>
        <v>1</v>
      </c>
      <c r="E10" s="332" cm="1">
        <f t="array" ref="E10">_xlfn.XLOOKUP($E$6, 'Metric Categories 1-14'!$B$7:$FM$7, _xlfn.XLOOKUP(A10, 'Metric Categories 1-14'!$A$8:$A$57, 'Metric Categories 1-14'!$B$8:$FM$57))</f>
        <v>1.4000000000000001</v>
      </c>
      <c r="F10" s="333">
        <f t="shared" si="1"/>
        <v>1.2349999999999997</v>
      </c>
      <c r="G10" s="336" cm="1">
        <f t="array" ref="G10">_xlfn.IFS(F10&lt;$F$58, 1, F10&gt;$F$59, 3, F10=$F$59, 3, F10&lt;$F$59, 2)</f>
        <v>2</v>
      </c>
      <c r="H10" s="332" cm="1">
        <f t="array" ref="H10">_xlfn.XLOOKUP($H$6, 'Metric Categories 1-14'!$B$7:$FM$7, _xlfn.XLOOKUP(A10, 'Metric Categories 1-14'!$A$8:$A$57, 'Metric Categories 1-14'!$B$8:$FM$57))</f>
        <v>3</v>
      </c>
      <c r="I10" s="332" cm="1">
        <f t="array" ref="I10">_xlfn.XLOOKUP($I$6, 'Metric Categories 1-14'!$B$7:$FM$7, _xlfn.XLOOKUP(A10, 'Metric Categories 1-14'!$A$8:$A$57, 'Metric Categories 1-14'!$B$8:$FM$57))</f>
        <v>1.2000000000000002</v>
      </c>
      <c r="J10" s="332" cm="1">
        <f t="array" ref="J10">_xlfn.XLOOKUP($J$6, 'Metric Categories 1-14'!$B$7:$FM$7, _xlfn.XLOOKUP(A10, 'Metric Categories 1-14'!$A$8:$A$57, 'Metric Categories 1-14'!$B$8:$FM$57))</f>
        <v>1.75</v>
      </c>
      <c r="K10" s="332" cm="1">
        <f t="array" ref="K10">_xlfn.XLOOKUP($K$6, '15. Workforce Calcs'!$B$8:$BG$8, _xlfn.XLOOKUP(A10, '15. Workforce Calcs'!$A$10:$A$59, '15. Workforce Calcs'!$B$10:$BG$59))</f>
        <v>2</v>
      </c>
      <c r="L10" s="332" cm="1">
        <f t="array" ref="L10">_xlfn.XLOOKUP($L$6, '16. Existing HQs and Projects'!$B$8:$Q$8, _xlfn.XLOOKUP(A10,'16. Existing HQs and Projects'!$A$9:$A$58, '16. Existing HQs and Projects'!$B$9:$Q$58))</f>
        <v>1</v>
      </c>
      <c r="M10" s="334">
        <f t="shared" si="0"/>
        <v>1.9975000000000001</v>
      </c>
      <c r="N10" s="337" cm="1">
        <f t="array" ref="N10">_xlfn.IFS(M10&lt;$M$58, 1, M10&gt;$M$59, 3, M10 = $M$59, 3, M10&lt;$M$59, 2)</f>
        <v>2</v>
      </c>
      <c r="O10" s="13"/>
      <c r="P10" s="13"/>
    </row>
    <row r="11" spans="1:16">
      <c r="A11" s="39" t="s">
        <v>91</v>
      </c>
      <c r="B11" s="332" cm="1">
        <f t="array" ref="B11">_xlfn.XLOOKUP($B$6, 'Metric Categories 1-14'!$B$7:$FM$7, _xlfn.XLOOKUP(A11, 'Metric Categories 1-14'!$A$8:$A$57, 'Metric Categories 1-14'!$B$8:$FM$57))</f>
        <v>3</v>
      </c>
      <c r="C11" s="332" cm="1">
        <f t="array" ref="C11">_xlfn.XLOOKUP($C$6, 'Metric Categories 1-14'!$B$7:$FM$7, _xlfn.XLOOKUP(A11, 'Metric Categories 1-14'!$A$8:$A$57, 'Metric Categories 1-14'!$B$8:$FM$57))</f>
        <v>1.4249999999999998</v>
      </c>
      <c r="D11" s="332" cm="1">
        <f t="array" ref="D11">_xlfn.XLOOKUP($D$6, 'Metric Categories 1-14'!$B$7:$FM$7, _xlfn.XLOOKUP(A11, 'Metric Categories 1-14'!$A$8:$A$57, 'Metric Categories 1-14'!$B$8:$FM$57))</f>
        <v>3</v>
      </c>
      <c r="E11" s="332" cm="1">
        <f t="array" ref="E11">_xlfn.XLOOKUP($E$6, 'Metric Categories 1-14'!$B$7:$FM$7, _xlfn.XLOOKUP(A11, 'Metric Categories 1-14'!$A$8:$A$57, 'Metric Categories 1-14'!$B$8:$FM$57))</f>
        <v>2</v>
      </c>
      <c r="F11" s="333">
        <f t="shared" si="1"/>
        <v>2.2987499999999996</v>
      </c>
      <c r="G11" s="336" cm="1">
        <f t="array" ref="G11">_xlfn.IFS(F11&lt;$F$58, 1, F11&gt;$F$59, 3, F11=$F$59, 3, F11&lt;$F$59, 2)</f>
        <v>3</v>
      </c>
      <c r="H11" s="332" cm="1">
        <f t="array" ref="H11">_xlfn.XLOOKUP($H$6, 'Metric Categories 1-14'!$B$7:$FM$7, _xlfn.XLOOKUP(A11, 'Metric Categories 1-14'!$A$8:$A$57, 'Metric Categories 1-14'!$B$8:$FM$57))</f>
        <v>1</v>
      </c>
      <c r="I11" s="332" cm="1">
        <f t="array" ref="I11">_xlfn.XLOOKUP($I$6, 'Metric Categories 1-14'!$B$7:$FM$7, _xlfn.XLOOKUP(A11, 'Metric Categories 1-14'!$A$8:$A$57, 'Metric Categories 1-14'!$B$8:$FM$57))</f>
        <v>2.2000000000000002</v>
      </c>
      <c r="J11" s="332" cm="1">
        <f t="array" ref="J11">_xlfn.XLOOKUP($J$6, 'Metric Categories 1-14'!$B$7:$FM$7, _xlfn.XLOOKUP(A11, 'Metric Categories 1-14'!$A$8:$A$57, 'Metric Categories 1-14'!$B$8:$FM$57))</f>
        <v>3</v>
      </c>
      <c r="K11" s="332" cm="1">
        <f t="array" ref="K11">_xlfn.XLOOKUP($K$6, '15. Workforce Calcs'!$B$8:$BG$8, _xlfn.XLOOKUP(A11, '15. Workforce Calcs'!$A$10:$A$59, '15. Workforce Calcs'!$B$10:$BG$59))</f>
        <v>3</v>
      </c>
      <c r="L11" s="332" cm="1">
        <f t="array" ref="L11">_xlfn.XLOOKUP($L$6, '16. Existing HQs and Projects'!$B$8:$Q$8, _xlfn.XLOOKUP(A11,'16. Existing HQs and Projects'!$A$9:$A$58, '16. Existing HQs and Projects'!$B$9:$Q$58))</f>
        <v>3</v>
      </c>
      <c r="M11" s="334">
        <f t="shared" si="0"/>
        <v>2.06</v>
      </c>
      <c r="N11" s="337" cm="1">
        <f t="array" ref="N11">_xlfn.IFS(M11&lt;$M$58, 1, M11&gt;$M$59, 3, M11 = $M$59, 3, M11&lt;$M$59, 2)</f>
        <v>3</v>
      </c>
      <c r="O11" s="13"/>
      <c r="P11" s="13"/>
    </row>
    <row r="12" spans="1:16">
      <c r="A12" s="39" t="s">
        <v>93</v>
      </c>
      <c r="B12" s="332" cm="1">
        <f t="array" ref="B12">_xlfn.XLOOKUP($B$6, 'Metric Categories 1-14'!$B$7:$FM$7, _xlfn.XLOOKUP(A12, 'Metric Categories 1-14'!$A$8:$A$57, 'Metric Categories 1-14'!$B$8:$FM$57))</f>
        <v>2.15</v>
      </c>
      <c r="C12" s="332" cm="1">
        <f t="array" ref="C12">_xlfn.XLOOKUP($C$6, 'Metric Categories 1-14'!$B$7:$FM$7, _xlfn.XLOOKUP(A12, 'Metric Categories 1-14'!$A$8:$A$57, 'Metric Categories 1-14'!$B$8:$FM$57))</f>
        <v>1.9</v>
      </c>
      <c r="D12" s="332" cm="1">
        <f t="array" ref="D12">_xlfn.XLOOKUP($D$6, 'Metric Categories 1-14'!$B$7:$FM$7, _xlfn.XLOOKUP(A12, 'Metric Categories 1-14'!$A$8:$A$57, 'Metric Categories 1-14'!$B$8:$FM$57))</f>
        <v>1.4</v>
      </c>
      <c r="E12" s="332" cm="1">
        <f t="array" ref="E12">_xlfn.XLOOKUP($E$6, 'Metric Categories 1-14'!$B$7:$FM$7, _xlfn.XLOOKUP(A12, 'Metric Categories 1-14'!$A$8:$A$57, 'Metric Categories 1-14'!$B$8:$FM$57))</f>
        <v>1.2000000000000002</v>
      </c>
      <c r="F12" s="333">
        <f t="shared" si="1"/>
        <v>1.8074999999999999</v>
      </c>
      <c r="G12" s="336" cm="1">
        <f t="array" ref="G12">_xlfn.IFS(F12&lt;$F$58, 1, F12&gt;$F$59, 3, F12=$F$59, 3, F12&lt;$F$59, 2)</f>
        <v>3</v>
      </c>
      <c r="H12" s="332" cm="1">
        <f t="array" ref="H12">_xlfn.XLOOKUP($H$6, 'Metric Categories 1-14'!$B$7:$FM$7, _xlfn.XLOOKUP(A12, 'Metric Categories 1-14'!$A$8:$A$57, 'Metric Categories 1-14'!$B$8:$FM$57))</f>
        <v>3</v>
      </c>
      <c r="I12" s="332" cm="1">
        <f t="array" ref="I12">_xlfn.XLOOKUP($I$6, 'Metric Categories 1-14'!$B$7:$FM$7, _xlfn.XLOOKUP(A12, 'Metric Categories 1-14'!$A$8:$A$57, 'Metric Categories 1-14'!$B$8:$FM$57))</f>
        <v>2.2000000000000002</v>
      </c>
      <c r="J12" s="332" cm="1">
        <f t="array" ref="J12">_xlfn.XLOOKUP($J$6, 'Metric Categories 1-14'!$B$7:$FM$7, _xlfn.XLOOKUP(A12, 'Metric Categories 1-14'!$A$8:$A$57, 'Metric Categories 1-14'!$B$8:$FM$57))</f>
        <v>2.5</v>
      </c>
      <c r="K12" s="332" cm="1">
        <f t="array" ref="K12">_xlfn.XLOOKUP($K$6, '15. Workforce Calcs'!$B$8:$BG$8, _xlfn.XLOOKUP(A12, '15. Workforce Calcs'!$A$10:$A$59, '15. Workforce Calcs'!$B$10:$BG$59))</f>
        <v>2</v>
      </c>
      <c r="L12" s="332" cm="1">
        <f t="array" ref="L12">_xlfn.XLOOKUP($L$6, '16. Existing HQs and Projects'!$B$8:$Q$8, _xlfn.XLOOKUP(A12,'16. Existing HQs and Projects'!$A$9:$A$58, '16. Existing HQs and Projects'!$B$9:$Q$58))</f>
        <v>3</v>
      </c>
      <c r="M12" s="334">
        <f t="shared" si="0"/>
        <v>2.585</v>
      </c>
      <c r="N12" s="337" cm="1">
        <f t="array" ref="N12">_xlfn.IFS(M12&lt;$M$58, 1, M12&gt;$M$59, 3, M12 = $M$59, 3, M12&lt;$M$59, 2)</f>
        <v>3</v>
      </c>
    </row>
    <row r="13" spans="1:16">
      <c r="A13" s="39" t="s">
        <v>95</v>
      </c>
      <c r="B13" s="332" cm="1">
        <f t="array" ref="B13">_xlfn.XLOOKUP($B$6, 'Metric Categories 1-14'!$B$7:$FM$7, _xlfn.XLOOKUP(A13, 'Metric Categories 1-14'!$A$8:$A$57, 'Metric Categories 1-14'!$B$8:$FM$57))</f>
        <v>2</v>
      </c>
      <c r="C13" s="332" cm="1">
        <f t="array" ref="C13">_xlfn.XLOOKUP($C$6, 'Metric Categories 1-14'!$B$7:$FM$7, _xlfn.XLOOKUP(A13, 'Metric Categories 1-14'!$A$8:$A$57, 'Metric Categories 1-14'!$B$8:$FM$57))</f>
        <v>1.0749999999999997</v>
      </c>
      <c r="D13" s="332" cm="1">
        <f t="array" ref="D13">_xlfn.XLOOKUP($D$6, 'Metric Categories 1-14'!$B$7:$FM$7, _xlfn.XLOOKUP(A13, 'Metric Categories 1-14'!$A$8:$A$57, 'Metric Categories 1-14'!$B$8:$FM$57))</f>
        <v>2.8</v>
      </c>
      <c r="E13" s="332" cm="1">
        <f t="array" ref="E13">_xlfn.XLOOKUP($E$6, 'Metric Categories 1-14'!$B$7:$FM$7, _xlfn.XLOOKUP(A13, 'Metric Categories 1-14'!$A$8:$A$57, 'Metric Categories 1-14'!$B$8:$FM$57))</f>
        <v>1.4000000000000001</v>
      </c>
      <c r="F13" s="333">
        <f t="shared" si="1"/>
        <v>1.7062499999999998</v>
      </c>
      <c r="G13" s="336" cm="1">
        <f t="array" ref="G13">_xlfn.IFS(F13&lt;$F$58, 1, F13&gt;$F$59, 3, F13=$F$59, 3, F13&lt;$F$59, 2)</f>
        <v>3</v>
      </c>
      <c r="H13" s="332" cm="1">
        <f t="array" ref="H13">_xlfn.XLOOKUP($H$6, 'Metric Categories 1-14'!$B$7:$FM$7, _xlfn.XLOOKUP(A13, 'Metric Categories 1-14'!$A$8:$A$57, 'Metric Categories 1-14'!$B$8:$FM$57))</f>
        <v>1</v>
      </c>
      <c r="I13" s="332" cm="1">
        <f t="array" ref="I13">_xlfn.XLOOKUP($I$6, 'Metric Categories 1-14'!$B$7:$FM$7, _xlfn.XLOOKUP(A13, 'Metric Categories 1-14'!$A$8:$A$57, 'Metric Categories 1-14'!$B$8:$FM$57))</f>
        <v>1</v>
      </c>
      <c r="J13" s="332" cm="1">
        <f t="array" ref="J13">_xlfn.XLOOKUP($J$6, 'Metric Categories 1-14'!$B$7:$FM$7, _xlfn.XLOOKUP(A13, 'Metric Categories 1-14'!$A$8:$A$57, 'Metric Categories 1-14'!$B$8:$FM$57))</f>
        <v>1.5</v>
      </c>
      <c r="K13" s="332" cm="1">
        <f t="array" ref="K13">_xlfn.XLOOKUP($K$6, '15. Workforce Calcs'!$B$8:$BG$8, _xlfn.XLOOKUP(A13, '15. Workforce Calcs'!$A$10:$A$59, '15. Workforce Calcs'!$B$10:$BG$59))</f>
        <v>2</v>
      </c>
      <c r="L13" s="332" cm="1">
        <f t="array" ref="L13">_xlfn.XLOOKUP($L$6, '16. Existing HQs and Projects'!$B$8:$Q$8, _xlfn.XLOOKUP(A13,'16. Existing HQs and Projects'!$A$9:$A$58, '16. Existing HQs and Projects'!$B$9:$Q$58))</f>
        <v>1</v>
      </c>
      <c r="M13" s="334">
        <f t="shared" si="0"/>
        <v>1.175</v>
      </c>
      <c r="N13" s="337" cm="1">
        <f t="array" ref="N13">_xlfn.IFS(M13&lt;$M$58, 1, M13&gt;$M$59, 3, M13 = $M$59, 3, M13&lt;$M$59, 2)</f>
        <v>1</v>
      </c>
    </row>
    <row r="14" spans="1:16">
      <c r="A14" s="39" t="s">
        <v>98</v>
      </c>
      <c r="B14" s="332" cm="1">
        <f t="array" ref="B14">_xlfn.XLOOKUP($B$6, 'Metric Categories 1-14'!$B$7:$FM$7, _xlfn.XLOOKUP(A14, 'Metric Categories 1-14'!$A$8:$A$57, 'Metric Categories 1-14'!$B$8:$FM$57))</f>
        <v>2.4</v>
      </c>
      <c r="C14" s="332" cm="1">
        <f t="array" ref="C14">_xlfn.XLOOKUP($C$6, 'Metric Categories 1-14'!$B$7:$FM$7, _xlfn.XLOOKUP(A14, 'Metric Categories 1-14'!$A$8:$A$57, 'Metric Categories 1-14'!$B$8:$FM$57))</f>
        <v>1.0749999999999997</v>
      </c>
      <c r="D14" s="332" cm="1">
        <f t="array" ref="D14">_xlfn.XLOOKUP($D$6, 'Metric Categories 1-14'!$B$7:$FM$7, _xlfn.XLOOKUP(A14, 'Metric Categories 1-14'!$A$8:$A$57, 'Metric Categories 1-14'!$B$8:$FM$57))</f>
        <v>1.2</v>
      </c>
      <c r="E14" s="332" cm="1">
        <f t="array" ref="E14">_xlfn.XLOOKUP($E$6, 'Metric Categories 1-14'!$B$7:$FM$7, _xlfn.XLOOKUP(A14, 'Metric Categories 1-14'!$A$8:$A$57, 'Metric Categories 1-14'!$B$8:$FM$57))</f>
        <v>1.2000000000000002</v>
      </c>
      <c r="F14" s="333">
        <f t="shared" si="1"/>
        <v>1.5762499999999997</v>
      </c>
      <c r="G14" s="336" cm="1">
        <f t="array" ref="G14">_xlfn.IFS(F14&lt;$F$58, 1, F14&gt;$F$59, 3, F14=$F$59, 3, F14&lt;$F$59, 2)</f>
        <v>3</v>
      </c>
      <c r="H14" s="332" cm="1">
        <f t="array" ref="H14">_xlfn.XLOOKUP($H$6, 'Metric Categories 1-14'!$B$7:$FM$7, _xlfn.XLOOKUP(A14, 'Metric Categories 1-14'!$A$8:$A$57, 'Metric Categories 1-14'!$B$8:$FM$57))</f>
        <v>1</v>
      </c>
      <c r="I14" s="332" cm="1">
        <f t="array" ref="I14">_xlfn.XLOOKUP($I$6, 'Metric Categories 1-14'!$B$7:$FM$7, _xlfn.XLOOKUP(A14, 'Metric Categories 1-14'!$A$8:$A$57, 'Metric Categories 1-14'!$B$8:$FM$57))</f>
        <v>1</v>
      </c>
      <c r="J14" s="332" cm="1">
        <f t="array" ref="J14">_xlfn.XLOOKUP($J$6, 'Metric Categories 1-14'!$B$7:$FM$7, _xlfn.XLOOKUP(A14, 'Metric Categories 1-14'!$A$8:$A$57, 'Metric Categories 1-14'!$B$8:$FM$57))</f>
        <v>1.25</v>
      </c>
      <c r="K14" s="332" cm="1">
        <f t="array" ref="K14">_xlfn.XLOOKUP($K$6, '15. Workforce Calcs'!$B$8:$BG$8, _xlfn.XLOOKUP(A14, '15. Workforce Calcs'!$A$10:$A$59, '15. Workforce Calcs'!$B$10:$BG$59))</f>
        <v>1</v>
      </c>
      <c r="L14" s="332" cm="1">
        <f t="array" ref="L14">_xlfn.XLOOKUP($L$6, '16. Existing HQs and Projects'!$B$8:$Q$8, _xlfn.XLOOKUP(A14,'16. Existing HQs and Projects'!$A$9:$A$58, '16. Existing HQs and Projects'!$B$9:$Q$58))</f>
        <v>1</v>
      </c>
      <c r="M14" s="334">
        <f t="shared" si="0"/>
        <v>1.0625</v>
      </c>
      <c r="N14" s="337" cm="1">
        <f t="array" ref="N14">_xlfn.IFS(M14&lt;$M$58, 1, M14&gt;$M$59, 3, M14 = $M$59, 3, M14&lt;$M$59, 2)</f>
        <v>1</v>
      </c>
      <c r="O14" s="12"/>
      <c r="P14" s="13"/>
    </row>
    <row r="15" spans="1:16">
      <c r="A15" s="39" t="s">
        <v>101</v>
      </c>
      <c r="B15" s="332" cm="1">
        <f t="array" ref="B15">_xlfn.XLOOKUP($B$6, 'Metric Categories 1-14'!$B$7:$FM$7, _xlfn.XLOOKUP(A15, 'Metric Categories 1-14'!$A$8:$A$57, 'Metric Categories 1-14'!$B$8:$FM$57))</f>
        <v>1.45</v>
      </c>
      <c r="C15" s="332" cm="1">
        <f t="array" ref="C15">_xlfn.XLOOKUP($C$6, 'Metric Categories 1-14'!$B$7:$FM$7, _xlfn.XLOOKUP(A15, 'Metric Categories 1-14'!$A$8:$A$57, 'Metric Categories 1-14'!$B$8:$FM$57))</f>
        <v>0.99999999999999978</v>
      </c>
      <c r="D15" s="332" cm="1">
        <f t="array" ref="D15">_xlfn.XLOOKUP($D$6, 'Metric Categories 1-14'!$B$7:$FM$7, _xlfn.XLOOKUP(A15, 'Metric Categories 1-14'!$A$8:$A$57, 'Metric Categories 1-14'!$B$8:$FM$57))</f>
        <v>1.8</v>
      </c>
      <c r="E15" s="332" cm="1">
        <f t="array" ref="E15">_xlfn.XLOOKUP($E$6, 'Metric Categories 1-14'!$B$7:$FM$7, _xlfn.XLOOKUP(A15, 'Metric Categories 1-14'!$A$8:$A$57, 'Metric Categories 1-14'!$B$8:$FM$57))</f>
        <v>1.4000000000000001</v>
      </c>
      <c r="F15" s="333">
        <f t="shared" si="1"/>
        <v>1.3374999999999999</v>
      </c>
      <c r="G15" s="336" cm="1">
        <f t="array" ref="G15">_xlfn.IFS(F15&lt;$F$58, 1, F15&gt;$F$59, 3, F15=$F$59, 3, F15&lt;$F$59, 2)</f>
        <v>2</v>
      </c>
      <c r="H15" s="332" cm="1">
        <f t="array" ref="H15">_xlfn.XLOOKUP($H$6, 'Metric Categories 1-14'!$B$7:$FM$7, _xlfn.XLOOKUP(A15, 'Metric Categories 1-14'!$A$8:$A$57, 'Metric Categories 1-14'!$B$8:$FM$57))</f>
        <v>3</v>
      </c>
      <c r="I15" s="332" cm="1">
        <f t="array" ref="I15">_xlfn.XLOOKUP($I$6, 'Metric Categories 1-14'!$B$7:$FM$7, _xlfn.XLOOKUP(A15, 'Metric Categories 1-14'!$A$8:$A$57, 'Metric Categories 1-14'!$B$8:$FM$57))</f>
        <v>1.2000000000000002</v>
      </c>
      <c r="J15" s="332" cm="1">
        <f t="array" ref="J15">_xlfn.XLOOKUP($J$6, 'Metric Categories 1-14'!$B$7:$FM$7, _xlfn.XLOOKUP(A15, 'Metric Categories 1-14'!$A$8:$A$57, 'Metric Categories 1-14'!$B$8:$FM$57))</f>
        <v>2</v>
      </c>
      <c r="K15" s="332" cm="1">
        <f t="array" ref="K15">_xlfn.XLOOKUP($K$6, '15. Workforce Calcs'!$B$8:$BG$8, _xlfn.XLOOKUP(A15, '15. Workforce Calcs'!$A$10:$A$59, '15. Workforce Calcs'!$B$10:$BG$59))</f>
        <v>3</v>
      </c>
      <c r="L15" s="332" cm="1">
        <f t="array" ref="L15">_xlfn.XLOOKUP($L$6, '16. Existing HQs and Projects'!$B$8:$Q$8, _xlfn.XLOOKUP(A15,'16. Existing HQs and Projects'!$A$9:$A$58, '16. Existing HQs and Projects'!$B$9:$Q$58))</f>
        <v>1</v>
      </c>
      <c r="M15" s="334">
        <f t="shared" si="0"/>
        <v>2.11</v>
      </c>
      <c r="N15" s="337" cm="1">
        <f t="array" ref="N15">_xlfn.IFS(M15&lt;$M$58, 1, M15&gt;$M$59, 3, M15 = $M$59, 3, M15&lt;$M$59, 2)</f>
        <v>3</v>
      </c>
      <c r="O15" s="12"/>
      <c r="P15" s="13"/>
    </row>
    <row r="16" spans="1:16">
      <c r="A16" s="39" t="s">
        <v>104</v>
      </c>
      <c r="B16" s="332" cm="1">
        <f t="array" ref="B16">_xlfn.XLOOKUP($B$6, 'Metric Categories 1-14'!$B$7:$FM$7, _xlfn.XLOOKUP(A16, 'Metric Categories 1-14'!$A$8:$A$57, 'Metric Categories 1-14'!$B$8:$FM$57))</f>
        <v>0.99999999999999989</v>
      </c>
      <c r="C16" s="332" cm="1">
        <f t="array" ref="C16">_xlfn.XLOOKUP($C$6, 'Metric Categories 1-14'!$B$7:$FM$7, _xlfn.XLOOKUP(A16, 'Metric Categories 1-14'!$A$8:$A$57, 'Metric Categories 1-14'!$B$8:$FM$57))</f>
        <v>0.99999999999999978</v>
      </c>
      <c r="D16" s="332" cm="1">
        <f t="array" ref="D16">_xlfn.XLOOKUP($D$6, 'Metric Categories 1-14'!$B$7:$FM$7, _xlfn.XLOOKUP(A16, 'Metric Categories 1-14'!$A$8:$A$57, 'Metric Categories 1-14'!$B$8:$FM$57))</f>
        <v>1.5999999999999999</v>
      </c>
      <c r="E16" s="332" cm="1">
        <f t="array" ref="E16">_xlfn.XLOOKUP($E$6, 'Metric Categories 1-14'!$B$7:$FM$7, _xlfn.XLOOKUP(A16, 'Metric Categories 1-14'!$A$8:$A$57, 'Metric Categories 1-14'!$B$8:$FM$57))</f>
        <v>1.4000000000000001</v>
      </c>
      <c r="F16" s="333">
        <f t="shared" si="1"/>
        <v>1.1499999999999999</v>
      </c>
      <c r="G16" s="336" cm="1">
        <f t="array" ref="G16">_xlfn.IFS(F16&lt;$F$58, 1, F16&gt;$F$59, 3, F16=$F$59, 3, F16&lt;$F$59, 2)</f>
        <v>1</v>
      </c>
      <c r="H16" s="332" cm="1">
        <f t="array" ref="H16">_xlfn.XLOOKUP($H$6, 'Metric Categories 1-14'!$B$7:$FM$7, _xlfn.XLOOKUP(A16, 'Metric Categories 1-14'!$A$8:$A$57, 'Metric Categories 1-14'!$B$8:$FM$57))</f>
        <v>2</v>
      </c>
      <c r="I16" s="332" cm="1">
        <f t="array" ref="I16">_xlfn.XLOOKUP($I$6, 'Metric Categories 1-14'!$B$7:$FM$7, _xlfn.XLOOKUP(A16, 'Metric Categories 1-14'!$A$8:$A$57, 'Metric Categories 1-14'!$B$8:$FM$57))</f>
        <v>1.2000000000000002</v>
      </c>
      <c r="J16" s="332" cm="1">
        <f t="array" ref="J16">_xlfn.XLOOKUP($J$6, 'Metric Categories 1-14'!$B$7:$FM$7, _xlfn.XLOOKUP(A16, 'Metric Categories 1-14'!$A$8:$A$57, 'Metric Categories 1-14'!$B$8:$FM$57))</f>
        <v>2.5</v>
      </c>
      <c r="K16" s="332" cm="1">
        <f t="array" ref="K16">_xlfn.XLOOKUP($K$6, '15. Workforce Calcs'!$B$8:$BG$8, _xlfn.XLOOKUP(A16, '15. Workforce Calcs'!$A$10:$A$59, '15. Workforce Calcs'!$B$10:$BG$59))</f>
        <v>3</v>
      </c>
      <c r="L16" s="332" cm="1">
        <f t="array" ref="L16">_xlfn.XLOOKUP($L$6, '16. Existing HQs and Projects'!$B$8:$Q$8, _xlfn.XLOOKUP(A16,'16. Existing HQs and Projects'!$A$9:$A$58, '16. Existing HQs and Projects'!$B$9:$Q$58))</f>
        <v>1</v>
      </c>
      <c r="M16" s="334">
        <f t="shared" si="0"/>
        <v>1.885</v>
      </c>
      <c r="N16" s="337" cm="1">
        <f t="array" ref="N16">_xlfn.IFS(M16&lt;$M$58, 1, M16&gt;$M$59, 3, M16 = $M$59, 3, M16&lt;$M$59, 2)</f>
        <v>2</v>
      </c>
      <c r="O16" s="12"/>
      <c r="P16" s="13"/>
    </row>
    <row r="17" spans="1:16">
      <c r="A17" s="39" t="s">
        <v>106</v>
      </c>
      <c r="B17" s="332" cm="1">
        <f t="array" ref="B17">_xlfn.XLOOKUP($B$6, 'Metric Categories 1-14'!$B$7:$FM$7, _xlfn.XLOOKUP(A17, 'Metric Categories 1-14'!$A$8:$A$57, 'Metric Categories 1-14'!$B$8:$FM$57))</f>
        <v>2.15</v>
      </c>
      <c r="C17" s="332" cm="1">
        <f t="array" ref="C17">_xlfn.XLOOKUP($C$6, 'Metric Categories 1-14'!$B$7:$FM$7, _xlfn.XLOOKUP(A17, 'Metric Categories 1-14'!$A$8:$A$57, 'Metric Categories 1-14'!$B$8:$FM$57))</f>
        <v>1.2</v>
      </c>
      <c r="D17" s="332" cm="1">
        <f t="array" ref="D17">_xlfn.XLOOKUP($D$6, 'Metric Categories 1-14'!$B$7:$FM$7, _xlfn.XLOOKUP(A17, 'Metric Categories 1-14'!$A$8:$A$57, 'Metric Categories 1-14'!$B$8:$FM$57))</f>
        <v>1.5999999999999999</v>
      </c>
      <c r="E17" s="332" cm="1">
        <f t="array" ref="E17">_xlfn.XLOOKUP($E$6, 'Metric Categories 1-14'!$B$7:$FM$7, _xlfn.XLOOKUP(A17, 'Metric Categories 1-14'!$A$8:$A$57, 'Metric Categories 1-14'!$B$8:$FM$57))</f>
        <v>1.4000000000000001</v>
      </c>
      <c r="F17" s="333">
        <f t="shared" si="1"/>
        <v>1.6224999999999998</v>
      </c>
      <c r="G17" s="336" cm="1">
        <f t="array" ref="G17">_xlfn.IFS(F17&lt;$F$58, 1, F17&gt;$F$59, 3, F17=$F$59, 3, F17&lt;$F$59, 2)</f>
        <v>3</v>
      </c>
      <c r="H17" s="332" cm="1">
        <f t="array" ref="H17">_xlfn.XLOOKUP($H$6, 'Metric Categories 1-14'!$B$7:$FM$7, _xlfn.XLOOKUP(A17, 'Metric Categories 1-14'!$A$8:$A$57, 'Metric Categories 1-14'!$B$8:$FM$57))</f>
        <v>1</v>
      </c>
      <c r="I17" s="332" cm="1">
        <f t="array" ref="I17">_xlfn.XLOOKUP($I$6, 'Metric Categories 1-14'!$B$7:$FM$7, _xlfn.XLOOKUP(A17, 'Metric Categories 1-14'!$A$8:$A$57, 'Metric Categories 1-14'!$B$8:$FM$57))</f>
        <v>1</v>
      </c>
      <c r="J17" s="332" cm="1">
        <f t="array" ref="J17">_xlfn.XLOOKUP($J$6, 'Metric Categories 1-14'!$B$7:$FM$7, _xlfn.XLOOKUP(A17, 'Metric Categories 1-14'!$A$8:$A$57, 'Metric Categories 1-14'!$B$8:$FM$57))</f>
        <v>1.25</v>
      </c>
      <c r="K17" s="332" cm="1">
        <f t="array" ref="K17">_xlfn.XLOOKUP($K$6, '15. Workforce Calcs'!$B$8:$BG$8, _xlfn.XLOOKUP(A17, '15. Workforce Calcs'!$A$10:$A$59, '15. Workforce Calcs'!$B$10:$BG$59))</f>
        <v>1</v>
      </c>
      <c r="L17" s="332" cm="1">
        <f t="array" ref="L17">_xlfn.XLOOKUP($L$6, '16. Existing HQs and Projects'!$B$8:$Q$8, _xlfn.XLOOKUP(A17,'16. Existing HQs and Projects'!$A$9:$A$58, '16. Existing HQs and Projects'!$B$9:$Q$58))</f>
        <v>1</v>
      </c>
      <c r="M17" s="334">
        <f t="shared" si="0"/>
        <v>1.0625</v>
      </c>
      <c r="N17" s="337" cm="1">
        <f t="array" ref="N17">_xlfn.IFS(M17&lt;$M$58, 1, M17&gt;$M$59, 3, M17 = $M$59, 3, M17&lt;$M$59, 2)</f>
        <v>1</v>
      </c>
      <c r="O17" s="13"/>
      <c r="P17" s="13"/>
    </row>
    <row r="18" spans="1:16">
      <c r="A18" s="39" t="s">
        <v>108</v>
      </c>
      <c r="B18" s="332" cm="1">
        <f t="array" ref="B18">_xlfn.XLOOKUP($B$6, 'Metric Categories 1-14'!$B$7:$FM$7, _xlfn.XLOOKUP(A18, 'Metric Categories 1-14'!$A$8:$A$57, 'Metric Categories 1-14'!$B$8:$FM$57))</f>
        <v>0.99999999999999989</v>
      </c>
      <c r="C18" s="332" cm="1">
        <f t="array" ref="C18">_xlfn.XLOOKUP($C$6, 'Metric Categories 1-14'!$B$7:$FM$7, _xlfn.XLOOKUP(A18, 'Metric Categories 1-14'!$A$8:$A$57, 'Metric Categories 1-14'!$B$8:$FM$57))</f>
        <v>0.99999999999999978</v>
      </c>
      <c r="D18" s="332" cm="1">
        <f t="array" ref="D18">_xlfn.XLOOKUP($D$6, 'Metric Categories 1-14'!$B$7:$FM$7, _xlfn.XLOOKUP(A18, 'Metric Categories 1-14'!$A$8:$A$57, 'Metric Categories 1-14'!$B$8:$FM$57))</f>
        <v>1.5999999999999999</v>
      </c>
      <c r="E18" s="332" cm="1">
        <f t="array" ref="E18">_xlfn.XLOOKUP($E$6, 'Metric Categories 1-14'!$B$7:$FM$7, _xlfn.XLOOKUP(A18, 'Metric Categories 1-14'!$A$8:$A$57, 'Metric Categories 1-14'!$B$8:$FM$57))</f>
        <v>1.2000000000000002</v>
      </c>
      <c r="F18" s="333">
        <f t="shared" si="1"/>
        <v>1.1199999999999999</v>
      </c>
      <c r="G18" s="336" cm="1">
        <f t="array" ref="G18">_xlfn.IFS(F18&lt;$F$58, 1, F18&gt;$F$59, 3, F18=$F$59, 3, F18&lt;$F$59, 2)</f>
        <v>1</v>
      </c>
      <c r="H18" s="332" cm="1">
        <f t="array" ref="H18">_xlfn.XLOOKUP($H$6, 'Metric Categories 1-14'!$B$7:$FM$7, _xlfn.XLOOKUP(A18, 'Metric Categories 1-14'!$A$8:$A$57, 'Metric Categories 1-14'!$B$8:$FM$57))</f>
        <v>1</v>
      </c>
      <c r="I18" s="332" cm="1">
        <f t="array" ref="I18">_xlfn.XLOOKUP($I$6, 'Metric Categories 1-14'!$B$7:$FM$7, _xlfn.XLOOKUP(A18, 'Metric Categories 1-14'!$A$8:$A$57, 'Metric Categories 1-14'!$B$8:$FM$57))</f>
        <v>1</v>
      </c>
      <c r="J18" s="332" cm="1">
        <f t="array" ref="J18">_xlfn.XLOOKUP($J$6, 'Metric Categories 1-14'!$B$7:$FM$7, _xlfn.XLOOKUP(A18, 'Metric Categories 1-14'!$A$8:$A$57, 'Metric Categories 1-14'!$B$8:$FM$57))</f>
        <v>1.75</v>
      </c>
      <c r="K18" s="332" cm="1">
        <f t="array" ref="K18">_xlfn.XLOOKUP($K$6, '15. Workforce Calcs'!$B$8:$BG$8, _xlfn.XLOOKUP(A18, '15. Workforce Calcs'!$A$10:$A$59, '15. Workforce Calcs'!$B$10:$BG$59))</f>
        <v>1</v>
      </c>
      <c r="L18" s="332" cm="1">
        <f t="array" ref="L18">_xlfn.XLOOKUP($L$6, '16. Existing HQs and Projects'!$B$8:$Q$8, _xlfn.XLOOKUP(A18,'16. Existing HQs and Projects'!$A$9:$A$58, '16. Existing HQs and Projects'!$B$9:$Q$58))</f>
        <v>1</v>
      </c>
      <c r="M18" s="334">
        <f t="shared" si="0"/>
        <v>1.1875</v>
      </c>
      <c r="N18" s="337" cm="1">
        <f t="array" ref="N18">_xlfn.IFS(M18&lt;$M$58, 1, M18&gt;$M$59, 3, M18 = $M$59, 3, M18&lt;$M$59, 2)</f>
        <v>1</v>
      </c>
      <c r="O18" s="13"/>
      <c r="P18" s="13"/>
    </row>
    <row r="19" spans="1:16">
      <c r="A19" s="39" t="s">
        <v>110</v>
      </c>
      <c r="B19" s="332" cm="1">
        <f t="array" ref="B19">_xlfn.XLOOKUP($B$6, 'Metric Categories 1-14'!$B$7:$FM$7, _xlfn.XLOOKUP(A19, 'Metric Categories 1-14'!$A$8:$A$57, 'Metric Categories 1-14'!$B$8:$FM$57))</f>
        <v>1.5</v>
      </c>
      <c r="C19" s="332" cm="1">
        <f t="array" ref="C19">_xlfn.XLOOKUP($C$6, 'Metric Categories 1-14'!$B$7:$FM$7, _xlfn.XLOOKUP(A19, 'Metric Categories 1-14'!$A$8:$A$57, 'Metric Categories 1-14'!$B$8:$FM$57))</f>
        <v>1.2</v>
      </c>
      <c r="D19" s="332" cm="1">
        <f t="array" ref="D19">_xlfn.XLOOKUP($D$6, 'Metric Categories 1-14'!$B$7:$FM$7, _xlfn.XLOOKUP(A19, 'Metric Categories 1-14'!$A$8:$A$57, 'Metric Categories 1-14'!$B$8:$FM$57))</f>
        <v>2.5999999999999996</v>
      </c>
      <c r="E19" s="332" cm="1">
        <f t="array" ref="E19">_xlfn.XLOOKUP($E$6, 'Metric Categories 1-14'!$B$7:$FM$7, _xlfn.XLOOKUP(A19, 'Metric Categories 1-14'!$A$8:$A$57, 'Metric Categories 1-14'!$B$8:$FM$57))</f>
        <v>1.6</v>
      </c>
      <c r="F19" s="333">
        <f t="shared" si="1"/>
        <v>1.5749999999999997</v>
      </c>
      <c r="G19" s="336" cm="1">
        <f t="array" ref="G19">_xlfn.IFS(F19&lt;$F$58, 1, F19&gt;$F$59, 3, F19=$F$59, 3, F19&lt;$F$59, 2)</f>
        <v>3</v>
      </c>
      <c r="H19" s="332" cm="1">
        <f t="array" ref="H19">_xlfn.XLOOKUP($H$6, 'Metric Categories 1-14'!$B$7:$FM$7, _xlfn.XLOOKUP(A19, 'Metric Categories 1-14'!$A$8:$A$57, 'Metric Categories 1-14'!$B$8:$FM$57))</f>
        <v>2</v>
      </c>
      <c r="I19" s="332" cm="1">
        <f t="array" ref="I19">_xlfn.XLOOKUP($I$6, 'Metric Categories 1-14'!$B$7:$FM$7, _xlfn.XLOOKUP(A19, 'Metric Categories 1-14'!$A$8:$A$57, 'Metric Categories 1-14'!$B$8:$FM$57))</f>
        <v>2.2000000000000002</v>
      </c>
      <c r="J19" s="332" cm="1">
        <f t="array" ref="J19">_xlfn.XLOOKUP($J$6, 'Metric Categories 1-14'!$B$7:$FM$7, _xlfn.XLOOKUP(A19, 'Metric Categories 1-14'!$A$8:$A$57, 'Metric Categories 1-14'!$B$8:$FM$57))</f>
        <v>2.5</v>
      </c>
      <c r="K19" s="332" cm="1">
        <f t="array" ref="K19">_xlfn.XLOOKUP($K$6, '15. Workforce Calcs'!$B$8:$BG$8, _xlfn.XLOOKUP(A19, '15. Workforce Calcs'!$A$10:$A$59, '15. Workforce Calcs'!$B$10:$BG$59))</f>
        <v>3</v>
      </c>
      <c r="L19" s="332" cm="1">
        <f t="array" ref="L19">_xlfn.XLOOKUP($L$6, '16. Existing HQs and Projects'!$B$8:$Q$8, _xlfn.XLOOKUP(A19,'16. Existing HQs and Projects'!$A$9:$A$58, '16. Existing HQs and Projects'!$B$9:$Q$58))</f>
        <v>1</v>
      </c>
      <c r="M19" s="334">
        <f t="shared" si="0"/>
        <v>2.1849999999999996</v>
      </c>
      <c r="N19" s="337" cm="1">
        <f t="array" ref="N19">_xlfn.IFS(M19&lt;$M$58, 1, M19&gt;$M$59, 3, M19 = $M$59, 3, M19&lt;$M$59, 2)</f>
        <v>3</v>
      </c>
      <c r="O19" s="13"/>
      <c r="P19" s="13"/>
    </row>
    <row r="20" spans="1:16">
      <c r="A20" s="39" t="s">
        <v>112</v>
      </c>
      <c r="B20" s="332" cm="1">
        <f t="array" ref="B20">_xlfn.XLOOKUP($B$6, 'Metric Categories 1-14'!$B$7:$FM$7, _xlfn.XLOOKUP(A20, 'Metric Categories 1-14'!$A$8:$A$57, 'Metric Categories 1-14'!$B$8:$FM$57))</f>
        <v>0.99999999999999989</v>
      </c>
      <c r="C20" s="332" cm="1">
        <f t="array" ref="C20">_xlfn.XLOOKUP($C$6, 'Metric Categories 1-14'!$B$7:$FM$7, _xlfn.XLOOKUP(A20, 'Metric Categories 1-14'!$A$8:$A$57, 'Metric Categories 1-14'!$B$8:$FM$57))</f>
        <v>0.99999999999999978</v>
      </c>
      <c r="D20" s="332" cm="1">
        <f t="array" ref="D20">_xlfn.XLOOKUP($D$6, 'Metric Categories 1-14'!$B$7:$FM$7, _xlfn.XLOOKUP(A20, 'Metric Categories 1-14'!$A$8:$A$57, 'Metric Categories 1-14'!$B$8:$FM$57))</f>
        <v>1.5999999999999999</v>
      </c>
      <c r="E20" s="332" cm="1">
        <f t="array" ref="E20">_xlfn.XLOOKUP($E$6, 'Metric Categories 1-14'!$B$7:$FM$7, _xlfn.XLOOKUP(A20, 'Metric Categories 1-14'!$A$8:$A$57, 'Metric Categories 1-14'!$B$8:$FM$57))</f>
        <v>2.2000000000000002</v>
      </c>
      <c r="F20" s="333">
        <f t="shared" si="1"/>
        <v>1.2699999999999998</v>
      </c>
      <c r="G20" s="336" cm="1">
        <f t="array" ref="G20">_xlfn.IFS(F20&lt;$F$58, 1, F20&gt;$F$59, 3, F20=$F$59, 3, F20&lt;$F$59, 2)</f>
        <v>2</v>
      </c>
      <c r="H20" s="332" cm="1">
        <f t="array" ref="H20">_xlfn.XLOOKUP($H$6, 'Metric Categories 1-14'!$B$7:$FM$7, _xlfn.XLOOKUP(A20, 'Metric Categories 1-14'!$A$8:$A$57, 'Metric Categories 1-14'!$B$8:$FM$57))</f>
        <v>2</v>
      </c>
      <c r="I20" s="332" cm="1">
        <f t="array" ref="I20">_xlfn.XLOOKUP($I$6, 'Metric Categories 1-14'!$B$7:$FM$7, _xlfn.XLOOKUP(A20, 'Metric Categories 1-14'!$A$8:$A$57, 'Metric Categories 1-14'!$B$8:$FM$57))</f>
        <v>2.2000000000000002</v>
      </c>
      <c r="J20" s="332" cm="1">
        <f t="array" ref="J20">_xlfn.XLOOKUP($J$6, 'Metric Categories 1-14'!$B$7:$FM$7, _xlfn.XLOOKUP(A20, 'Metric Categories 1-14'!$A$8:$A$57, 'Metric Categories 1-14'!$B$8:$FM$57))</f>
        <v>2</v>
      </c>
      <c r="K20" s="332" cm="1">
        <f t="array" ref="K20">_xlfn.XLOOKUP($K$6, '15. Workforce Calcs'!$B$8:$BG$8, _xlfn.XLOOKUP(A20, '15. Workforce Calcs'!$A$10:$A$59, '15. Workforce Calcs'!$B$10:$BG$59))</f>
        <v>3</v>
      </c>
      <c r="L20" s="332" cm="1">
        <f t="array" ref="L20">_xlfn.XLOOKUP($L$6, '16. Existing HQs and Projects'!$B$8:$Q$8, _xlfn.XLOOKUP(A20,'16. Existing HQs and Projects'!$A$9:$A$58, '16. Existing HQs and Projects'!$B$9:$Q$58))</f>
        <v>1</v>
      </c>
      <c r="M20" s="334">
        <f t="shared" si="0"/>
        <v>2.0599999999999996</v>
      </c>
      <c r="N20" s="337" cm="1">
        <f t="array" ref="N20">_xlfn.IFS(M20&lt;$M$58, 1, M20&gt;$M$59, 3, M20 = $M$59, 3, M20&lt;$M$59, 2)</f>
        <v>3</v>
      </c>
      <c r="O20" s="13"/>
      <c r="P20" s="13"/>
    </row>
    <row r="21" spans="1:16">
      <c r="A21" s="39" t="s">
        <v>115</v>
      </c>
      <c r="B21" s="332" cm="1">
        <f t="array" ref="B21">_xlfn.XLOOKUP($B$6, 'Metric Categories 1-14'!$B$7:$FM$7, _xlfn.XLOOKUP(A21, 'Metric Categories 1-14'!$A$8:$A$57, 'Metric Categories 1-14'!$B$8:$FM$57))</f>
        <v>1.5</v>
      </c>
      <c r="C21" s="332" cm="1">
        <f t="array" ref="C21">_xlfn.XLOOKUP($C$6, 'Metric Categories 1-14'!$B$7:$FM$7, _xlfn.XLOOKUP(A21, 'Metric Categories 1-14'!$A$8:$A$57, 'Metric Categories 1-14'!$B$8:$FM$57))</f>
        <v>0.99999999999999978</v>
      </c>
      <c r="D21" s="332" cm="1">
        <f t="array" ref="D21">_xlfn.XLOOKUP($D$6, 'Metric Categories 1-14'!$B$7:$FM$7, _xlfn.XLOOKUP(A21, 'Metric Categories 1-14'!$A$8:$A$57, 'Metric Categories 1-14'!$B$8:$FM$57))</f>
        <v>1</v>
      </c>
      <c r="E21" s="332" cm="1">
        <f t="array" ref="E21">_xlfn.XLOOKUP($E$6, 'Metric Categories 1-14'!$B$7:$FM$7, _xlfn.XLOOKUP(A21, 'Metric Categories 1-14'!$A$8:$A$57, 'Metric Categories 1-14'!$B$8:$FM$57))</f>
        <v>1.6</v>
      </c>
      <c r="F21" s="333">
        <f t="shared" si="1"/>
        <v>1.2649999999999997</v>
      </c>
      <c r="G21" s="336" cm="1">
        <f t="array" ref="G21">_xlfn.IFS(F21&lt;$F$58, 1, F21&gt;$F$59, 3, F21=$F$59, 3, F21&lt;$F$59, 2)</f>
        <v>2</v>
      </c>
      <c r="H21" s="332" cm="1">
        <f t="array" ref="H21">_xlfn.XLOOKUP($H$6, 'Metric Categories 1-14'!$B$7:$FM$7, _xlfn.XLOOKUP(A21, 'Metric Categories 1-14'!$A$8:$A$57, 'Metric Categories 1-14'!$B$8:$FM$57))</f>
        <v>3</v>
      </c>
      <c r="I21" s="332" cm="1">
        <f t="array" ref="I21">_xlfn.XLOOKUP($I$6, 'Metric Categories 1-14'!$B$7:$FM$7, _xlfn.XLOOKUP(A21, 'Metric Categories 1-14'!$A$8:$A$57, 'Metric Categories 1-14'!$B$8:$FM$57))</f>
        <v>1.4</v>
      </c>
      <c r="J21" s="332" cm="1">
        <f t="array" ref="J21">_xlfn.XLOOKUP($J$6, 'Metric Categories 1-14'!$B$7:$FM$7, _xlfn.XLOOKUP(A21, 'Metric Categories 1-14'!$A$8:$A$57, 'Metric Categories 1-14'!$B$8:$FM$57))</f>
        <v>1</v>
      </c>
      <c r="K21" s="332" cm="1">
        <f t="array" ref="K21">_xlfn.XLOOKUP($K$6, '15. Workforce Calcs'!$B$8:$BG$8, _xlfn.XLOOKUP(A21, '15. Workforce Calcs'!$A$10:$A$59, '15. Workforce Calcs'!$B$10:$BG$59))</f>
        <v>2</v>
      </c>
      <c r="L21" s="332" cm="1">
        <f t="array" ref="L21">_xlfn.XLOOKUP($L$6, '16. Existing HQs and Projects'!$B$8:$Q$8, _xlfn.XLOOKUP(A21,'16. Existing HQs and Projects'!$A$9:$A$58, '16. Existing HQs and Projects'!$B$9:$Q$58))</f>
        <v>3</v>
      </c>
      <c r="M21" s="334">
        <f t="shared" si="0"/>
        <v>1.9699999999999998</v>
      </c>
      <c r="N21" s="337" cm="1">
        <f t="array" ref="N21">_xlfn.IFS(M21&lt;$M$58, 1, M21&gt;$M$59, 3, M21 = $M$59, 3, M21&lt;$M$59, 2)</f>
        <v>2</v>
      </c>
      <c r="O21" s="13"/>
      <c r="P21" s="13"/>
    </row>
    <row r="22" spans="1:16">
      <c r="A22" s="39" t="s">
        <v>118</v>
      </c>
      <c r="B22" s="332" cm="1">
        <f t="array" ref="B22">_xlfn.XLOOKUP($B$6, 'Metric Categories 1-14'!$B$7:$FM$7, _xlfn.XLOOKUP(A22, 'Metric Categories 1-14'!$A$8:$A$57, 'Metric Categories 1-14'!$B$8:$FM$57))</f>
        <v>0.99999999999999989</v>
      </c>
      <c r="C22" s="332" cm="1">
        <f t="array" ref="C22">_xlfn.XLOOKUP($C$6, 'Metric Categories 1-14'!$B$7:$FM$7, _xlfn.XLOOKUP(A22, 'Metric Categories 1-14'!$A$8:$A$57, 'Metric Categories 1-14'!$B$8:$FM$57))</f>
        <v>0.79999999999999993</v>
      </c>
      <c r="D22" s="332" cm="1">
        <f t="array" ref="D22">_xlfn.XLOOKUP($D$6, 'Metric Categories 1-14'!$B$7:$FM$7, _xlfn.XLOOKUP(A22, 'Metric Categories 1-14'!$A$8:$A$57, 'Metric Categories 1-14'!$B$8:$FM$57))</f>
        <v>1</v>
      </c>
      <c r="E22" s="332" cm="1">
        <f t="array" ref="E22">_xlfn.XLOOKUP($E$6, 'Metric Categories 1-14'!$B$7:$FM$7, _xlfn.XLOOKUP(A22, 'Metric Categories 1-14'!$A$8:$A$57, 'Metric Categories 1-14'!$B$8:$FM$57))</f>
        <v>1.4000000000000001</v>
      </c>
      <c r="F22" s="333">
        <f t="shared" si="1"/>
        <v>0.99</v>
      </c>
      <c r="G22" s="336" cm="1">
        <f t="array" ref="G22">_xlfn.IFS(F22&lt;$F$58, 1, F22&gt;$F$59, 3, F22=$F$59, 3, F22&lt;$F$59, 2)</f>
        <v>1</v>
      </c>
      <c r="H22" s="332" cm="1">
        <f t="array" ref="H22">_xlfn.XLOOKUP($H$6, 'Metric Categories 1-14'!$B$7:$FM$7, _xlfn.XLOOKUP(A22, 'Metric Categories 1-14'!$A$8:$A$57, 'Metric Categories 1-14'!$B$8:$FM$57))</f>
        <v>3</v>
      </c>
      <c r="I22" s="332" cm="1">
        <f t="array" ref="I22">_xlfn.XLOOKUP($I$6, 'Metric Categories 1-14'!$B$7:$FM$7, _xlfn.XLOOKUP(A22, 'Metric Categories 1-14'!$A$8:$A$57, 'Metric Categories 1-14'!$B$8:$FM$57))</f>
        <v>1.8000000000000003</v>
      </c>
      <c r="J22" s="332" cm="1">
        <f t="array" ref="J22">_xlfn.XLOOKUP($J$6, 'Metric Categories 1-14'!$B$7:$FM$7, _xlfn.XLOOKUP(A22, 'Metric Categories 1-14'!$A$8:$A$57, 'Metric Categories 1-14'!$B$8:$FM$57))</f>
        <v>2.25</v>
      </c>
      <c r="K22" s="332" cm="1">
        <f t="array" ref="K22">_xlfn.XLOOKUP($K$6, '15. Workforce Calcs'!$B$8:$BG$8, _xlfn.XLOOKUP(A22, '15. Workforce Calcs'!$A$10:$A$59, '15. Workforce Calcs'!$B$10:$BG$59))</f>
        <v>2</v>
      </c>
      <c r="L22" s="332" cm="1">
        <f t="array" ref="L22">_xlfn.XLOOKUP($L$6, '16. Existing HQs and Projects'!$B$8:$Q$8, _xlfn.XLOOKUP(A22,'16. Existing HQs and Projects'!$A$9:$A$58, '16. Existing HQs and Projects'!$B$9:$Q$58))</f>
        <v>1</v>
      </c>
      <c r="M22" s="334">
        <f t="shared" si="0"/>
        <v>2.3024999999999998</v>
      </c>
      <c r="N22" s="337" cm="1">
        <f t="array" ref="N22">_xlfn.IFS(M22&lt;$M$58, 1, M22&gt;$M$59, 3, M22 = $M$59, 3, M22&lt;$M$59, 2)</f>
        <v>3</v>
      </c>
      <c r="O22" s="13"/>
      <c r="P22" s="13"/>
    </row>
    <row r="23" spans="1:16">
      <c r="A23" s="39" t="s">
        <v>121</v>
      </c>
      <c r="B23" s="332" cm="1">
        <f t="array" ref="B23">_xlfn.XLOOKUP($B$6, 'Metric Categories 1-14'!$B$7:$FM$7, _xlfn.XLOOKUP(A23, 'Metric Categories 1-14'!$A$8:$A$57, 'Metric Categories 1-14'!$B$8:$FM$57))</f>
        <v>1.95</v>
      </c>
      <c r="C23" s="332" cm="1">
        <f t="array" ref="C23">_xlfn.XLOOKUP($C$6, 'Metric Categories 1-14'!$B$7:$FM$7, _xlfn.XLOOKUP(A23, 'Metric Categories 1-14'!$A$8:$A$57, 'Metric Categories 1-14'!$B$8:$FM$57))</f>
        <v>0.99999999999999978</v>
      </c>
      <c r="D23" s="332" cm="1">
        <f t="array" ref="D23">_xlfn.XLOOKUP($D$6, 'Metric Categories 1-14'!$B$7:$FM$7, _xlfn.XLOOKUP(A23, 'Metric Categories 1-14'!$A$8:$A$57, 'Metric Categories 1-14'!$B$8:$FM$57))</f>
        <v>1</v>
      </c>
      <c r="E23" s="332" cm="1">
        <f t="array" ref="E23">_xlfn.XLOOKUP($E$6, 'Metric Categories 1-14'!$B$7:$FM$7, _xlfn.XLOOKUP(A23, 'Metric Categories 1-14'!$A$8:$A$57, 'Metric Categories 1-14'!$B$8:$FM$57))</f>
        <v>1.8</v>
      </c>
      <c r="F23" s="333">
        <f t="shared" si="1"/>
        <v>1.4524999999999999</v>
      </c>
      <c r="G23" s="336" cm="1">
        <f t="array" ref="G23">_xlfn.IFS(F23&lt;$F$58, 1, F23&gt;$F$59, 3, F23=$F$59, 3, F23&lt;$F$59, 2)</f>
        <v>2</v>
      </c>
      <c r="H23" s="332" cm="1">
        <f t="array" ref="H23">_xlfn.XLOOKUP($H$6, 'Metric Categories 1-14'!$B$7:$FM$7, _xlfn.XLOOKUP(A23, 'Metric Categories 1-14'!$A$8:$A$57, 'Metric Categories 1-14'!$B$8:$FM$57))</f>
        <v>3</v>
      </c>
      <c r="I23" s="332" cm="1">
        <f t="array" ref="I23">_xlfn.XLOOKUP($I$6, 'Metric Categories 1-14'!$B$7:$FM$7, _xlfn.XLOOKUP(A23, 'Metric Categories 1-14'!$A$8:$A$57, 'Metric Categories 1-14'!$B$8:$FM$57))</f>
        <v>1.2000000000000002</v>
      </c>
      <c r="J23" s="332" cm="1">
        <f t="array" ref="J23">_xlfn.XLOOKUP($J$6, 'Metric Categories 1-14'!$B$7:$FM$7, _xlfn.XLOOKUP(A23, 'Metric Categories 1-14'!$A$8:$A$57, 'Metric Categories 1-14'!$B$8:$FM$57))</f>
        <v>1.75</v>
      </c>
      <c r="K23" s="332" cm="1">
        <f t="array" ref="K23">_xlfn.XLOOKUP($K$6, '15. Workforce Calcs'!$B$8:$BG$8, _xlfn.XLOOKUP(A23, '15. Workforce Calcs'!$A$10:$A$59, '15. Workforce Calcs'!$B$10:$BG$59))</f>
        <v>2</v>
      </c>
      <c r="L23" s="332" cm="1">
        <f t="array" ref="L23">_xlfn.XLOOKUP($L$6, '16. Existing HQs and Projects'!$B$8:$Q$8, _xlfn.XLOOKUP(A23,'16. Existing HQs and Projects'!$A$9:$A$58, '16. Existing HQs and Projects'!$B$9:$Q$58))</f>
        <v>1</v>
      </c>
      <c r="M23" s="334">
        <f t="shared" si="0"/>
        <v>1.9975000000000001</v>
      </c>
      <c r="N23" s="337" cm="1">
        <f t="array" ref="N23">_xlfn.IFS(M23&lt;$M$58, 1, M23&gt;$M$59, 3, M23 = $M$59, 3, M23&lt;$M$59, 2)</f>
        <v>2</v>
      </c>
      <c r="O23" s="13"/>
      <c r="P23" s="13"/>
    </row>
    <row r="24" spans="1:16">
      <c r="A24" s="39" t="s">
        <v>124</v>
      </c>
      <c r="B24" s="332" cm="1">
        <f t="array" ref="B24">_xlfn.XLOOKUP($B$6, 'Metric Categories 1-14'!$B$7:$FM$7, _xlfn.XLOOKUP(A24, 'Metric Categories 1-14'!$A$8:$A$57, 'Metric Categories 1-14'!$B$8:$FM$57))</f>
        <v>2.0999999999999996</v>
      </c>
      <c r="C24" s="332" cm="1">
        <f t="array" ref="C24">_xlfn.XLOOKUP($C$6, 'Metric Categories 1-14'!$B$7:$FM$7, _xlfn.XLOOKUP(A24, 'Metric Categories 1-14'!$A$8:$A$57, 'Metric Categories 1-14'!$B$8:$FM$57))</f>
        <v>0.79999999999999993</v>
      </c>
      <c r="D24" s="332" cm="1">
        <f t="array" ref="D24">_xlfn.XLOOKUP($D$6, 'Metric Categories 1-14'!$B$7:$FM$7, _xlfn.XLOOKUP(A24, 'Metric Categories 1-14'!$A$8:$A$57, 'Metric Categories 1-14'!$B$8:$FM$57))</f>
        <v>1.2000000000000002</v>
      </c>
      <c r="E24" s="332" cm="1">
        <f t="array" ref="E24">_xlfn.XLOOKUP($E$6, 'Metric Categories 1-14'!$B$7:$FM$7, _xlfn.XLOOKUP(A24, 'Metric Categories 1-14'!$A$8:$A$57, 'Metric Categories 1-14'!$B$8:$FM$57))</f>
        <v>2.4000000000000004</v>
      </c>
      <c r="F24" s="333">
        <f t="shared" si="1"/>
        <v>1.5549999999999999</v>
      </c>
      <c r="G24" s="336" cm="1">
        <f t="array" ref="G24">_xlfn.IFS(F24&lt;$F$58, 1, F24&gt;$F$59, 3, F24=$F$59, 3, F24&lt;$F$59, 2)</f>
        <v>2</v>
      </c>
      <c r="H24" s="332" cm="1">
        <f t="array" ref="H24">_xlfn.XLOOKUP($H$6, 'Metric Categories 1-14'!$B$7:$FM$7, _xlfn.XLOOKUP(A24, 'Metric Categories 1-14'!$A$8:$A$57, 'Metric Categories 1-14'!$B$8:$FM$57))</f>
        <v>3</v>
      </c>
      <c r="I24" s="332" cm="1">
        <f t="array" ref="I24">_xlfn.XLOOKUP($I$6, 'Metric Categories 1-14'!$B$7:$FM$7, _xlfn.XLOOKUP(A24, 'Metric Categories 1-14'!$A$8:$A$57, 'Metric Categories 1-14'!$B$8:$FM$57))</f>
        <v>3.0000000000000004</v>
      </c>
      <c r="J24" s="332" cm="1">
        <f t="array" ref="J24">_xlfn.XLOOKUP($J$6, 'Metric Categories 1-14'!$B$7:$FM$7, _xlfn.XLOOKUP(A24, 'Metric Categories 1-14'!$A$8:$A$57, 'Metric Categories 1-14'!$B$8:$FM$57))</f>
        <v>2</v>
      </c>
      <c r="K24" s="332" cm="1">
        <f t="array" ref="K24">_xlfn.XLOOKUP($K$6, '15. Workforce Calcs'!$B$8:$BG$8, _xlfn.XLOOKUP(A24, '15. Workforce Calcs'!$A$10:$A$59, '15. Workforce Calcs'!$B$10:$BG$59))</f>
        <v>3</v>
      </c>
      <c r="L24" s="332" cm="1">
        <f t="array" ref="L24">_xlfn.XLOOKUP($L$6, '16. Existing HQs and Projects'!$B$8:$Q$8, _xlfn.XLOOKUP(A24,'16. Existing HQs and Projects'!$A$9:$A$58, '16. Existing HQs and Projects'!$B$9:$Q$58))</f>
        <v>1</v>
      </c>
      <c r="M24" s="334">
        <f t="shared" si="0"/>
        <v>2.65</v>
      </c>
      <c r="N24" s="337" cm="1">
        <f t="array" ref="N24">_xlfn.IFS(M24&lt;$M$58, 1, M24&gt;$M$59, 3, M24 = $M$59, 3, M24&lt;$M$59, 2)</f>
        <v>3</v>
      </c>
      <c r="O24" s="13"/>
      <c r="P24" s="13"/>
    </row>
    <row r="25" spans="1:16">
      <c r="A25" s="39" t="s">
        <v>125</v>
      </c>
      <c r="B25" s="332" cm="1">
        <f t="array" ref="B25">_xlfn.XLOOKUP($B$6, 'Metric Categories 1-14'!$B$7:$FM$7, _xlfn.XLOOKUP(A25, 'Metric Categories 1-14'!$A$8:$A$57, 'Metric Categories 1-14'!$B$8:$FM$57))</f>
        <v>2.4</v>
      </c>
      <c r="C25" s="332" cm="1">
        <f t="array" ref="C25">_xlfn.XLOOKUP($C$6, 'Metric Categories 1-14'!$B$7:$FM$7, _xlfn.XLOOKUP(A25, 'Metric Categories 1-14'!$A$8:$A$57, 'Metric Categories 1-14'!$B$8:$FM$57))</f>
        <v>1.2749999999999999</v>
      </c>
      <c r="D25" s="332" cm="1">
        <f t="array" ref="D25">_xlfn.XLOOKUP($D$6, 'Metric Categories 1-14'!$B$7:$FM$7, _xlfn.XLOOKUP(A25, 'Metric Categories 1-14'!$A$8:$A$57, 'Metric Categories 1-14'!$B$8:$FM$57))</f>
        <v>1.2000000000000002</v>
      </c>
      <c r="E25" s="332" cm="1">
        <f t="array" ref="E25">_xlfn.XLOOKUP($E$6, 'Metric Categories 1-14'!$B$7:$FM$7, _xlfn.XLOOKUP(A25, 'Metric Categories 1-14'!$A$8:$A$57, 'Metric Categories 1-14'!$B$8:$FM$57))</f>
        <v>1.2000000000000002</v>
      </c>
      <c r="F25" s="333">
        <f t="shared" si="1"/>
        <v>1.6462499999999998</v>
      </c>
      <c r="G25" s="336" cm="1">
        <f t="array" ref="G25">_xlfn.IFS(F25&lt;$F$58, 1, F25&gt;$F$59, 3, F25=$F$59, 3, F25&lt;$F$59, 2)</f>
        <v>3</v>
      </c>
      <c r="H25" s="332" cm="1">
        <f t="array" ref="H25">_xlfn.XLOOKUP($H$6, 'Metric Categories 1-14'!$B$7:$FM$7, _xlfn.XLOOKUP(A25, 'Metric Categories 1-14'!$A$8:$A$57, 'Metric Categories 1-14'!$B$8:$FM$57))</f>
        <v>1</v>
      </c>
      <c r="I25" s="332" cm="1">
        <f t="array" ref="I25">_xlfn.XLOOKUP($I$6, 'Metric Categories 1-14'!$B$7:$FM$7, _xlfn.XLOOKUP(A25, 'Metric Categories 1-14'!$A$8:$A$57, 'Metric Categories 1-14'!$B$8:$FM$57))</f>
        <v>1</v>
      </c>
      <c r="J25" s="332" cm="1">
        <f t="array" ref="J25">_xlfn.XLOOKUP($J$6, 'Metric Categories 1-14'!$B$7:$FM$7, _xlfn.XLOOKUP(A25, 'Metric Categories 1-14'!$A$8:$A$57, 'Metric Categories 1-14'!$B$8:$FM$57))</f>
        <v>2</v>
      </c>
      <c r="K25" s="332" cm="1">
        <f t="array" ref="K25">_xlfn.XLOOKUP($K$6, '15. Workforce Calcs'!$B$8:$BG$8, _xlfn.XLOOKUP(A25, '15. Workforce Calcs'!$A$10:$A$59, '15. Workforce Calcs'!$B$10:$BG$59))</f>
        <v>1</v>
      </c>
      <c r="L25" s="332" cm="1">
        <f t="array" ref="L25">_xlfn.XLOOKUP($L$6, '16. Existing HQs and Projects'!$B$8:$Q$8, _xlfn.XLOOKUP(A25,'16. Existing HQs and Projects'!$A$9:$A$58, '16. Existing HQs and Projects'!$B$9:$Q$58))</f>
        <v>1</v>
      </c>
      <c r="M25" s="334">
        <f t="shared" si="0"/>
        <v>1.25</v>
      </c>
      <c r="N25" s="337" cm="1">
        <f t="array" ref="N25">_xlfn.IFS(M25&lt;$M$58, 1, M25&gt;$M$59, 3, M25 = $M$59, 3, M25&lt;$M$59, 2)</f>
        <v>1</v>
      </c>
      <c r="O25" s="13"/>
      <c r="P25" s="13"/>
    </row>
    <row r="26" spans="1:16">
      <c r="A26" s="39" t="s">
        <v>127</v>
      </c>
      <c r="B26" s="332" cm="1">
        <f t="array" ref="B26">_xlfn.XLOOKUP($B$6, 'Metric Categories 1-14'!$B$7:$FM$7, _xlfn.XLOOKUP(A26, 'Metric Categories 1-14'!$A$8:$A$57, 'Metric Categories 1-14'!$B$8:$FM$57))</f>
        <v>2.4</v>
      </c>
      <c r="C26" s="332" cm="1">
        <f t="array" ref="C26">_xlfn.XLOOKUP($C$6, 'Metric Categories 1-14'!$B$7:$FM$7, _xlfn.XLOOKUP(A26, 'Metric Categories 1-14'!$A$8:$A$57, 'Metric Categories 1-14'!$B$8:$FM$57))</f>
        <v>1.075</v>
      </c>
      <c r="D26" s="332" cm="1">
        <f t="array" ref="D26">_xlfn.XLOOKUP($D$6, 'Metric Categories 1-14'!$B$7:$FM$7, _xlfn.XLOOKUP(A26, 'Metric Categories 1-14'!$A$8:$A$57, 'Metric Categories 1-14'!$B$8:$FM$57))</f>
        <v>2</v>
      </c>
      <c r="E26" s="332" cm="1">
        <f t="array" ref="E26">_xlfn.XLOOKUP($E$6, 'Metric Categories 1-14'!$B$7:$FM$7, _xlfn.XLOOKUP(A26, 'Metric Categories 1-14'!$A$8:$A$57, 'Metric Categories 1-14'!$B$8:$FM$57))</f>
        <v>1.6</v>
      </c>
      <c r="F26" s="333">
        <f t="shared" si="1"/>
        <v>1.7562500000000001</v>
      </c>
      <c r="G26" s="336" cm="1">
        <f t="array" ref="G26">_xlfn.IFS(F26&lt;$F$58, 1, F26&gt;$F$59, 3, F26=$F$59, 3, F26&lt;$F$59, 2)</f>
        <v>3</v>
      </c>
      <c r="H26" s="332" cm="1">
        <f t="array" ref="H26">_xlfn.XLOOKUP($H$6, 'Metric Categories 1-14'!$B$7:$FM$7, _xlfn.XLOOKUP(A26, 'Metric Categories 1-14'!$A$8:$A$57, 'Metric Categories 1-14'!$B$8:$FM$57))</f>
        <v>1</v>
      </c>
      <c r="I26" s="332" cm="1">
        <f t="array" ref="I26">_xlfn.XLOOKUP($I$6, 'Metric Categories 1-14'!$B$7:$FM$7, _xlfn.XLOOKUP(A26, 'Metric Categories 1-14'!$A$8:$A$57, 'Metric Categories 1-14'!$B$8:$FM$57))</f>
        <v>1</v>
      </c>
      <c r="J26" s="332" cm="1">
        <f t="array" ref="J26">_xlfn.XLOOKUP($J$6, 'Metric Categories 1-14'!$B$7:$FM$7, _xlfn.XLOOKUP(A26, 'Metric Categories 1-14'!$A$8:$A$57, 'Metric Categories 1-14'!$B$8:$FM$57))</f>
        <v>2.25</v>
      </c>
      <c r="K26" s="332" cm="1">
        <f t="array" ref="K26">_xlfn.XLOOKUP($K$6, '15. Workforce Calcs'!$B$8:$BG$8, _xlfn.XLOOKUP(A26, '15. Workforce Calcs'!$A$10:$A$59, '15. Workforce Calcs'!$B$10:$BG$59))</f>
        <v>2</v>
      </c>
      <c r="L26" s="332" cm="1">
        <f t="array" ref="L26">_xlfn.XLOOKUP($L$6, '16. Existing HQs and Projects'!$B$8:$Q$8, _xlfn.XLOOKUP(A26,'16. Existing HQs and Projects'!$A$9:$A$58, '16. Existing HQs and Projects'!$B$9:$Q$58))</f>
        <v>1</v>
      </c>
      <c r="M26" s="334">
        <f t="shared" si="0"/>
        <v>1.3625</v>
      </c>
      <c r="N26" s="337" cm="1">
        <f t="array" ref="N26">_xlfn.IFS(M26&lt;$M$58, 1, M26&gt;$M$59, 3, M26 = $M$59, 3, M26&lt;$M$59, 2)</f>
        <v>1</v>
      </c>
      <c r="O26" s="13"/>
      <c r="P26" s="13"/>
    </row>
    <row r="27" spans="1:16">
      <c r="A27" s="39" t="s">
        <v>128</v>
      </c>
      <c r="B27" s="332" cm="1">
        <f t="array" ref="B27">_xlfn.XLOOKUP($B$6, 'Metric Categories 1-14'!$B$7:$FM$7, _xlfn.XLOOKUP(A27, 'Metric Categories 1-14'!$A$8:$A$57, 'Metric Categories 1-14'!$B$8:$FM$57))</f>
        <v>2.4</v>
      </c>
      <c r="C27" s="332" cm="1">
        <f t="array" ref="C27">_xlfn.XLOOKUP($C$6, 'Metric Categories 1-14'!$B$7:$FM$7, _xlfn.XLOOKUP(A27, 'Metric Categories 1-14'!$A$8:$A$57, 'Metric Categories 1-14'!$B$8:$FM$57))</f>
        <v>1.2749999999999999</v>
      </c>
      <c r="D27" s="332" cm="1">
        <f t="array" ref="D27">_xlfn.XLOOKUP($D$6, 'Metric Categories 1-14'!$B$7:$FM$7, _xlfn.XLOOKUP(A27, 'Metric Categories 1-14'!$A$8:$A$57, 'Metric Categories 1-14'!$B$8:$FM$57))</f>
        <v>3</v>
      </c>
      <c r="E27" s="332" cm="1">
        <f t="array" ref="E27">_xlfn.XLOOKUP($E$6, 'Metric Categories 1-14'!$B$7:$FM$7, _xlfn.XLOOKUP(A27, 'Metric Categories 1-14'!$A$8:$A$57, 'Metric Categories 1-14'!$B$8:$FM$57))</f>
        <v>1.2000000000000002</v>
      </c>
      <c r="F27" s="333">
        <f t="shared" si="1"/>
        <v>1.9162499999999998</v>
      </c>
      <c r="G27" s="336" cm="1">
        <f t="array" ref="G27">_xlfn.IFS(F27&lt;$F$58, 1, F27&gt;$F$59, 3, F27=$F$59, 3, F27&lt;$F$59, 2)</f>
        <v>3</v>
      </c>
      <c r="H27" s="332" cm="1">
        <f t="array" ref="H27">_xlfn.XLOOKUP($H$6, 'Metric Categories 1-14'!$B$7:$FM$7, _xlfn.XLOOKUP(A27, 'Metric Categories 1-14'!$A$8:$A$57, 'Metric Categories 1-14'!$B$8:$FM$57))</f>
        <v>1</v>
      </c>
      <c r="I27" s="332" cm="1">
        <f t="array" ref="I27">_xlfn.XLOOKUP($I$6, 'Metric Categories 1-14'!$B$7:$FM$7, _xlfn.XLOOKUP(A27, 'Metric Categories 1-14'!$A$8:$A$57, 'Metric Categories 1-14'!$B$8:$FM$57))</f>
        <v>1</v>
      </c>
      <c r="J27" s="332" cm="1">
        <f t="array" ref="J27">_xlfn.XLOOKUP($J$6, 'Metric Categories 1-14'!$B$7:$FM$7, _xlfn.XLOOKUP(A27, 'Metric Categories 1-14'!$A$8:$A$57, 'Metric Categories 1-14'!$B$8:$FM$57))</f>
        <v>1.5</v>
      </c>
      <c r="K27" s="332" cm="1">
        <f t="array" ref="K27">_xlfn.XLOOKUP($K$6, '15. Workforce Calcs'!$B$8:$BG$8, _xlfn.XLOOKUP(A27, '15. Workforce Calcs'!$A$10:$A$59, '15. Workforce Calcs'!$B$10:$BG$59))</f>
        <v>2</v>
      </c>
      <c r="L27" s="332" cm="1">
        <f t="array" ref="L27">_xlfn.XLOOKUP($L$6, '16. Existing HQs and Projects'!$B$8:$Q$8, _xlfn.XLOOKUP(A27,'16. Existing HQs and Projects'!$A$9:$A$58, '16. Existing HQs and Projects'!$B$9:$Q$58))</f>
        <v>1</v>
      </c>
      <c r="M27" s="334">
        <f t="shared" si="0"/>
        <v>1.175</v>
      </c>
      <c r="N27" s="337" cm="1">
        <f t="array" ref="N27">_xlfn.IFS(M27&lt;$M$58, 1, M27&gt;$M$59, 3, M27 = $M$59, 3, M27&lt;$M$59, 2)</f>
        <v>1</v>
      </c>
      <c r="O27" s="13"/>
      <c r="P27" s="13"/>
    </row>
    <row r="28" spans="1:16">
      <c r="A28" s="39" t="s">
        <v>129</v>
      </c>
      <c r="B28" s="332" cm="1">
        <f t="array" ref="B28">_xlfn.XLOOKUP($B$6, 'Metric Categories 1-14'!$B$7:$FM$7, _xlfn.XLOOKUP(A28, 'Metric Categories 1-14'!$A$8:$A$57, 'Metric Categories 1-14'!$B$8:$FM$57))</f>
        <v>1.8499999999999999</v>
      </c>
      <c r="C28" s="332" cm="1">
        <f t="array" ref="C28">_xlfn.XLOOKUP($C$6, 'Metric Categories 1-14'!$B$7:$FM$7, _xlfn.XLOOKUP(A28, 'Metric Categories 1-14'!$A$8:$A$57, 'Metric Categories 1-14'!$B$8:$FM$57))</f>
        <v>1.2</v>
      </c>
      <c r="D28" s="332" cm="1">
        <f t="array" ref="D28">_xlfn.XLOOKUP($D$6, 'Metric Categories 1-14'!$B$7:$FM$7, _xlfn.XLOOKUP(A28, 'Metric Categories 1-14'!$A$8:$A$57, 'Metric Categories 1-14'!$B$8:$FM$57))</f>
        <v>1.6</v>
      </c>
      <c r="E28" s="332" cm="1">
        <f t="array" ref="E28">_xlfn.XLOOKUP($E$6, 'Metric Categories 1-14'!$B$7:$FM$7, _xlfn.XLOOKUP(A28, 'Metric Categories 1-14'!$A$8:$A$57, 'Metric Categories 1-14'!$B$8:$FM$57))</f>
        <v>1.8</v>
      </c>
      <c r="F28" s="333">
        <f t="shared" si="1"/>
        <v>1.5774999999999999</v>
      </c>
      <c r="G28" s="336" cm="1">
        <f t="array" ref="G28">_xlfn.IFS(F28&lt;$F$58, 1, F28&gt;$F$59, 3, F28=$F$59, 3, F28&lt;$F$59, 2)</f>
        <v>3</v>
      </c>
      <c r="H28" s="332" cm="1">
        <f t="array" ref="H28">_xlfn.XLOOKUP($H$6, 'Metric Categories 1-14'!$B$7:$FM$7, _xlfn.XLOOKUP(A28, 'Metric Categories 1-14'!$A$8:$A$57, 'Metric Categories 1-14'!$B$8:$FM$57))</f>
        <v>2</v>
      </c>
      <c r="I28" s="332" cm="1">
        <f t="array" ref="I28">_xlfn.XLOOKUP($I$6, 'Metric Categories 1-14'!$B$7:$FM$7, _xlfn.XLOOKUP(A28, 'Metric Categories 1-14'!$A$8:$A$57, 'Metric Categories 1-14'!$B$8:$FM$57))</f>
        <v>1.4</v>
      </c>
      <c r="J28" s="332" cm="1">
        <f t="array" ref="J28">_xlfn.XLOOKUP($J$6, 'Metric Categories 1-14'!$B$7:$FM$7, _xlfn.XLOOKUP(A28, 'Metric Categories 1-14'!$A$8:$A$57, 'Metric Categories 1-14'!$B$8:$FM$57))</f>
        <v>2</v>
      </c>
      <c r="K28" s="332" cm="1">
        <f t="array" ref="K28">_xlfn.XLOOKUP($K$6, '15. Workforce Calcs'!$B$8:$BG$8, _xlfn.XLOOKUP(A28, '15. Workforce Calcs'!$A$10:$A$59, '15. Workforce Calcs'!$B$10:$BG$59))</f>
        <v>3</v>
      </c>
      <c r="L28" s="332" cm="1">
        <f t="array" ref="L28">_xlfn.XLOOKUP($L$6, '16. Existing HQs and Projects'!$B$8:$Q$8, _xlfn.XLOOKUP(A28,'16. Existing HQs and Projects'!$A$9:$A$58, '16. Existing HQs and Projects'!$B$9:$Q$58))</f>
        <v>1</v>
      </c>
      <c r="M28" s="334">
        <f t="shared" si="0"/>
        <v>1.82</v>
      </c>
      <c r="N28" s="337" cm="1">
        <f t="array" ref="N28">_xlfn.IFS(M28&lt;$M$58, 1, M28&gt;$M$59, 3, M28 = $M$59, 3, M28&lt;$M$59, 2)</f>
        <v>2</v>
      </c>
      <c r="O28" s="13"/>
      <c r="P28" s="13"/>
    </row>
    <row r="29" spans="1:16">
      <c r="A29" s="39" t="s">
        <v>130</v>
      </c>
      <c r="B29" s="332" cm="1">
        <f t="array" ref="B29">_xlfn.XLOOKUP($B$6, 'Metric Categories 1-14'!$B$7:$FM$7, _xlfn.XLOOKUP(A29, 'Metric Categories 1-14'!$A$8:$A$57, 'Metric Categories 1-14'!$B$8:$FM$57))</f>
        <v>2</v>
      </c>
      <c r="C29" s="332" cm="1">
        <f t="array" ref="C29">_xlfn.XLOOKUP($C$6, 'Metric Categories 1-14'!$B$7:$FM$7, _xlfn.XLOOKUP(A29, 'Metric Categories 1-14'!$A$8:$A$57, 'Metric Categories 1-14'!$B$8:$FM$57))</f>
        <v>1.2</v>
      </c>
      <c r="D29" s="332" cm="1">
        <f t="array" ref="D29">_xlfn.XLOOKUP($D$6, 'Metric Categories 1-14'!$B$7:$FM$7, _xlfn.XLOOKUP(A29, 'Metric Categories 1-14'!$A$8:$A$57, 'Metric Categories 1-14'!$B$8:$FM$57))</f>
        <v>3</v>
      </c>
      <c r="E29" s="332" cm="1">
        <f t="array" ref="E29">_xlfn.XLOOKUP($E$6, 'Metric Categories 1-14'!$B$7:$FM$7, _xlfn.XLOOKUP(A29, 'Metric Categories 1-14'!$A$8:$A$57, 'Metric Categories 1-14'!$B$8:$FM$57))</f>
        <v>1.6</v>
      </c>
      <c r="F29" s="333">
        <f t="shared" si="1"/>
        <v>1.8099999999999998</v>
      </c>
      <c r="G29" s="336" cm="1">
        <f t="array" ref="G29">_xlfn.IFS(F29&lt;$F$58, 1, F29&gt;$F$59, 3, F29=$F$59, 3, F29&lt;$F$59, 2)</f>
        <v>3</v>
      </c>
      <c r="H29" s="332" cm="1">
        <f t="array" ref="H29">_xlfn.XLOOKUP($H$6, 'Metric Categories 1-14'!$B$7:$FM$7, _xlfn.XLOOKUP(A29, 'Metric Categories 1-14'!$A$8:$A$57, 'Metric Categories 1-14'!$B$8:$FM$57))</f>
        <v>2</v>
      </c>
      <c r="I29" s="332" cm="1">
        <f t="array" ref="I29">_xlfn.XLOOKUP($I$6, 'Metric Categories 1-14'!$B$7:$FM$7, _xlfn.XLOOKUP(A29, 'Metric Categories 1-14'!$A$8:$A$57, 'Metric Categories 1-14'!$B$8:$FM$57))</f>
        <v>1.4</v>
      </c>
      <c r="J29" s="332" cm="1">
        <f t="array" ref="J29">_xlfn.XLOOKUP($J$6, 'Metric Categories 1-14'!$B$7:$FM$7, _xlfn.XLOOKUP(A29, 'Metric Categories 1-14'!$A$8:$A$57, 'Metric Categories 1-14'!$B$8:$FM$57))</f>
        <v>2</v>
      </c>
      <c r="K29" s="332" cm="1">
        <f t="array" ref="K29">_xlfn.XLOOKUP($K$6, '15. Workforce Calcs'!$B$8:$BG$8, _xlfn.XLOOKUP(A29, '15. Workforce Calcs'!$A$10:$A$59, '15. Workforce Calcs'!$B$10:$BG$59))</f>
        <v>2</v>
      </c>
      <c r="L29" s="332" cm="1">
        <f t="array" ref="L29">_xlfn.XLOOKUP($L$6, '16. Existing HQs and Projects'!$B$8:$Q$8, _xlfn.XLOOKUP(A29,'16. Existing HQs and Projects'!$A$9:$A$58, '16. Existing HQs and Projects'!$B$9:$Q$58))</f>
        <v>1</v>
      </c>
      <c r="M29" s="334">
        <f t="shared" si="0"/>
        <v>1.77</v>
      </c>
      <c r="N29" s="337" cm="1">
        <f t="array" ref="N29">_xlfn.IFS(M29&lt;$M$58, 1, M29&gt;$M$59, 3, M29 = $M$59, 3, M29&lt;$M$59, 2)</f>
        <v>2</v>
      </c>
      <c r="O29" s="13"/>
      <c r="P29" s="13"/>
    </row>
    <row r="30" spans="1:16">
      <c r="A30" s="39" t="s">
        <v>131</v>
      </c>
      <c r="B30" s="332" cm="1">
        <f t="array" ref="B30">_xlfn.XLOOKUP($B$6, 'Metric Categories 1-14'!$B$7:$FM$7, _xlfn.XLOOKUP(A30, 'Metric Categories 1-14'!$A$8:$A$57, 'Metric Categories 1-14'!$B$8:$FM$57))</f>
        <v>0.99999999999999989</v>
      </c>
      <c r="C30" s="332" cm="1">
        <f t="array" ref="C30">_xlfn.XLOOKUP($C$6, 'Metric Categories 1-14'!$B$7:$FM$7, _xlfn.XLOOKUP(A30, 'Metric Categories 1-14'!$A$8:$A$57, 'Metric Categories 1-14'!$B$8:$FM$57))</f>
        <v>0.99999999999999978</v>
      </c>
      <c r="D30" s="332" cm="1">
        <f t="array" ref="D30">_xlfn.XLOOKUP($D$6, 'Metric Categories 1-14'!$B$7:$FM$7, _xlfn.XLOOKUP(A30, 'Metric Categories 1-14'!$A$8:$A$57, 'Metric Categories 1-14'!$B$8:$FM$57))</f>
        <v>1.2</v>
      </c>
      <c r="E30" s="332" cm="1">
        <f t="array" ref="E30">_xlfn.XLOOKUP($E$6, 'Metric Categories 1-14'!$B$7:$FM$7, _xlfn.XLOOKUP(A30, 'Metric Categories 1-14'!$A$8:$A$57, 'Metric Categories 1-14'!$B$8:$FM$57))</f>
        <v>1.4000000000000001</v>
      </c>
      <c r="F30" s="333">
        <f t="shared" si="1"/>
        <v>1.0899999999999999</v>
      </c>
      <c r="G30" s="336" cm="1">
        <f t="array" ref="G30">_xlfn.IFS(F30&lt;$F$58, 1, F30&gt;$F$59, 3, F30=$F$59, 3, F30&lt;$F$59, 2)</f>
        <v>1</v>
      </c>
      <c r="H30" s="332" cm="1">
        <f t="array" ref="H30">_xlfn.XLOOKUP($H$6, 'Metric Categories 1-14'!$B$7:$FM$7, _xlfn.XLOOKUP(A30, 'Metric Categories 1-14'!$A$8:$A$57, 'Metric Categories 1-14'!$B$8:$FM$57))</f>
        <v>3</v>
      </c>
      <c r="I30" s="332" cm="1">
        <f t="array" ref="I30">_xlfn.XLOOKUP($I$6, 'Metric Categories 1-14'!$B$7:$FM$7, _xlfn.XLOOKUP(A30, 'Metric Categories 1-14'!$A$8:$A$57, 'Metric Categories 1-14'!$B$8:$FM$57))</f>
        <v>2</v>
      </c>
      <c r="J30" s="332" cm="1">
        <f t="array" ref="J30">_xlfn.XLOOKUP($J$6, 'Metric Categories 1-14'!$B$7:$FM$7, _xlfn.XLOOKUP(A30, 'Metric Categories 1-14'!$A$8:$A$57, 'Metric Categories 1-14'!$B$8:$FM$57))</f>
        <v>2</v>
      </c>
      <c r="K30" s="332" cm="1">
        <f t="array" ref="K30">_xlfn.XLOOKUP($K$6, '15. Workforce Calcs'!$B$8:$BG$8, _xlfn.XLOOKUP(A30, '15. Workforce Calcs'!$A$10:$A$59, '15. Workforce Calcs'!$B$10:$BG$59))</f>
        <v>2</v>
      </c>
      <c r="L30" s="332" cm="1">
        <f t="array" ref="L30">_xlfn.XLOOKUP($L$6, '16. Existing HQs and Projects'!$B$8:$Q$8, _xlfn.XLOOKUP(A30,'16. Existing HQs and Projects'!$A$9:$A$58, '16. Existing HQs and Projects'!$B$9:$Q$58))</f>
        <v>1</v>
      </c>
      <c r="M30" s="334">
        <f t="shared" si="0"/>
        <v>2.2999999999999998</v>
      </c>
      <c r="N30" s="337" cm="1">
        <f t="array" ref="N30">_xlfn.IFS(M30&lt;$M$58, 1, M30&gt;$M$59, 3, M30 = $M$59, 3, M30&lt;$M$59, 2)</f>
        <v>3</v>
      </c>
      <c r="O30" s="13"/>
      <c r="P30" s="13"/>
    </row>
    <row r="31" spans="1:16">
      <c r="A31" s="39" t="s">
        <v>132</v>
      </c>
      <c r="B31" s="332" cm="1">
        <f t="array" ref="B31">_xlfn.XLOOKUP($B$6, 'Metric Categories 1-14'!$B$7:$FM$7, _xlfn.XLOOKUP(A31, 'Metric Categories 1-14'!$A$8:$A$57, 'Metric Categories 1-14'!$B$8:$FM$57))</f>
        <v>0.99999999999999989</v>
      </c>
      <c r="C31" s="332" cm="1">
        <f t="array" ref="C31">_xlfn.XLOOKUP($C$6, 'Metric Categories 1-14'!$B$7:$FM$7, _xlfn.XLOOKUP(A31, 'Metric Categories 1-14'!$A$8:$A$57, 'Metric Categories 1-14'!$B$8:$FM$57))</f>
        <v>0.99999999999999978</v>
      </c>
      <c r="D31" s="332" cm="1">
        <f t="array" ref="D31">_xlfn.XLOOKUP($D$6, 'Metric Categories 1-14'!$B$7:$FM$7, _xlfn.XLOOKUP(A31, 'Metric Categories 1-14'!$A$8:$A$57, 'Metric Categories 1-14'!$B$8:$FM$57))</f>
        <v>1</v>
      </c>
      <c r="E31" s="332" cm="1">
        <f t="array" ref="E31">_xlfn.XLOOKUP($E$6, 'Metric Categories 1-14'!$B$7:$FM$7, _xlfn.XLOOKUP(A31, 'Metric Categories 1-14'!$A$8:$A$57, 'Metric Categories 1-14'!$B$8:$FM$57))</f>
        <v>1.2000000000000002</v>
      </c>
      <c r="F31" s="333">
        <f t="shared" si="1"/>
        <v>1.0299999999999998</v>
      </c>
      <c r="G31" s="336" cm="1">
        <f t="array" ref="G31">_xlfn.IFS(F31&lt;$F$58, 1, F31&gt;$F$59, 3, F31=$F$59, 3, F31&lt;$F$59, 2)</f>
        <v>1</v>
      </c>
      <c r="H31" s="332" cm="1">
        <f t="array" ref="H31">_xlfn.XLOOKUP($H$6, 'Metric Categories 1-14'!$B$7:$FM$7, _xlfn.XLOOKUP(A31, 'Metric Categories 1-14'!$A$8:$A$57, 'Metric Categories 1-14'!$B$8:$FM$57))</f>
        <v>3</v>
      </c>
      <c r="I31" s="332" cm="1">
        <f t="array" ref="I31">_xlfn.XLOOKUP($I$6, 'Metric Categories 1-14'!$B$7:$FM$7, _xlfn.XLOOKUP(A31, 'Metric Categories 1-14'!$A$8:$A$57, 'Metric Categories 1-14'!$B$8:$FM$57))</f>
        <v>1.2000000000000002</v>
      </c>
      <c r="J31" s="332" cm="1">
        <f t="array" ref="J31">_xlfn.XLOOKUP($J$6, 'Metric Categories 1-14'!$B$7:$FM$7, _xlfn.XLOOKUP(A31, 'Metric Categories 1-14'!$A$8:$A$57, 'Metric Categories 1-14'!$B$8:$FM$57))</f>
        <v>1</v>
      </c>
      <c r="K31" s="332" cm="1">
        <f t="array" ref="K31">_xlfn.XLOOKUP($K$6, '15. Workforce Calcs'!$B$8:$BG$8, _xlfn.XLOOKUP(A31, '15. Workforce Calcs'!$A$10:$A$59, '15. Workforce Calcs'!$B$10:$BG$59))</f>
        <v>3</v>
      </c>
      <c r="L31" s="332" cm="1">
        <f t="array" ref="L31">_xlfn.XLOOKUP($L$6, '16. Existing HQs and Projects'!$B$8:$Q$8, _xlfn.XLOOKUP(A31,'16. Existing HQs and Projects'!$A$9:$A$58, '16. Existing HQs and Projects'!$B$9:$Q$58))</f>
        <v>1</v>
      </c>
      <c r="M31" s="334">
        <f t="shared" si="0"/>
        <v>1.86</v>
      </c>
      <c r="N31" s="337" cm="1">
        <f t="array" ref="N31">_xlfn.IFS(M31&lt;$M$58, 1, M31&gt;$M$59, 3, M31 = $M$59, 3, M31&lt;$M$59, 2)</f>
        <v>2</v>
      </c>
      <c r="O31" s="13"/>
      <c r="P31" s="13"/>
    </row>
    <row r="32" spans="1:16">
      <c r="A32" s="39" t="s">
        <v>133</v>
      </c>
      <c r="B32" s="332" cm="1">
        <f t="array" ref="B32">_xlfn.XLOOKUP($B$6, 'Metric Categories 1-14'!$B$7:$FM$7, _xlfn.XLOOKUP(A32, 'Metric Categories 1-14'!$A$8:$A$57, 'Metric Categories 1-14'!$B$8:$FM$57))</f>
        <v>1.8499999999999999</v>
      </c>
      <c r="C32" s="332" cm="1">
        <f t="array" ref="C32">_xlfn.XLOOKUP($C$6, 'Metric Categories 1-14'!$B$7:$FM$7, _xlfn.XLOOKUP(A32, 'Metric Categories 1-14'!$A$8:$A$57, 'Metric Categories 1-14'!$B$8:$FM$57))</f>
        <v>0.79999999999999993</v>
      </c>
      <c r="D32" s="332" cm="1">
        <f t="array" ref="D32">_xlfn.XLOOKUP($D$6, 'Metric Categories 1-14'!$B$7:$FM$7, _xlfn.XLOOKUP(A32, 'Metric Categories 1-14'!$A$8:$A$57, 'Metric Categories 1-14'!$B$8:$FM$57))</f>
        <v>1.5999999999999999</v>
      </c>
      <c r="E32" s="332" cm="1">
        <f t="array" ref="E32">_xlfn.XLOOKUP($E$6, 'Metric Categories 1-14'!$B$7:$FM$7, _xlfn.XLOOKUP(A32, 'Metric Categories 1-14'!$A$8:$A$57, 'Metric Categories 1-14'!$B$8:$FM$57))</f>
        <v>2.4000000000000004</v>
      </c>
      <c r="F32" s="333">
        <f t="shared" si="1"/>
        <v>1.5275000000000001</v>
      </c>
      <c r="G32" s="336" cm="1">
        <f t="array" ref="G32">_xlfn.IFS(F32&lt;$F$58, 1, F32&gt;$F$59, 3, F32=$F$59, 3, F32&lt;$F$59, 2)</f>
        <v>2</v>
      </c>
      <c r="H32" s="332" cm="1">
        <f t="array" ref="H32">_xlfn.XLOOKUP($H$6, 'Metric Categories 1-14'!$B$7:$FM$7, _xlfn.XLOOKUP(A32, 'Metric Categories 1-14'!$A$8:$A$57, 'Metric Categories 1-14'!$B$8:$FM$57))</f>
        <v>2</v>
      </c>
      <c r="I32" s="332" cm="1">
        <f t="array" ref="I32">_xlfn.XLOOKUP($I$6, 'Metric Categories 1-14'!$B$7:$FM$7, _xlfn.XLOOKUP(A32, 'Metric Categories 1-14'!$A$8:$A$57, 'Metric Categories 1-14'!$B$8:$FM$57))</f>
        <v>2</v>
      </c>
      <c r="J32" s="332" cm="1">
        <f t="array" ref="J32">_xlfn.XLOOKUP($J$6, 'Metric Categories 1-14'!$B$7:$FM$7, _xlfn.XLOOKUP(A32, 'Metric Categories 1-14'!$A$8:$A$57, 'Metric Categories 1-14'!$B$8:$FM$57))</f>
        <v>2.75</v>
      </c>
      <c r="K32" s="332" cm="1">
        <f t="array" ref="K32">_xlfn.XLOOKUP($K$6, '15. Workforce Calcs'!$B$8:$BG$8, _xlfn.XLOOKUP(A32, '15. Workforce Calcs'!$A$10:$A$59, '15. Workforce Calcs'!$B$10:$BG$59))</f>
        <v>1</v>
      </c>
      <c r="L32" s="332" cm="1">
        <f t="array" ref="L32">_xlfn.XLOOKUP($L$6, '16. Existing HQs and Projects'!$B$8:$Q$8, _xlfn.XLOOKUP(A32,'16. Existing HQs and Projects'!$A$9:$A$58, '16. Existing HQs and Projects'!$B$9:$Q$58))</f>
        <v>1</v>
      </c>
      <c r="M32" s="334">
        <f t="shared" si="0"/>
        <v>2.0874999999999995</v>
      </c>
      <c r="N32" s="337" cm="1">
        <f t="array" ref="N32">_xlfn.IFS(M32&lt;$M$58, 1, M32&gt;$M$59, 3, M32 = $M$59, 3, M32&lt;$M$59, 2)</f>
        <v>3</v>
      </c>
      <c r="O32" s="13"/>
      <c r="P32" s="13"/>
    </row>
    <row r="33" spans="1:16">
      <c r="A33" s="39" t="s">
        <v>134</v>
      </c>
      <c r="B33" s="332" cm="1">
        <f t="array" ref="B33">_xlfn.XLOOKUP($B$6, 'Metric Categories 1-14'!$B$7:$FM$7, _xlfn.XLOOKUP(A33, 'Metric Categories 1-14'!$A$8:$A$57, 'Metric Categories 1-14'!$B$8:$FM$57))</f>
        <v>0.99999999999999989</v>
      </c>
      <c r="C33" s="332" cm="1">
        <f t="array" ref="C33">_xlfn.XLOOKUP($C$6, 'Metric Categories 1-14'!$B$7:$FM$7, _xlfn.XLOOKUP(A33, 'Metric Categories 1-14'!$A$8:$A$57, 'Metric Categories 1-14'!$B$8:$FM$57))</f>
        <v>0.99999999999999978</v>
      </c>
      <c r="D33" s="332" cm="1">
        <f t="array" ref="D33">_xlfn.XLOOKUP($D$6, 'Metric Categories 1-14'!$B$7:$FM$7, _xlfn.XLOOKUP(A33, 'Metric Categories 1-14'!$A$8:$A$57, 'Metric Categories 1-14'!$B$8:$FM$57))</f>
        <v>1.2000000000000002</v>
      </c>
      <c r="E33" s="332" cm="1">
        <f t="array" ref="E33">_xlfn.XLOOKUP($E$6, 'Metric Categories 1-14'!$B$7:$FM$7, _xlfn.XLOOKUP(A33, 'Metric Categories 1-14'!$A$8:$A$57, 'Metric Categories 1-14'!$B$8:$FM$57))</f>
        <v>1.2000000000000002</v>
      </c>
      <c r="F33" s="333">
        <f t="shared" si="1"/>
        <v>1.0599999999999998</v>
      </c>
      <c r="G33" s="336" cm="1">
        <f t="array" ref="G33">_xlfn.IFS(F33&lt;$F$58, 1, F33&gt;$F$59, 3, F33=$F$59, 3, F33&lt;$F$59, 2)</f>
        <v>1</v>
      </c>
      <c r="H33" s="332" cm="1">
        <f t="array" ref="H33">_xlfn.XLOOKUP($H$6, 'Metric Categories 1-14'!$B$7:$FM$7, _xlfn.XLOOKUP(A33, 'Metric Categories 1-14'!$A$8:$A$57, 'Metric Categories 1-14'!$B$8:$FM$57))</f>
        <v>2</v>
      </c>
      <c r="I33" s="332" cm="1">
        <f t="array" ref="I33">_xlfn.XLOOKUP($I$6, 'Metric Categories 1-14'!$B$7:$FM$7, _xlfn.XLOOKUP(A33, 'Metric Categories 1-14'!$A$8:$A$57, 'Metric Categories 1-14'!$B$8:$FM$57))</f>
        <v>1.4</v>
      </c>
      <c r="J33" s="332" cm="1">
        <f t="array" ref="J33">_xlfn.XLOOKUP($J$6, 'Metric Categories 1-14'!$B$7:$FM$7, _xlfn.XLOOKUP(A33, 'Metric Categories 1-14'!$A$8:$A$57, 'Metric Categories 1-14'!$B$8:$FM$57))</f>
        <v>1.5</v>
      </c>
      <c r="K33" s="332" cm="1">
        <f t="array" ref="K33">_xlfn.XLOOKUP($K$6, '15. Workforce Calcs'!$B$8:$BG$8, _xlfn.XLOOKUP(A33, '15. Workforce Calcs'!$A$10:$A$59, '15. Workforce Calcs'!$B$10:$BG$59))</f>
        <v>1</v>
      </c>
      <c r="L33" s="332" cm="1">
        <f t="array" ref="L33">_xlfn.XLOOKUP($L$6, '16. Existing HQs and Projects'!$B$8:$Q$8, _xlfn.XLOOKUP(A33,'16. Existing HQs and Projects'!$A$9:$A$58, '16. Existing HQs and Projects'!$B$9:$Q$58))</f>
        <v>1</v>
      </c>
      <c r="M33" s="334">
        <f t="shared" si="0"/>
        <v>1.595</v>
      </c>
      <c r="N33" s="337" cm="1">
        <f t="array" ref="N33">_xlfn.IFS(M33&lt;$M$58, 1, M33&gt;$M$59, 3, M33 = $M$59, 3, M33&lt;$M$59, 2)</f>
        <v>2</v>
      </c>
      <c r="O33" s="13"/>
      <c r="P33" s="13"/>
    </row>
    <row r="34" spans="1:16">
      <c r="A34" s="39" t="s">
        <v>135</v>
      </c>
      <c r="B34" s="332" cm="1">
        <f t="array" ref="B34">_xlfn.XLOOKUP($B$6, 'Metric Categories 1-14'!$B$7:$FM$7, _xlfn.XLOOKUP(A34, 'Metric Categories 1-14'!$A$8:$A$57, 'Metric Categories 1-14'!$B$8:$FM$57))</f>
        <v>2.15</v>
      </c>
      <c r="C34" s="332" cm="1">
        <f t="array" ref="C34">_xlfn.XLOOKUP($C$6, 'Metric Categories 1-14'!$B$7:$FM$7, _xlfn.XLOOKUP(A34, 'Metric Categories 1-14'!$A$8:$A$57, 'Metric Categories 1-14'!$B$8:$FM$57))</f>
        <v>0.99999999999999978</v>
      </c>
      <c r="D34" s="332" cm="1">
        <f t="array" ref="D34">_xlfn.XLOOKUP($D$6, 'Metric Categories 1-14'!$B$7:$FM$7, _xlfn.XLOOKUP(A34, 'Metric Categories 1-14'!$A$8:$A$57, 'Metric Categories 1-14'!$B$8:$FM$57))</f>
        <v>1</v>
      </c>
      <c r="E34" s="332" cm="1">
        <f t="array" ref="E34">_xlfn.XLOOKUP($E$6, 'Metric Categories 1-14'!$B$7:$FM$7, _xlfn.XLOOKUP(A34, 'Metric Categories 1-14'!$A$8:$A$57, 'Metric Categories 1-14'!$B$8:$FM$57))</f>
        <v>1.4000000000000001</v>
      </c>
      <c r="F34" s="333">
        <f t="shared" si="1"/>
        <v>1.4624999999999997</v>
      </c>
      <c r="G34" s="336" cm="1">
        <f t="array" ref="G34">_xlfn.IFS(F34&lt;$F$58, 1, F34&gt;$F$59, 3, F34=$F$59, 3, F34&lt;$F$59, 2)</f>
        <v>2</v>
      </c>
      <c r="H34" s="332" cm="1">
        <f t="array" ref="H34">_xlfn.XLOOKUP($H$6, 'Metric Categories 1-14'!$B$7:$FM$7, _xlfn.XLOOKUP(A34, 'Metric Categories 1-14'!$A$8:$A$57, 'Metric Categories 1-14'!$B$8:$FM$57))</f>
        <v>1</v>
      </c>
      <c r="I34" s="332" cm="1">
        <f t="array" ref="I34">_xlfn.XLOOKUP($I$6, 'Metric Categories 1-14'!$B$7:$FM$7, _xlfn.XLOOKUP(A34, 'Metric Categories 1-14'!$A$8:$A$57, 'Metric Categories 1-14'!$B$8:$FM$57))</f>
        <v>1</v>
      </c>
      <c r="J34" s="332" cm="1">
        <f t="array" ref="J34">_xlfn.XLOOKUP($J$6, 'Metric Categories 1-14'!$B$7:$FM$7, _xlfn.XLOOKUP(A34, 'Metric Categories 1-14'!$A$8:$A$57, 'Metric Categories 1-14'!$B$8:$FM$57))</f>
        <v>2</v>
      </c>
      <c r="K34" s="332" cm="1">
        <f t="array" ref="K34">_xlfn.XLOOKUP($K$6, '15. Workforce Calcs'!$B$8:$BG$8, _xlfn.XLOOKUP(A34, '15. Workforce Calcs'!$A$10:$A$59, '15. Workforce Calcs'!$B$10:$BG$59))</f>
        <v>1</v>
      </c>
      <c r="L34" s="332" cm="1">
        <f t="array" ref="L34">_xlfn.XLOOKUP($L$6, '16. Existing HQs and Projects'!$B$8:$Q$8, _xlfn.XLOOKUP(A34,'16. Existing HQs and Projects'!$A$9:$A$58, '16. Existing HQs and Projects'!$B$9:$Q$58))</f>
        <v>1</v>
      </c>
      <c r="M34" s="334">
        <f t="shared" si="0"/>
        <v>1.25</v>
      </c>
      <c r="N34" s="337" cm="1">
        <f t="array" ref="N34">_xlfn.IFS(M34&lt;$M$58, 1, M34&gt;$M$59, 3, M34 = $M$59, 3, M34&lt;$M$59, 2)</f>
        <v>1</v>
      </c>
      <c r="O34" s="13"/>
      <c r="P34" s="13"/>
    </row>
    <row r="35" spans="1:16">
      <c r="A35" s="39" t="s">
        <v>136</v>
      </c>
      <c r="B35" s="332" cm="1">
        <f t="array" ref="B35">_xlfn.XLOOKUP($B$6, 'Metric Categories 1-14'!$B$7:$FM$7, _xlfn.XLOOKUP(A35, 'Metric Categories 1-14'!$A$8:$A$57, 'Metric Categories 1-14'!$B$8:$FM$57))</f>
        <v>1.95</v>
      </c>
      <c r="C35" s="332" cm="1">
        <f t="array" ref="C35">_xlfn.XLOOKUP($C$6, 'Metric Categories 1-14'!$B$7:$FM$7, _xlfn.XLOOKUP(A35, 'Metric Categories 1-14'!$A$8:$A$57, 'Metric Categories 1-14'!$B$8:$FM$57))</f>
        <v>1.0749999999999997</v>
      </c>
      <c r="D35" s="332" cm="1">
        <f t="array" ref="D35">_xlfn.XLOOKUP($D$6, 'Metric Categories 1-14'!$B$7:$FM$7, _xlfn.XLOOKUP(A35, 'Metric Categories 1-14'!$A$8:$A$57, 'Metric Categories 1-14'!$B$8:$FM$57))</f>
        <v>1.2</v>
      </c>
      <c r="E35" s="332" cm="1">
        <f t="array" ref="E35">_xlfn.XLOOKUP($E$6, 'Metric Categories 1-14'!$B$7:$FM$7, _xlfn.XLOOKUP(A35, 'Metric Categories 1-14'!$A$8:$A$57, 'Metric Categories 1-14'!$B$8:$FM$57))</f>
        <v>1.4000000000000001</v>
      </c>
      <c r="F35" s="333">
        <f t="shared" si="1"/>
        <v>1.4487499999999998</v>
      </c>
      <c r="G35" s="336" cm="1">
        <f t="array" ref="G35">_xlfn.IFS(F35&lt;$F$58, 1, F35&gt;$F$59, 3, F35=$F$59, 3, F35&lt;$F$59, 2)</f>
        <v>2</v>
      </c>
      <c r="H35" s="332" cm="1">
        <f t="array" ref="H35">_xlfn.XLOOKUP($H$6, 'Metric Categories 1-14'!$B$7:$FM$7, _xlfn.XLOOKUP(A35, 'Metric Categories 1-14'!$A$8:$A$57, 'Metric Categories 1-14'!$B$8:$FM$57))</f>
        <v>1</v>
      </c>
      <c r="I35" s="332" cm="1">
        <f t="array" ref="I35">_xlfn.XLOOKUP($I$6, 'Metric Categories 1-14'!$B$7:$FM$7, _xlfn.XLOOKUP(A35, 'Metric Categories 1-14'!$A$8:$A$57, 'Metric Categories 1-14'!$B$8:$FM$57))</f>
        <v>1</v>
      </c>
      <c r="J35" s="332" cm="1">
        <f t="array" ref="J35">_xlfn.XLOOKUP($J$6, 'Metric Categories 1-14'!$B$7:$FM$7, _xlfn.XLOOKUP(A35, 'Metric Categories 1-14'!$A$8:$A$57, 'Metric Categories 1-14'!$B$8:$FM$57))</f>
        <v>1.25</v>
      </c>
      <c r="K35" s="332" cm="1">
        <f t="array" ref="K35">_xlfn.XLOOKUP($K$6, '15. Workforce Calcs'!$B$8:$BG$8, _xlfn.XLOOKUP(A35, '15. Workforce Calcs'!$A$10:$A$59, '15. Workforce Calcs'!$B$10:$BG$59))</f>
        <v>1</v>
      </c>
      <c r="L35" s="332" cm="1">
        <f t="array" ref="L35">_xlfn.XLOOKUP($L$6, '16. Existing HQs and Projects'!$B$8:$Q$8, _xlfn.XLOOKUP(A35,'16. Existing HQs and Projects'!$A$9:$A$58, '16. Existing HQs and Projects'!$B$9:$Q$58))</f>
        <v>1</v>
      </c>
      <c r="M35" s="334">
        <f t="shared" si="0"/>
        <v>1.0625</v>
      </c>
      <c r="N35" s="337" cm="1">
        <f t="array" ref="N35">_xlfn.IFS(M35&lt;$M$58, 1, M35&gt;$M$59, 3, M35 = $M$59, 3, M35&lt;$M$59, 2)</f>
        <v>1</v>
      </c>
      <c r="O35" s="13"/>
      <c r="P35" s="13"/>
    </row>
    <row r="36" spans="1:16">
      <c r="A36" s="39" t="s">
        <v>137</v>
      </c>
      <c r="B36" s="332" cm="1">
        <f t="array" ref="B36">_xlfn.XLOOKUP($B$6, 'Metric Categories 1-14'!$B$7:$FM$7, _xlfn.XLOOKUP(A36, 'Metric Categories 1-14'!$A$8:$A$57, 'Metric Categories 1-14'!$B$8:$FM$57))</f>
        <v>2.25</v>
      </c>
      <c r="C36" s="332" cm="1">
        <f t="array" ref="C36">_xlfn.XLOOKUP($C$6, 'Metric Categories 1-14'!$B$7:$FM$7, _xlfn.XLOOKUP(A36, 'Metric Categories 1-14'!$A$8:$A$57, 'Metric Categories 1-14'!$B$8:$FM$57))</f>
        <v>1.2749999999999999</v>
      </c>
      <c r="D36" s="332" cm="1">
        <f t="array" ref="D36">_xlfn.XLOOKUP($D$6, 'Metric Categories 1-14'!$B$7:$FM$7, _xlfn.XLOOKUP(A36, 'Metric Categories 1-14'!$A$8:$A$57, 'Metric Categories 1-14'!$B$8:$FM$57))</f>
        <v>3</v>
      </c>
      <c r="E36" s="332" cm="1">
        <f t="array" ref="E36">_xlfn.XLOOKUP($E$6, 'Metric Categories 1-14'!$B$7:$FM$7, _xlfn.XLOOKUP(A36, 'Metric Categories 1-14'!$A$8:$A$57, 'Metric Categories 1-14'!$B$8:$FM$57))</f>
        <v>1.4000000000000001</v>
      </c>
      <c r="F36" s="333">
        <f t="shared" si="1"/>
        <v>1.8937499999999998</v>
      </c>
      <c r="G36" s="336" cm="1">
        <f t="array" ref="G36">_xlfn.IFS(F36&lt;$F$58, 1, F36&gt;$F$59, 3, F36=$F$59, 3, F36&lt;$F$59, 2)</f>
        <v>3</v>
      </c>
      <c r="H36" s="332" cm="1">
        <f t="array" ref="H36">_xlfn.XLOOKUP($H$6, 'Metric Categories 1-14'!$B$7:$FM$7, _xlfn.XLOOKUP(A36, 'Metric Categories 1-14'!$A$8:$A$57, 'Metric Categories 1-14'!$B$8:$FM$57))</f>
        <v>2</v>
      </c>
      <c r="I36" s="332" cm="1">
        <f t="array" ref="I36">_xlfn.XLOOKUP($I$6, 'Metric Categories 1-14'!$B$7:$FM$7, _xlfn.XLOOKUP(A36, 'Metric Categories 1-14'!$A$8:$A$57, 'Metric Categories 1-14'!$B$8:$FM$57))</f>
        <v>1</v>
      </c>
      <c r="J36" s="332" cm="1">
        <f t="array" ref="J36">_xlfn.XLOOKUP($J$6, 'Metric Categories 1-14'!$B$7:$FM$7, _xlfn.XLOOKUP(A36, 'Metric Categories 1-14'!$A$8:$A$57, 'Metric Categories 1-14'!$B$8:$FM$57))</f>
        <v>1.5</v>
      </c>
      <c r="K36" s="332" cm="1">
        <f t="array" ref="K36">_xlfn.XLOOKUP($K$6, '15. Workforce Calcs'!$B$8:$BG$8, _xlfn.XLOOKUP(A36, '15. Workforce Calcs'!$A$10:$A$59, '15. Workforce Calcs'!$B$10:$BG$59))</f>
        <v>3</v>
      </c>
      <c r="L36" s="332" cm="1">
        <f t="array" ref="L36">_xlfn.XLOOKUP($L$6, '16. Existing HQs and Projects'!$B$8:$Q$8, _xlfn.XLOOKUP(A36,'16. Existing HQs and Projects'!$A$9:$A$58, '16. Existing HQs and Projects'!$B$9:$Q$58))</f>
        <v>1</v>
      </c>
      <c r="M36" s="334">
        <f t="shared" si="0"/>
        <v>1.575</v>
      </c>
      <c r="N36" s="337" cm="1">
        <f t="array" ref="N36">_xlfn.IFS(M36&lt;$M$58, 1, M36&gt;$M$59, 3, M36 = $M$59, 3, M36&lt;$M$59, 2)</f>
        <v>1</v>
      </c>
      <c r="O36" s="13"/>
      <c r="P36" s="13"/>
    </row>
    <row r="37" spans="1:16">
      <c r="A37" s="39" t="s">
        <v>138</v>
      </c>
      <c r="B37" s="332" cm="1">
        <f t="array" ref="B37">_xlfn.XLOOKUP($B$6, 'Metric Categories 1-14'!$B$7:$FM$7, _xlfn.XLOOKUP(A37, 'Metric Categories 1-14'!$A$8:$A$57, 'Metric Categories 1-14'!$B$8:$FM$57))</f>
        <v>1.7</v>
      </c>
      <c r="C37" s="332" cm="1">
        <f t="array" ref="C37">_xlfn.XLOOKUP($C$6, 'Metric Categories 1-14'!$B$7:$FM$7, _xlfn.XLOOKUP(A37, 'Metric Categories 1-14'!$A$8:$A$57, 'Metric Categories 1-14'!$B$8:$FM$57))</f>
        <v>1.075</v>
      </c>
      <c r="D37" s="332" cm="1">
        <f t="array" ref="D37">_xlfn.XLOOKUP($D$6, 'Metric Categories 1-14'!$B$7:$FM$7, _xlfn.XLOOKUP(A37, 'Metric Categories 1-14'!$A$8:$A$57, 'Metric Categories 1-14'!$B$8:$FM$57))</f>
        <v>1.2000000000000002</v>
      </c>
      <c r="E37" s="332" cm="1">
        <f t="array" ref="E37">_xlfn.XLOOKUP($E$6, 'Metric Categories 1-14'!$B$7:$FM$7, _xlfn.XLOOKUP(A37, 'Metric Categories 1-14'!$A$8:$A$57, 'Metric Categories 1-14'!$B$8:$FM$57))</f>
        <v>1.8000000000000003</v>
      </c>
      <c r="F37" s="333">
        <f t="shared" si="1"/>
        <v>1.4212499999999999</v>
      </c>
      <c r="G37" s="336" cm="1">
        <f t="array" ref="G37">_xlfn.IFS(F37&lt;$F$58, 1, F37&gt;$F$59, 3, F37=$F$59, 3, F37&lt;$F$59, 2)</f>
        <v>2</v>
      </c>
      <c r="H37" s="332" cm="1">
        <f t="array" ref="H37">_xlfn.XLOOKUP($H$6, 'Metric Categories 1-14'!$B$7:$FM$7, _xlfn.XLOOKUP(A37, 'Metric Categories 1-14'!$A$8:$A$57, 'Metric Categories 1-14'!$B$8:$FM$57))</f>
        <v>3</v>
      </c>
      <c r="I37" s="332" cm="1">
        <f t="array" ref="I37">_xlfn.XLOOKUP($I$6, 'Metric Categories 1-14'!$B$7:$FM$7, _xlfn.XLOOKUP(A37, 'Metric Categories 1-14'!$A$8:$A$57, 'Metric Categories 1-14'!$B$8:$FM$57))</f>
        <v>2</v>
      </c>
      <c r="J37" s="332" cm="1">
        <f t="array" ref="J37">_xlfn.XLOOKUP($J$6, 'Metric Categories 1-14'!$B$7:$FM$7, _xlfn.XLOOKUP(A37, 'Metric Categories 1-14'!$A$8:$A$57, 'Metric Categories 1-14'!$B$8:$FM$57))</f>
        <v>2.5</v>
      </c>
      <c r="K37" s="332" cm="1">
        <f t="array" ref="K37">_xlfn.XLOOKUP($K$6, '15. Workforce Calcs'!$B$8:$BG$8, _xlfn.XLOOKUP(A37, '15. Workforce Calcs'!$A$10:$A$59, '15. Workforce Calcs'!$B$10:$BG$59))</f>
        <v>1</v>
      </c>
      <c r="L37" s="332" cm="1">
        <f t="array" ref="L37">_xlfn.XLOOKUP($L$6, '16. Existing HQs and Projects'!$B$8:$Q$8, _xlfn.XLOOKUP(A37,'16. Existing HQs and Projects'!$A$9:$A$58, '16. Existing HQs and Projects'!$B$9:$Q$58))</f>
        <v>1</v>
      </c>
      <c r="M37" s="334">
        <f t="shared" si="0"/>
        <v>2.3749999999999996</v>
      </c>
      <c r="N37" s="337" cm="1">
        <f t="array" ref="N37">_xlfn.IFS(M37&lt;$M$58, 1, M37&gt;$M$59, 3, M37 = $M$59, 3, M37&lt;$M$59, 2)</f>
        <v>3</v>
      </c>
      <c r="O37" s="13"/>
      <c r="P37" s="13"/>
    </row>
    <row r="38" spans="1:16">
      <c r="A38" s="39" t="s">
        <v>139</v>
      </c>
      <c r="B38" s="332" cm="1">
        <f t="array" ref="B38">_xlfn.XLOOKUP($B$6, 'Metric Categories 1-14'!$B$7:$FM$7, _xlfn.XLOOKUP(A38, 'Metric Categories 1-14'!$A$8:$A$57, 'Metric Categories 1-14'!$B$8:$FM$57))</f>
        <v>2.4</v>
      </c>
      <c r="C38" s="332" cm="1">
        <f t="array" ref="C38">_xlfn.XLOOKUP($C$6, 'Metric Categories 1-14'!$B$7:$FM$7, _xlfn.XLOOKUP(A38, 'Metric Categories 1-14'!$A$8:$A$57, 'Metric Categories 1-14'!$B$8:$FM$57))</f>
        <v>1.2749999999999999</v>
      </c>
      <c r="D38" s="332" cm="1">
        <f t="array" ref="D38">_xlfn.XLOOKUP($D$6, 'Metric Categories 1-14'!$B$7:$FM$7, _xlfn.XLOOKUP(A38, 'Metric Categories 1-14'!$A$8:$A$57, 'Metric Categories 1-14'!$B$8:$FM$57))</f>
        <v>3</v>
      </c>
      <c r="E38" s="332" cm="1">
        <f t="array" ref="E38">_xlfn.XLOOKUP($E$6, 'Metric Categories 1-14'!$B$7:$FM$7, _xlfn.XLOOKUP(A38, 'Metric Categories 1-14'!$A$8:$A$57, 'Metric Categories 1-14'!$B$8:$FM$57))</f>
        <v>1.6</v>
      </c>
      <c r="F38" s="333">
        <f t="shared" si="1"/>
        <v>1.9762499999999998</v>
      </c>
      <c r="G38" s="336" cm="1">
        <f t="array" ref="G38">_xlfn.IFS(F38&lt;$F$58, 1, F38&gt;$F$59, 3, F38=$F$59, 3, F38&lt;$F$59, 2)</f>
        <v>3</v>
      </c>
      <c r="H38" s="332" cm="1">
        <f t="array" ref="H38">_xlfn.XLOOKUP($H$6, 'Metric Categories 1-14'!$B$7:$FM$7, _xlfn.XLOOKUP(A38, 'Metric Categories 1-14'!$A$8:$A$57, 'Metric Categories 1-14'!$B$8:$FM$57))</f>
        <v>2</v>
      </c>
      <c r="I38" s="332" cm="1">
        <f t="array" ref="I38">_xlfn.XLOOKUP($I$6, 'Metric Categories 1-14'!$B$7:$FM$7, _xlfn.XLOOKUP(A38, 'Metric Categories 1-14'!$A$8:$A$57, 'Metric Categories 1-14'!$B$8:$FM$57))</f>
        <v>1</v>
      </c>
      <c r="J38" s="332" cm="1">
        <f t="array" ref="J38">_xlfn.XLOOKUP($J$6, 'Metric Categories 1-14'!$B$7:$FM$7, _xlfn.XLOOKUP(A38, 'Metric Categories 1-14'!$A$8:$A$57, 'Metric Categories 1-14'!$B$8:$FM$57))</f>
        <v>2.25</v>
      </c>
      <c r="K38" s="332" cm="1">
        <f t="array" ref="K38">_xlfn.XLOOKUP($K$6, '15. Workforce Calcs'!$B$8:$BG$8, _xlfn.XLOOKUP(A38, '15. Workforce Calcs'!$A$10:$A$59, '15. Workforce Calcs'!$B$10:$BG$59))</f>
        <v>3</v>
      </c>
      <c r="L38" s="332" cm="1">
        <f t="array" ref="L38">_xlfn.XLOOKUP($L$6, '16. Existing HQs and Projects'!$B$8:$Q$8, _xlfn.XLOOKUP(A38,'16. Existing HQs and Projects'!$A$9:$A$58, '16. Existing HQs and Projects'!$B$9:$Q$58))</f>
        <v>1</v>
      </c>
      <c r="M38" s="334">
        <f t="shared" ref="M38:M56" si="2">SUMPRODUCT($H$5:$L$5, H38:L38)</f>
        <v>1.7625</v>
      </c>
      <c r="N38" s="337" cm="1">
        <f t="array" ref="N38">_xlfn.IFS(M38&lt;$M$58, 1, M38&gt;$M$59, 3, M38 = $M$59, 3, M38&lt;$M$59, 2)</f>
        <v>2</v>
      </c>
      <c r="O38" s="13"/>
      <c r="P38" s="13"/>
    </row>
    <row r="39" spans="1:16">
      <c r="A39" s="39" t="s">
        <v>140</v>
      </c>
      <c r="B39" s="332" cm="1">
        <f t="array" ref="B39">_xlfn.XLOOKUP($B$6, 'Metric Categories 1-14'!$B$7:$FM$7, _xlfn.XLOOKUP(A39, 'Metric Categories 1-14'!$A$8:$A$57, 'Metric Categories 1-14'!$B$8:$FM$57))</f>
        <v>1.8499999999999999</v>
      </c>
      <c r="C39" s="332" cm="1">
        <f t="array" ref="C39">_xlfn.XLOOKUP($C$6, 'Metric Categories 1-14'!$B$7:$FM$7, _xlfn.XLOOKUP(A39, 'Metric Categories 1-14'!$A$8:$A$57, 'Metric Categories 1-14'!$B$8:$FM$57))</f>
        <v>0.99999999999999978</v>
      </c>
      <c r="D39" s="332" cm="1">
        <f t="array" ref="D39">_xlfn.XLOOKUP($D$6, 'Metric Categories 1-14'!$B$7:$FM$7, _xlfn.XLOOKUP(A39, 'Metric Categories 1-14'!$A$8:$A$57, 'Metric Categories 1-14'!$B$8:$FM$57))</f>
        <v>2.4</v>
      </c>
      <c r="E39" s="332" cm="1">
        <f t="array" ref="E39">_xlfn.XLOOKUP($E$6, 'Metric Categories 1-14'!$B$7:$FM$7, _xlfn.XLOOKUP(A39, 'Metric Categories 1-14'!$A$8:$A$57, 'Metric Categories 1-14'!$B$8:$FM$57))</f>
        <v>1.4000000000000001</v>
      </c>
      <c r="F39" s="333">
        <f t="shared" si="1"/>
        <v>1.5674999999999999</v>
      </c>
      <c r="G39" s="336" cm="1">
        <f t="array" ref="G39">_xlfn.IFS(F39&lt;$F$58, 1, F39&gt;$F$59, 3, F39=$F$59, 3, F39&lt;$F$59, 2)</f>
        <v>2</v>
      </c>
      <c r="H39" s="332" cm="1">
        <f t="array" ref="H39">_xlfn.XLOOKUP($H$6, 'Metric Categories 1-14'!$B$7:$FM$7, _xlfn.XLOOKUP(A39, 'Metric Categories 1-14'!$A$8:$A$57, 'Metric Categories 1-14'!$B$8:$FM$57))</f>
        <v>3</v>
      </c>
      <c r="I39" s="332" cm="1">
        <f t="array" ref="I39">_xlfn.XLOOKUP($I$6, 'Metric Categories 1-14'!$B$7:$FM$7, _xlfn.XLOOKUP(A39, 'Metric Categories 1-14'!$A$8:$A$57, 'Metric Categories 1-14'!$B$8:$FM$57))</f>
        <v>1</v>
      </c>
      <c r="J39" s="332" cm="1">
        <f t="array" ref="J39">_xlfn.XLOOKUP($J$6, 'Metric Categories 1-14'!$B$7:$FM$7, _xlfn.XLOOKUP(A39, 'Metric Categories 1-14'!$A$8:$A$57, 'Metric Categories 1-14'!$B$8:$FM$57))</f>
        <v>2.5</v>
      </c>
      <c r="K39" s="332" cm="1">
        <f t="array" ref="K39">_xlfn.XLOOKUP($K$6, '15. Workforce Calcs'!$B$8:$BG$8, _xlfn.XLOOKUP(A39, '15. Workforce Calcs'!$A$10:$A$59, '15. Workforce Calcs'!$B$10:$BG$59))</f>
        <v>3</v>
      </c>
      <c r="L39" s="332" cm="1">
        <f t="array" ref="L39">_xlfn.XLOOKUP($L$6, '16. Existing HQs and Projects'!$B$8:$Q$8, _xlfn.XLOOKUP(A39,'16. Existing HQs and Projects'!$A$9:$A$58, '16. Existing HQs and Projects'!$B$9:$Q$58))</f>
        <v>1</v>
      </c>
      <c r="M39" s="334">
        <f t="shared" si="2"/>
        <v>2.1749999999999998</v>
      </c>
      <c r="N39" s="337" cm="1">
        <f t="array" ref="N39">_xlfn.IFS(M39&lt;$M$58, 1, M39&gt;$M$59, 3, M39 = $M$59, 3, M39&lt;$M$59, 2)</f>
        <v>3</v>
      </c>
      <c r="O39" s="13"/>
      <c r="P39" s="13"/>
    </row>
    <row r="40" spans="1:16">
      <c r="A40" s="39" t="s">
        <v>141</v>
      </c>
      <c r="B40" s="332" cm="1">
        <f t="array" ref="B40">_xlfn.XLOOKUP($B$6, 'Metric Categories 1-14'!$B$7:$FM$7, _xlfn.XLOOKUP(A40, 'Metric Categories 1-14'!$A$8:$A$57, 'Metric Categories 1-14'!$B$8:$FM$57))</f>
        <v>0.99999999999999989</v>
      </c>
      <c r="C40" s="332" cm="1">
        <f t="array" ref="C40">_xlfn.XLOOKUP($C$6, 'Metric Categories 1-14'!$B$7:$FM$7, _xlfn.XLOOKUP(A40, 'Metric Categories 1-14'!$A$8:$A$57, 'Metric Categories 1-14'!$B$8:$FM$57))</f>
        <v>0.99999999999999978</v>
      </c>
      <c r="D40" s="332" cm="1">
        <f t="array" ref="D40">_xlfn.XLOOKUP($D$6, 'Metric Categories 1-14'!$B$7:$FM$7, _xlfn.XLOOKUP(A40, 'Metric Categories 1-14'!$A$8:$A$57, 'Metric Categories 1-14'!$B$8:$FM$57))</f>
        <v>1</v>
      </c>
      <c r="E40" s="332" cm="1">
        <f t="array" ref="E40">_xlfn.XLOOKUP($E$6, 'Metric Categories 1-14'!$B$7:$FM$7, _xlfn.XLOOKUP(A40, 'Metric Categories 1-14'!$A$8:$A$57, 'Metric Categories 1-14'!$B$8:$FM$57))</f>
        <v>2.2000000000000002</v>
      </c>
      <c r="F40" s="333">
        <f t="shared" si="1"/>
        <v>1.18</v>
      </c>
      <c r="G40" s="336" cm="1">
        <f t="array" ref="G40">_xlfn.IFS(F40&lt;$F$58, 1, F40&gt;$F$59, 3, F40=$F$59, 3, F40&lt;$F$59, 2)</f>
        <v>1</v>
      </c>
      <c r="H40" s="332" cm="1">
        <f t="array" ref="H40">_xlfn.XLOOKUP($H$6, 'Metric Categories 1-14'!$B$7:$FM$7, _xlfn.XLOOKUP(A40, 'Metric Categories 1-14'!$A$8:$A$57, 'Metric Categories 1-14'!$B$8:$FM$57))</f>
        <v>3</v>
      </c>
      <c r="I40" s="332" cm="1">
        <f t="array" ref="I40">_xlfn.XLOOKUP($I$6, 'Metric Categories 1-14'!$B$7:$FM$7, _xlfn.XLOOKUP(A40, 'Metric Categories 1-14'!$A$8:$A$57, 'Metric Categories 1-14'!$B$8:$FM$57))</f>
        <v>2.6000000000000005</v>
      </c>
      <c r="J40" s="332" cm="1">
        <f t="array" ref="J40">_xlfn.XLOOKUP($J$6, 'Metric Categories 1-14'!$B$7:$FM$7, _xlfn.XLOOKUP(A40, 'Metric Categories 1-14'!$A$8:$A$57, 'Metric Categories 1-14'!$B$8:$FM$57))</f>
        <v>2</v>
      </c>
      <c r="K40" s="332" cm="1">
        <f t="array" ref="K40">_xlfn.XLOOKUP($K$6, '15. Workforce Calcs'!$B$8:$BG$8, _xlfn.XLOOKUP(A40, '15. Workforce Calcs'!$A$10:$A$59, '15. Workforce Calcs'!$B$10:$BG$59))</f>
        <v>1</v>
      </c>
      <c r="L40" s="332" cm="1">
        <f t="array" ref="L40">_xlfn.XLOOKUP($L$6, '16. Existing HQs and Projects'!$B$8:$Q$8, _xlfn.XLOOKUP(A40,'16. Existing HQs and Projects'!$A$9:$A$58, '16. Existing HQs and Projects'!$B$9:$Q$58))</f>
        <v>3</v>
      </c>
      <c r="M40" s="334">
        <f t="shared" si="2"/>
        <v>2.5299999999999998</v>
      </c>
      <c r="N40" s="337" cm="1">
        <f t="array" ref="N40">_xlfn.IFS(M40&lt;$M$58, 1, M40&gt;$M$59, 3, M40 = $M$59, 3, M40&lt;$M$59, 2)</f>
        <v>3</v>
      </c>
      <c r="O40" s="13"/>
      <c r="P40" s="13"/>
    </row>
    <row r="41" spans="1:16">
      <c r="A41" s="39" t="s">
        <v>142</v>
      </c>
      <c r="B41" s="332" cm="1">
        <f t="array" ref="B41">_xlfn.XLOOKUP($B$6, 'Metric Categories 1-14'!$B$7:$FM$7, _xlfn.XLOOKUP(A41, 'Metric Categories 1-14'!$A$8:$A$57, 'Metric Categories 1-14'!$B$8:$FM$57))</f>
        <v>0.99999999999999989</v>
      </c>
      <c r="C41" s="332" cm="1">
        <f t="array" ref="C41">_xlfn.XLOOKUP($C$6, 'Metric Categories 1-14'!$B$7:$FM$7, _xlfn.XLOOKUP(A41, 'Metric Categories 1-14'!$A$8:$A$57, 'Metric Categories 1-14'!$B$8:$FM$57))</f>
        <v>0.99999999999999978</v>
      </c>
      <c r="D41" s="332" cm="1">
        <f t="array" ref="D41">_xlfn.XLOOKUP($D$6, 'Metric Categories 1-14'!$B$7:$FM$7, _xlfn.XLOOKUP(A41, 'Metric Categories 1-14'!$A$8:$A$57, 'Metric Categories 1-14'!$B$8:$FM$57))</f>
        <v>1</v>
      </c>
      <c r="E41" s="332" cm="1">
        <f t="array" ref="E41">_xlfn.XLOOKUP($E$6, 'Metric Categories 1-14'!$B$7:$FM$7, _xlfn.XLOOKUP(A41, 'Metric Categories 1-14'!$A$8:$A$57, 'Metric Categories 1-14'!$B$8:$FM$57))</f>
        <v>1.2000000000000002</v>
      </c>
      <c r="F41" s="333">
        <f t="shared" si="1"/>
        <v>1.0299999999999998</v>
      </c>
      <c r="G41" s="336" cm="1">
        <f t="array" ref="G41">_xlfn.IFS(F41&lt;$F$58, 1, F41&gt;$F$59, 3, F41=$F$59, 3, F41&lt;$F$59, 2)</f>
        <v>1</v>
      </c>
      <c r="H41" s="332" cm="1">
        <f t="array" ref="H41">_xlfn.XLOOKUP($H$6, 'Metric Categories 1-14'!$B$7:$FM$7, _xlfn.XLOOKUP(A41, 'Metric Categories 1-14'!$A$8:$A$57, 'Metric Categories 1-14'!$B$8:$FM$57))</f>
        <v>2</v>
      </c>
      <c r="I41" s="332" cm="1">
        <f t="array" ref="I41">_xlfn.XLOOKUP($I$6, 'Metric Categories 1-14'!$B$7:$FM$7, _xlfn.XLOOKUP(A41, 'Metric Categories 1-14'!$A$8:$A$57, 'Metric Categories 1-14'!$B$8:$FM$57))</f>
        <v>1.6</v>
      </c>
      <c r="J41" s="332" cm="1">
        <f t="array" ref="J41">_xlfn.XLOOKUP($J$6, 'Metric Categories 1-14'!$B$7:$FM$7, _xlfn.XLOOKUP(A41, 'Metric Categories 1-14'!$A$8:$A$57, 'Metric Categories 1-14'!$B$8:$FM$57))</f>
        <v>1.5</v>
      </c>
      <c r="K41" s="332" cm="1">
        <f t="array" ref="K41">_xlfn.XLOOKUP($K$6, '15. Workforce Calcs'!$B$8:$BG$8, _xlfn.XLOOKUP(A41, '15. Workforce Calcs'!$A$10:$A$59, '15. Workforce Calcs'!$B$10:$BG$59))</f>
        <v>3</v>
      </c>
      <c r="L41" s="332" cm="1">
        <f t="array" ref="L41">_xlfn.XLOOKUP($L$6, '16. Existing HQs and Projects'!$B$8:$Q$8, _xlfn.XLOOKUP(A41,'16. Existing HQs and Projects'!$A$9:$A$58, '16. Existing HQs and Projects'!$B$9:$Q$58))</f>
        <v>1</v>
      </c>
      <c r="M41" s="334">
        <f t="shared" si="2"/>
        <v>1.7550000000000001</v>
      </c>
      <c r="N41" s="337" cm="1">
        <f t="array" ref="N41">_xlfn.IFS(M41&lt;$M$58, 1, M41&gt;$M$59, 3, M41 = $M$59, 3, M41&lt;$M$59, 2)</f>
        <v>2</v>
      </c>
      <c r="O41" s="13"/>
      <c r="P41" s="13"/>
    </row>
    <row r="42" spans="1:16">
      <c r="A42" s="39" t="s">
        <v>143</v>
      </c>
      <c r="B42" s="332" cm="1">
        <f t="array" ref="B42">_xlfn.XLOOKUP($B$6, 'Metric Categories 1-14'!$B$7:$FM$7, _xlfn.XLOOKUP(A42, 'Metric Categories 1-14'!$A$8:$A$57, 'Metric Categories 1-14'!$B$8:$FM$57))</f>
        <v>0.99999999999999989</v>
      </c>
      <c r="C42" s="332" cm="1">
        <f t="array" ref="C42">_xlfn.XLOOKUP($C$6, 'Metric Categories 1-14'!$B$7:$FM$7, _xlfn.XLOOKUP(A42, 'Metric Categories 1-14'!$A$8:$A$57, 'Metric Categories 1-14'!$B$8:$FM$57))</f>
        <v>0.79999999999999993</v>
      </c>
      <c r="D42" s="332" cm="1">
        <f t="array" ref="D42">_xlfn.XLOOKUP($D$6, 'Metric Categories 1-14'!$B$7:$FM$7, _xlfn.XLOOKUP(A42, 'Metric Categories 1-14'!$A$8:$A$57, 'Metric Categories 1-14'!$B$8:$FM$57))</f>
        <v>1</v>
      </c>
      <c r="E42" s="332" cm="1">
        <f t="array" ref="E42">_xlfn.XLOOKUP($E$6, 'Metric Categories 1-14'!$B$7:$FM$7, _xlfn.XLOOKUP(A42, 'Metric Categories 1-14'!$A$8:$A$57, 'Metric Categories 1-14'!$B$8:$FM$57))</f>
        <v>1.8</v>
      </c>
      <c r="F42" s="333">
        <f t="shared" si="1"/>
        <v>1.0499999999999998</v>
      </c>
      <c r="G42" s="336" cm="1">
        <f t="array" ref="G42">_xlfn.IFS(F42&lt;$F$58, 1, F42&gt;$F$59, 3, F42=$F$59, 3, F42&lt;$F$59, 2)</f>
        <v>1</v>
      </c>
      <c r="H42" s="332" cm="1">
        <f t="array" ref="H42">_xlfn.XLOOKUP($H$6, 'Metric Categories 1-14'!$B$7:$FM$7, _xlfn.XLOOKUP(A42, 'Metric Categories 1-14'!$A$8:$A$57, 'Metric Categories 1-14'!$B$8:$FM$57))</f>
        <v>3</v>
      </c>
      <c r="I42" s="332" cm="1">
        <f t="array" ref="I42">_xlfn.XLOOKUP($I$6, 'Metric Categories 1-14'!$B$7:$FM$7, _xlfn.XLOOKUP(A42, 'Metric Categories 1-14'!$A$8:$A$57, 'Metric Categories 1-14'!$B$8:$FM$57))</f>
        <v>2.2000000000000002</v>
      </c>
      <c r="J42" s="332" cm="1">
        <f t="array" ref="J42">_xlfn.XLOOKUP($J$6, 'Metric Categories 1-14'!$B$7:$FM$7, _xlfn.XLOOKUP(A42, 'Metric Categories 1-14'!$A$8:$A$57, 'Metric Categories 1-14'!$B$8:$FM$57))</f>
        <v>2.25</v>
      </c>
      <c r="K42" s="332" cm="1">
        <f t="array" ref="K42">_xlfn.XLOOKUP($K$6, '15. Workforce Calcs'!$B$8:$BG$8, _xlfn.XLOOKUP(A42, '15. Workforce Calcs'!$A$10:$A$59, '15. Workforce Calcs'!$B$10:$BG$59))</f>
        <v>2</v>
      </c>
      <c r="L42" s="332" cm="1">
        <f t="array" ref="L42">_xlfn.XLOOKUP($L$6, '16. Existing HQs and Projects'!$B$8:$Q$8, _xlfn.XLOOKUP(A42,'16. Existing HQs and Projects'!$A$9:$A$58, '16. Existing HQs and Projects'!$B$9:$Q$58))</f>
        <v>1</v>
      </c>
      <c r="M42" s="334">
        <f t="shared" si="2"/>
        <v>2.4224999999999999</v>
      </c>
      <c r="N42" s="337" cm="1">
        <f t="array" ref="N42">_xlfn.IFS(M42&lt;$M$58, 1, M42&gt;$M$59, 3, M42 = $M$59, 3, M42&lt;$M$59, 2)</f>
        <v>3</v>
      </c>
      <c r="O42" s="13"/>
      <c r="P42" s="13"/>
    </row>
    <row r="43" spans="1:16">
      <c r="A43" s="39" t="s">
        <v>144</v>
      </c>
      <c r="B43" s="332" cm="1">
        <f t="array" ref="B43">_xlfn.XLOOKUP($B$6, 'Metric Categories 1-14'!$B$7:$FM$7, _xlfn.XLOOKUP(A43, 'Metric Categories 1-14'!$A$8:$A$57, 'Metric Categories 1-14'!$B$8:$FM$57))</f>
        <v>2</v>
      </c>
      <c r="C43" s="332" cm="1">
        <f t="array" ref="C43">_xlfn.XLOOKUP($C$6, 'Metric Categories 1-14'!$B$7:$FM$7, _xlfn.XLOOKUP(A43, 'Metric Categories 1-14'!$A$8:$A$57, 'Metric Categories 1-14'!$B$8:$FM$57))</f>
        <v>1.3499999999999999</v>
      </c>
      <c r="D43" s="332" cm="1">
        <f t="array" ref="D43">_xlfn.XLOOKUP($D$6, 'Metric Categories 1-14'!$B$7:$FM$7, _xlfn.XLOOKUP(A43, 'Metric Categories 1-14'!$A$8:$A$57, 'Metric Categories 1-14'!$B$8:$FM$57))</f>
        <v>1.6</v>
      </c>
      <c r="E43" s="332" cm="1">
        <f t="array" ref="E43">_xlfn.XLOOKUP($E$6, 'Metric Categories 1-14'!$B$7:$FM$7, _xlfn.XLOOKUP(A43, 'Metric Categories 1-14'!$A$8:$A$57, 'Metric Categories 1-14'!$B$8:$FM$57))</f>
        <v>1.4000000000000001</v>
      </c>
      <c r="F43" s="333">
        <f t="shared" si="1"/>
        <v>1.6224999999999998</v>
      </c>
      <c r="G43" s="336" cm="1">
        <f t="array" ref="G43">_xlfn.IFS(F43&lt;$F$58, 1, F43&gt;$F$59, 3, F43=$F$59, 3, F43&lt;$F$59, 2)</f>
        <v>3</v>
      </c>
      <c r="H43" s="332" cm="1">
        <f t="array" ref="H43">_xlfn.XLOOKUP($H$6, 'Metric Categories 1-14'!$B$7:$FM$7, _xlfn.XLOOKUP(A43, 'Metric Categories 1-14'!$A$8:$A$57, 'Metric Categories 1-14'!$B$8:$FM$57))</f>
        <v>1</v>
      </c>
      <c r="I43" s="332" cm="1">
        <f t="array" ref="I43">_xlfn.XLOOKUP($I$6, 'Metric Categories 1-14'!$B$7:$FM$7, _xlfn.XLOOKUP(A43, 'Metric Categories 1-14'!$A$8:$A$57, 'Metric Categories 1-14'!$B$8:$FM$57))</f>
        <v>1.2000000000000002</v>
      </c>
      <c r="J43" s="332" cm="1">
        <f t="array" ref="J43">_xlfn.XLOOKUP($J$6, 'Metric Categories 1-14'!$B$7:$FM$7, _xlfn.XLOOKUP(A43, 'Metric Categories 1-14'!$A$8:$A$57, 'Metric Categories 1-14'!$B$8:$FM$57))</f>
        <v>2.5</v>
      </c>
      <c r="K43" s="332" cm="1">
        <f t="array" ref="K43">_xlfn.XLOOKUP($K$6, '15. Workforce Calcs'!$B$8:$BG$8, _xlfn.XLOOKUP(A43, '15. Workforce Calcs'!$A$10:$A$59, '15. Workforce Calcs'!$B$10:$BG$59))</f>
        <v>1</v>
      </c>
      <c r="L43" s="332" cm="1">
        <f t="array" ref="L43">_xlfn.XLOOKUP($L$6, '16. Existing HQs and Projects'!$B$8:$Q$8, _xlfn.XLOOKUP(A43,'16. Existing HQs and Projects'!$A$9:$A$58, '16. Existing HQs and Projects'!$B$9:$Q$58))</f>
        <v>1</v>
      </c>
      <c r="M43" s="334">
        <f t="shared" si="2"/>
        <v>1.4350000000000001</v>
      </c>
      <c r="N43" s="337" cm="1">
        <f t="array" ref="N43">_xlfn.IFS(M43&lt;$M$58, 1, M43&gt;$M$59, 3, M43 = $M$59, 3, M43&lt;$M$59, 2)</f>
        <v>1</v>
      </c>
      <c r="O43" s="13"/>
      <c r="P43" s="13"/>
    </row>
    <row r="44" spans="1:16">
      <c r="A44" s="39" t="s">
        <v>145</v>
      </c>
      <c r="B44" s="332" cm="1">
        <f t="array" ref="B44">_xlfn.XLOOKUP($B$6, 'Metric Categories 1-14'!$B$7:$FM$7, _xlfn.XLOOKUP(A44, 'Metric Categories 1-14'!$A$8:$A$57, 'Metric Categories 1-14'!$B$8:$FM$57))</f>
        <v>1.95</v>
      </c>
      <c r="C44" s="332" cm="1">
        <f t="array" ref="C44">_xlfn.XLOOKUP($C$6, 'Metric Categories 1-14'!$B$7:$FM$7, _xlfn.XLOOKUP(A44, 'Metric Categories 1-14'!$A$8:$A$57, 'Metric Categories 1-14'!$B$8:$FM$57))</f>
        <v>0.875</v>
      </c>
      <c r="D44" s="332" cm="1">
        <f t="array" ref="D44">_xlfn.XLOOKUP($D$6, 'Metric Categories 1-14'!$B$7:$FM$7, _xlfn.XLOOKUP(A44, 'Metric Categories 1-14'!$A$8:$A$57, 'Metric Categories 1-14'!$B$8:$FM$57))</f>
        <v>1.8000000000000003</v>
      </c>
      <c r="E44" s="332" cm="1">
        <f t="array" ref="E44">_xlfn.XLOOKUP($E$6, 'Metric Categories 1-14'!$B$7:$FM$7, _xlfn.XLOOKUP(A44, 'Metric Categories 1-14'!$A$8:$A$57, 'Metric Categories 1-14'!$B$8:$FM$57))</f>
        <v>1.4000000000000001</v>
      </c>
      <c r="F44" s="333">
        <f t="shared" si="1"/>
        <v>1.46875</v>
      </c>
      <c r="G44" s="336" cm="1">
        <f t="array" ref="G44">_xlfn.IFS(F44&lt;$F$58, 1, F44&gt;$F$59, 3, F44=$F$59, 3, F44&lt;$F$59, 2)</f>
        <v>2</v>
      </c>
      <c r="H44" s="332" cm="1">
        <f t="array" ref="H44">_xlfn.XLOOKUP($H$6, 'Metric Categories 1-14'!$B$7:$FM$7, _xlfn.XLOOKUP(A44, 'Metric Categories 1-14'!$A$8:$A$57, 'Metric Categories 1-14'!$B$8:$FM$57))</f>
        <v>2</v>
      </c>
      <c r="I44" s="332" cm="1">
        <f t="array" ref="I44">_xlfn.XLOOKUP($I$6, 'Metric Categories 1-14'!$B$7:$FM$7, _xlfn.XLOOKUP(A44, 'Metric Categories 1-14'!$A$8:$A$57, 'Metric Categories 1-14'!$B$8:$FM$57))</f>
        <v>1.2000000000000002</v>
      </c>
      <c r="J44" s="332" cm="1">
        <f t="array" ref="J44">_xlfn.XLOOKUP($J$6, 'Metric Categories 1-14'!$B$7:$FM$7, _xlfn.XLOOKUP(A44, 'Metric Categories 1-14'!$A$8:$A$57, 'Metric Categories 1-14'!$B$8:$FM$57))</f>
        <v>2.5</v>
      </c>
      <c r="K44" s="332" cm="1">
        <f t="array" ref="K44">_xlfn.XLOOKUP($K$6, '15. Workforce Calcs'!$B$8:$BG$8, _xlfn.XLOOKUP(A44, '15. Workforce Calcs'!$A$10:$A$59, '15. Workforce Calcs'!$B$10:$BG$59))</f>
        <v>3</v>
      </c>
      <c r="L44" s="332" cm="1">
        <f t="array" ref="L44">_xlfn.XLOOKUP($L$6, '16. Existing HQs and Projects'!$B$8:$Q$8, _xlfn.XLOOKUP(A44,'16. Existing HQs and Projects'!$A$9:$A$58, '16. Existing HQs and Projects'!$B$9:$Q$58))</f>
        <v>1</v>
      </c>
      <c r="M44" s="334">
        <f t="shared" si="2"/>
        <v>1.885</v>
      </c>
      <c r="N44" s="337" cm="1">
        <f t="array" ref="N44">_xlfn.IFS(M44&lt;$M$58, 1, M44&gt;$M$59, 3, M44 = $M$59, 3, M44&lt;$M$59, 2)</f>
        <v>2</v>
      </c>
      <c r="O44" s="13"/>
      <c r="P44" s="13"/>
    </row>
    <row r="45" spans="1:16">
      <c r="A45" s="39" t="s">
        <v>146</v>
      </c>
      <c r="B45" s="332" cm="1">
        <f t="array" ref="B45">_xlfn.XLOOKUP($B$6, 'Metric Categories 1-14'!$B$7:$FM$7, _xlfn.XLOOKUP(A45, 'Metric Categories 1-14'!$A$8:$A$57, 'Metric Categories 1-14'!$B$8:$FM$57))</f>
        <v>2.4</v>
      </c>
      <c r="C45" s="332" cm="1">
        <f t="array" ref="C45">_xlfn.XLOOKUP($C$6, 'Metric Categories 1-14'!$B$7:$FM$7, _xlfn.XLOOKUP(A45, 'Metric Categories 1-14'!$A$8:$A$57, 'Metric Categories 1-14'!$B$8:$FM$57))</f>
        <v>1.0749999999999997</v>
      </c>
      <c r="D45" s="332" cm="1">
        <f t="array" ref="D45">_xlfn.XLOOKUP($D$6, 'Metric Categories 1-14'!$B$7:$FM$7, _xlfn.XLOOKUP(A45, 'Metric Categories 1-14'!$A$8:$A$57, 'Metric Categories 1-14'!$B$8:$FM$57))</f>
        <v>1.4000000000000001</v>
      </c>
      <c r="E45" s="332" cm="1">
        <f t="array" ref="E45">_xlfn.XLOOKUP($E$6, 'Metric Categories 1-14'!$B$7:$FM$7, _xlfn.XLOOKUP(A45, 'Metric Categories 1-14'!$A$8:$A$57, 'Metric Categories 1-14'!$B$8:$FM$57))</f>
        <v>1.4000000000000001</v>
      </c>
      <c r="F45" s="333">
        <f t="shared" si="1"/>
        <v>1.6362499999999998</v>
      </c>
      <c r="G45" s="336" cm="1">
        <f t="array" ref="G45">_xlfn.IFS(F45&lt;$F$58, 1, F45&gt;$F$59, 3, F45=$F$59, 3, F45&lt;$F$59, 2)</f>
        <v>3</v>
      </c>
      <c r="H45" s="332" cm="1">
        <f t="array" ref="H45">_xlfn.XLOOKUP($H$6, 'Metric Categories 1-14'!$B$7:$FM$7, _xlfn.XLOOKUP(A45, 'Metric Categories 1-14'!$A$8:$A$57, 'Metric Categories 1-14'!$B$8:$FM$57))</f>
        <v>1</v>
      </c>
      <c r="I45" s="332" cm="1">
        <f t="array" ref="I45">_xlfn.XLOOKUP($I$6, 'Metric Categories 1-14'!$B$7:$FM$7, _xlfn.XLOOKUP(A45, 'Metric Categories 1-14'!$A$8:$A$57, 'Metric Categories 1-14'!$B$8:$FM$57))</f>
        <v>1</v>
      </c>
      <c r="J45" s="332" cm="1">
        <f t="array" ref="J45">_xlfn.XLOOKUP($J$6, 'Metric Categories 1-14'!$B$7:$FM$7, _xlfn.XLOOKUP(A45, 'Metric Categories 1-14'!$A$8:$A$57, 'Metric Categories 1-14'!$B$8:$FM$57))</f>
        <v>1</v>
      </c>
      <c r="K45" s="332" cm="1">
        <f t="array" ref="K45">_xlfn.XLOOKUP($K$6, '15. Workforce Calcs'!$B$8:$BG$8, _xlfn.XLOOKUP(A45, '15. Workforce Calcs'!$A$10:$A$59, '15. Workforce Calcs'!$B$10:$BG$59))</f>
        <v>1</v>
      </c>
      <c r="L45" s="332" cm="1">
        <f t="array" ref="L45">_xlfn.XLOOKUP($L$6, '16. Existing HQs and Projects'!$B$8:$Q$8, _xlfn.XLOOKUP(A45,'16. Existing HQs and Projects'!$A$9:$A$58, '16. Existing HQs and Projects'!$B$9:$Q$58))</f>
        <v>1</v>
      </c>
      <c r="M45" s="334">
        <f t="shared" si="2"/>
        <v>1</v>
      </c>
      <c r="N45" s="337" cm="1">
        <f t="array" ref="N45">_xlfn.IFS(M45&lt;$M$58, 1, M45&gt;$M$59, 3, M45 = $M$59, 3, M45&lt;$M$59, 2)</f>
        <v>1</v>
      </c>
      <c r="O45" s="13"/>
      <c r="P45" s="13"/>
    </row>
    <row r="46" spans="1:16">
      <c r="A46" s="39" t="s">
        <v>147</v>
      </c>
      <c r="B46" s="332" cm="1">
        <f t="array" ref="B46">_xlfn.XLOOKUP($B$6, 'Metric Categories 1-14'!$B$7:$FM$7, _xlfn.XLOOKUP(A46, 'Metric Categories 1-14'!$A$8:$A$57, 'Metric Categories 1-14'!$B$8:$FM$57))</f>
        <v>1.5</v>
      </c>
      <c r="C46" s="332" cm="1">
        <f t="array" ref="C46">_xlfn.XLOOKUP($C$6, 'Metric Categories 1-14'!$B$7:$FM$7, _xlfn.XLOOKUP(A46, 'Metric Categories 1-14'!$A$8:$A$57, 'Metric Categories 1-14'!$B$8:$FM$57))</f>
        <v>0.99999999999999978</v>
      </c>
      <c r="D46" s="332" cm="1">
        <f t="array" ref="D46">_xlfn.XLOOKUP($D$6, 'Metric Categories 1-14'!$B$7:$FM$7, _xlfn.XLOOKUP(A46, 'Metric Categories 1-14'!$A$8:$A$57, 'Metric Categories 1-14'!$B$8:$FM$57))</f>
        <v>1</v>
      </c>
      <c r="E46" s="332" cm="1">
        <f t="array" ref="E46">_xlfn.XLOOKUP($E$6, 'Metric Categories 1-14'!$B$7:$FM$7, _xlfn.XLOOKUP(A46, 'Metric Categories 1-14'!$A$8:$A$57, 'Metric Categories 1-14'!$B$8:$FM$57))</f>
        <v>1.2000000000000002</v>
      </c>
      <c r="F46" s="333">
        <f t="shared" si="1"/>
        <v>1.2049999999999996</v>
      </c>
      <c r="G46" s="336" cm="1">
        <f t="array" ref="G46">_xlfn.IFS(F46&lt;$F$58, 1, F46&gt;$F$59, 3, F46=$F$59, 3, F46&lt;$F$59, 2)</f>
        <v>1</v>
      </c>
      <c r="H46" s="332" cm="1">
        <f t="array" ref="H46">_xlfn.XLOOKUP($H$6, 'Metric Categories 1-14'!$B$7:$FM$7, _xlfn.XLOOKUP(A46, 'Metric Categories 1-14'!$A$8:$A$57, 'Metric Categories 1-14'!$B$8:$FM$57))</f>
        <v>3</v>
      </c>
      <c r="I46" s="332" cm="1">
        <f t="array" ref="I46">_xlfn.XLOOKUP($I$6, 'Metric Categories 1-14'!$B$7:$FM$7, _xlfn.XLOOKUP(A46, 'Metric Categories 1-14'!$A$8:$A$57, 'Metric Categories 1-14'!$B$8:$FM$57))</f>
        <v>1</v>
      </c>
      <c r="J46" s="332" cm="1">
        <f t="array" ref="J46">_xlfn.XLOOKUP($J$6, 'Metric Categories 1-14'!$B$7:$FM$7, _xlfn.XLOOKUP(A46, 'Metric Categories 1-14'!$A$8:$A$57, 'Metric Categories 1-14'!$B$8:$FM$57))</f>
        <v>2</v>
      </c>
      <c r="K46" s="332" cm="1">
        <f t="array" ref="K46">_xlfn.XLOOKUP($K$6, '15. Workforce Calcs'!$B$8:$BG$8, _xlfn.XLOOKUP(A46, '15. Workforce Calcs'!$A$10:$A$59, '15. Workforce Calcs'!$B$10:$BG$59))</f>
        <v>3</v>
      </c>
      <c r="L46" s="332" cm="1">
        <f t="array" ref="L46">_xlfn.XLOOKUP($L$6, '16. Existing HQs and Projects'!$B$8:$Q$8, _xlfn.XLOOKUP(A46,'16. Existing HQs and Projects'!$A$9:$A$58, '16. Existing HQs and Projects'!$B$9:$Q$58))</f>
        <v>1</v>
      </c>
      <c r="M46" s="334">
        <f t="shared" si="2"/>
        <v>2.0499999999999998</v>
      </c>
      <c r="N46" s="337" cm="1">
        <f t="array" ref="N46">_xlfn.IFS(M46&lt;$M$58, 1, M46&gt;$M$59, 3, M46 = $M$59, 3, M46&lt;$M$59, 2)</f>
        <v>3</v>
      </c>
      <c r="O46" s="13"/>
      <c r="P46" s="13"/>
    </row>
    <row r="47" spans="1:16">
      <c r="A47" s="39" t="s">
        <v>148</v>
      </c>
      <c r="B47" s="332" cm="1">
        <f t="array" ref="B47">_xlfn.XLOOKUP($B$6, 'Metric Categories 1-14'!$B$7:$FM$7, _xlfn.XLOOKUP(A47, 'Metric Categories 1-14'!$A$8:$A$57, 'Metric Categories 1-14'!$B$8:$FM$57))</f>
        <v>0.99999999999999989</v>
      </c>
      <c r="C47" s="332" cm="1">
        <f t="array" ref="C47">_xlfn.XLOOKUP($C$6, 'Metric Categories 1-14'!$B$7:$FM$7, _xlfn.XLOOKUP(A47, 'Metric Categories 1-14'!$A$8:$A$57, 'Metric Categories 1-14'!$B$8:$FM$57))</f>
        <v>0.99999999999999978</v>
      </c>
      <c r="D47" s="332" cm="1">
        <f t="array" ref="D47">_xlfn.XLOOKUP($D$6, 'Metric Categories 1-14'!$B$7:$FM$7, _xlfn.XLOOKUP(A47, 'Metric Categories 1-14'!$A$8:$A$57, 'Metric Categories 1-14'!$B$8:$FM$57))</f>
        <v>1.5999999999999999</v>
      </c>
      <c r="E47" s="332" cm="1">
        <f t="array" ref="E47">_xlfn.XLOOKUP($E$6, 'Metric Categories 1-14'!$B$7:$FM$7, _xlfn.XLOOKUP(A47, 'Metric Categories 1-14'!$A$8:$A$57, 'Metric Categories 1-14'!$B$8:$FM$57))</f>
        <v>1.6</v>
      </c>
      <c r="F47" s="333">
        <f t="shared" si="1"/>
        <v>1.1799999999999997</v>
      </c>
      <c r="G47" s="336" cm="1">
        <f t="array" ref="G47">_xlfn.IFS(F47&lt;$F$58, 1, F47&gt;$F$59, 3, F47=$F$59, 3, F47&lt;$F$59, 2)</f>
        <v>1</v>
      </c>
      <c r="H47" s="332" cm="1">
        <f t="array" ref="H47">_xlfn.XLOOKUP($H$6, 'Metric Categories 1-14'!$B$7:$FM$7, _xlfn.XLOOKUP(A47, 'Metric Categories 1-14'!$A$8:$A$57, 'Metric Categories 1-14'!$B$8:$FM$57))</f>
        <v>2</v>
      </c>
      <c r="I47" s="332" cm="1">
        <f t="array" ref="I47">_xlfn.XLOOKUP($I$6, 'Metric Categories 1-14'!$B$7:$FM$7, _xlfn.XLOOKUP(A47, 'Metric Categories 1-14'!$A$8:$A$57, 'Metric Categories 1-14'!$B$8:$FM$57))</f>
        <v>1.4</v>
      </c>
      <c r="J47" s="332" cm="1">
        <f t="array" ref="J47">_xlfn.XLOOKUP($J$6, 'Metric Categories 1-14'!$B$7:$FM$7, _xlfn.XLOOKUP(A47, 'Metric Categories 1-14'!$A$8:$A$57, 'Metric Categories 1-14'!$B$8:$FM$57))</f>
        <v>1.5</v>
      </c>
      <c r="K47" s="332" cm="1">
        <f t="array" ref="K47">_xlfn.XLOOKUP($K$6, '15. Workforce Calcs'!$B$8:$BG$8, _xlfn.XLOOKUP(A47, '15. Workforce Calcs'!$A$10:$A$59, '15. Workforce Calcs'!$B$10:$BG$59))</f>
        <v>1</v>
      </c>
      <c r="L47" s="332" cm="1">
        <f t="array" ref="L47">_xlfn.XLOOKUP($L$6, '16. Existing HQs and Projects'!$B$8:$Q$8, _xlfn.XLOOKUP(A47,'16. Existing HQs and Projects'!$A$9:$A$58, '16. Existing HQs and Projects'!$B$9:$Q$58))</f>
        <v>1</v>
      </c>
      <c r="M47" s="334">
        <f t="shared" si="2"/>
        <v>1.595</v>
      </c>
      <c r="N47" s="337" cm="1">
        <f t="array" ref="N47">_xlfn.IFS(M47&lt;$M$58, 1, M47&gt;$M$59, 3, M47 = $M$59, 3, M47&lt;$M$59, 2)</f>
        <v>2</v>
      </c>
      <c r="O47" s="13"/>
      <c r="P47" s="13"/>
    </row>
    <row r="48" spans="1:16">
      <c r="A48" s="39" t="s">
        <v>149</v>
      </c>
      <c r="B48" s="332" cm="1">
        <f t="array" ref="B48">_xlfn.XLOOKUP($B$6, 'Metric Categories 1-14'!$B$7:$FM$7, _xlfn.XLOOKUP(A48, 'Metric Categories 1-14'!$A$8:$A$57, 'Metric Categories 1-14'!$B$8:$FM$57))</f>
        <v>0.99999999999999989</v>
      </c>
      <c r="C48" s="332" cm="1">
        <f t="array" ref="C48">_xlfn.XLOOKUP($C$6, 'Metric Categories 1-14'!$B$7:$FM$7, _xlfn.XLOOKUP(A48, 'Metric Categories 1-14'!$A$8:$A$57, 'Metric Categories 1-14'!$B$8:$FM$57))</f>
        <v>0.99999999999999978</v>
      </c>
      <c r="D48" s="332" cm="1">
        <f t="array" ref="D48">_xlfn.XLOOKUP($D$6, 'Metric Categories 1-14'!$B$7:$FM$7, _xlfn.XLOOKUP(A48, 'Metric Categories 1-14'!$A$8:$A$57, 'Metric Categories 1-14'!$B$8:$FM$57))</f>
        <v>1</v>
      </c>
      <c r="E48" s="332" cm="1">
        <f t="array" ref="E48">_xlfn.XLOOKUP($E$6, 'Metric Categories 1-14'!$B$7:$FM$7, _xlfn.XLOOKUP(A48, 'Metric Categories 1-14'!$A$8:$A$57, 'Metric Categories 1-14'!$B$8:$FM$57))</f>
        <v>1.2000000000000002</v>
      </c>
      <c r="F48" s="333">
        <f t="shared" si="1"/>
        <v>1.0299999999999998</v>
      </c>
      <c r="G48" s="336" cm="1">
        <f t="array" ref="G48">_xlfn.IFS(F48&lt;$F$58, 1, F48&gt;$F$59, 3, F48=$F$59, 3, F48&lt;$F$59, 2)</f>
        <v>1</v>
      </c>
      <c r="H48" s="332" cm="1">
        <f t="array" ref="H48">_xlfn.XLOOKUP($H$6, 'Metric Categories 1-14'!$B$7:$FM$7, _xlfn.XLOOKUP(A48, 'Metric Categories 1-14'!$A$8:$A$57, 'Metric Categories 1-14'!$B$8:$FM$57))</f>
        <v>3</v>
      </c>
      <c r="I48" s="332" cm="1">
        <f t="array" ref="I48">_xlfn.XLOOKUP($I$6, 'Metric Categories 1-14'!$B$7:$FM$7, _xlfn.XLOOKUP(A48, 'Metric Categories 1-14'!$A$8:$A$57, 'Metric Categories 1-14'!$B$8:$FM$57))</f>
        <v>1</v>
      </c>
      <c r="J48" s="332" cm="1">
        <f t="array" ref="J48">_xlfn.XLOOKUP($J$6, 'Metric Categories 1-14'!$B$7:$FM$7, _xlfn.XLOOKUP(A48, 'Metric Categories 1-14'!$A$8:$A$57, 'Metric Categories 1-14'!$B$8:$FM$57))</f>
        <v>1.75</v>
      </c>
      <c r="K48" s="332" cm="1">
        <f t="array" ref="K48">_xlfn.XLOOKUP($K$6, '15. Workforce Calcs'!$B$8:$BG$8, _xlfn.XLOOKUP(A48, '15. Workforce Calcs'!$A$10:$A$59, '15. Workforce Calcs'!$B$10:$BG$59))</f>
        <v>3</v>
      </c>
      <c r="L48" s="332" cm="1">
        <f t="array" ref="L48">_xlfn.XLOOKUP($L$6, '16. Existing HQs and Projects'!$B$8:$Q$8, _xlfn.XLOOKUP(A48,'16. Existing HQs and Projects'!$A$9:$A$58, '16. Existing HQs and Projects'!$B$9:$Q$58))</f>
        <v>1</v>
      </c>
      <c r="M48" s="334">
        <f t="shared" si="2"/>
        <v>1.9875</v>
      </c>
      <c r="N48" s="337" cm="1">
        <f t="array" ref="N48">_xlfn.IFS(M48&lt;$M$58, 1, M48&gt;$M$59, 3, M48 = $M$59, 3, M48&lt;$M$59, 2)</f>
        <v>2</v>
      </c>
      <c r="O48" s="13"/>
      <c r="P48" s="13"/>
    </row>
    <row r="49" spans="1:16">
      <c r="A49" s="39" t="s">
        <v>150</v>
      </c>
      <c r="B49" s="332" cm="1">
        <f t="array" ref="B49">_xlfn.XLOOKUP($B$6, 'Metric Categories 1-14'!$B$7:$FM$7, _xlfn.XLOOKUP(A49, 'Metric Categories 1-14'!$A$8:$A$57, 'Metric Categories 1-14'!$B$8:$FM$57))</f>
        <v>0.99999999999999989</v>
      </c>
      <c r="C49" s="332" cm="1">
        <f t="array" ref="C49">_xlfn.XLOOKUP($C$6, 'Metric Categories 1-14'!$B$7:$FM$7, _xlfn.XLOOKUP(A49, 'Metric Categories 1-14'!$A$8:$A$57, 'Metric Categories 1-14'!$B$8:$FM$57))</f>
        <v>0.99999999999999978</v>
      </c>
      <c r="D49" s="332" cm="1">
        <f t="array" ref="D49">_xlfn.XLOOKUP($D$6, 'Metric Categories 1-14'!$B$7:$FM$7, _xlfn.XLOOKUP(A49, 'Metric Categories 1-14'!$A$8:$A$57, 'Metric Categories 1-14'!$B$8:$FM$57))</f>
        <v>1</v>
      </c>
      <c r="E49" s="332" cm="1">
        <f t="array" ref="E49">_xlfn.XLOOKUP($E$6, 'Metric Categories 1-14'!$B$7:$FM$7, _xlfn.XLOOKUP(A49, 'Metric Categories 1-14'!$A$8:$A$57, 'Metric Categories 1-14'!$B$8:$FM$57))</f>
        <v>2.3000000000000003</v>
      </c>
      <c r="F49" s="333">
        <f t="shared" si="1"/>
        <v>1.1949999999999998</v>
      </c>
      <c r="G49" s="336" cm="1">
        <f t="array" ref="G49">_xlfn.IFS(F49&lt;$F$58, 1, F49&gt;$F$59, 3, F49=$F$59, 3, F49&lt;$F$59, 2)</f>
        <v>1</v>
      </c>
      <c r="H49" s="332" cm="1">
        <f t="array" ref="H49">_xlfn.XLOOKUP($H$6, 'Metric Categories 1-14'!$B$7:$FM$7, _xlfn.XLOOKUP(A49, 'Metric Categories 1-14'!$A$8:$A$57, 'Metric Categories 1-14'!$B$8:$FM$57))</f>
        <v>3</v>
      </c>
      <c r="I49" s="332" cm="1">
        <f t="array" ref="I49">_xlfn.XLOOKUP($I$6, 'Metric Categories 1-14'!$B$7:$FM$7, _xlfn.XLOOKUP(A49, 'Metric Categories 1-14'!$A$8:$A$57, 'Metric Categories 1-14'!$B$8:$FM$57))</f>
        <v>2.6000000000000005</v>
      </c>
      <c r="J49" s="332" cm="1">
        <f t="array" ref="J49">_xlfn.XLOOKUP($J$6, 'Metric Categories 1-14'!$B$7:$FM$7, _xlfn.XLOOKUP(A49, 'Metric Categories 1-14'!$A$8:$A$57, 'Metric Categories 1-14'!$B$8:$FM$57))</f>
        <v>2.5</v>
      </c>
      <c r="K49" s="332" cm="1">
        <f t="array" ref="K49">_xlfn.XLOOKUP($K$6, '15. Workforce Calcs'!$B$8:$BG$8, _xlfn.XLOOKUP(A49, '15. Workforce Calcs'!$A$10:$A$59, '15. Workforce Calcs'!$B$10:$BG$59))</f>
        <v>3</v>
      </c>
      <c r="L49" s="332" cm="1">
        <f t="array" ref="L49">_xlfn.XLOOKUP($L$6, '16. Existing HQs and Projects'!$B$8:$Q$8, _xlfn.XLOOKUP(A49,'16. Existing HQs and Projects'!$A$9:$A$58, '16. Existing HQs and Projects'!$B$9:$Q$58))</f>
        <v>1</v>
      </c>
      <c r="M49" s="334">
        <f t="shared" si="2"/>
        <v>2.6549999999999998</v>
      </c>
      <c r="N49" s="337" cm="1">
        <f t="array" ref="N49">_xlfn.IFS(M49&lt;$M$58, 1, M49&gt;$M$59, 3, M49 = $M$59, 3, M49&lt;$M$59, 2)</f>
        <v>3</v>
      </c>
      <c r="O49" s="13"/>
      <c r="P49" s="13"/>
    </row>
    <row r="50" spans="1:16">
      <c r="A50" s="39" t="s">
        <v>151</v>
      </c>
      <c r="B50" s="332" cm="1">
        <f t="array" ref="B50">_xlfn.XLOOKUP($B$6, 'Metric Categories 1-14'!$B$7:$FM$7, _xlfn.XLOOKUP(A50, 'Metric Categories 1-14'!$A$8:$A$57, 'Metric Categories 1-14'!$B$8:$FM$57))</f>
        <v>0.99999999999999989</v>
      </c>
      <c r="C50" s="332" cm="1">
        <f t="array" ref="C50">_xlfn.XLOOKUP($C$6, 'Metric Categories 1-14'!$B$7:$FM$7, _xlfn.XLOOKUP(A50, 'Metric Categories 1-14'!$A$8:$A$57, 'Metric Categories 1-14'!$B$8:$FM$57))</f>
        <v>0.99999999999999978</v>
      </c>
      <c r="D50" s="332" cm="1">
        <f t="array" ref="D50">_xlfn.XLOOKUP($D$6, 'Metric Categories 1-14'!$B$7:$FM$7, _xlfn.XLOOKUP(A50, 'Metric Categories 1-14'!$A$8:$A$57, 'Metric Categories 1-14'!$B$8:$FM$57))</f>
        <v>1</v>
      </c>
      <c r="E50" s="332" cm="1">
        <f t="array" ref="E50">_xlfn.XLOOKUP($E$6, 'Metric Categories 1-14'!$B$7:$FM$7, _xlfn.XLOOKUP(A50, 'Metric Categories 1-14'!$A$8:$A$57, 'Metric Categories 1-14'!$B$8:$FM$57))</f>
        <v>1.2000000000000002</v>
      </c>
      <c r="F50" s="333">
        <f t="shared" si="1"/>
        <v>1.0299999999999998</v>
      </c>
      <c r="G50" s="336" cm="1">
        <f t="array" ref="G50">_xlfn.IFS(F50&lt;$F$58, 1, F50&gt;$F$59, 3, F50=$F$59, 3, F50&lt;$F$59, 2)</f>
        <v>1</v>
      </c>
      <c r="H50" s="332" cm="1">
        <f t="array" ref="H50">_xlfn.XLOOKUP($H$6, 'Metric Categories 1-14'!$B$7:$FM$7, _xlfn.XLOOKUP(A50, 'Metric Categories 1-14'!$A$8:$A$57, 'Metric Categories 1-14'!$B$8:$FM$57))</f>
        <v>1</v>
      </c>
      <c r="I50" s="332" cm="1">
        <f t="array" ref="I50">_xlfn.XLOOKUP($I$6, 'Metric Categories 1-14'!$B$7:$FM$7, _xlfn.XLOOKUP(A50, 'Metric Categories 1-14'!$A$8:$A$57, 'Metric Categories 1-14'!$B$8:$FM$57))</f>
        <v>1.6</v>
      </c>
      <c r="J50" s="332" cm="1">
        <f t="array" ref="J50">_xlfn.XLOOKUP($J$6, 'Metric Categories 1-14'!$B$7:$FM$7, _xlfn.XLOOKUP(A50, 'Metric Categories 1-14'!$A$8:$A$57, 'Metric Categories 1-14'!$B$8:$FM$57))</f>
        <v>2.5</v>
      </c>
      <c r="K50" s="332" cm="1">
        <f t="array" ref="K50">_xlfn.XLOOKUP($K$6, '15. Workforce Calcs'!$B$8:$BG$8, _xlfn.XLOOKUP(A50, '15. Workforce Calcs'!$A$10:$A$59, '15. Workforce Calcs'!$B$10:$BG$59))</f>
        <v>2</v>
      </c>
      <c r="L50" s="332" cm="1">
        <f t="array" ref="L50">_xlfn.XLOOKUP($L$6, '16. Existing HQs and Projects'!$B$8:$Q$8, _xlfn.XLOOKUP(A50,'16. Existing HQs and Projects'!$A$9:$A$58, '16. Existing HQs and Projects'!$B$9:$Q$58))</f>
        <v>1</v>
      </c>
      <c r="M50" s="334">
        <f t="shared" si="2"/>
        <v>1.6050000000000002</v>
      </c>
      <c r="N50" s="337" cm="1">
        <f t="array" ref="N50">_xlfn.IFS(M50&lt;$M$58, 1, M50&gt;$M$59, 3, M50 = $M$59, 3, M50&lt;$M$59, 2)</f>
        <v>2</v>
      </c>
      <c r="O50" s="13"/>
      <c r="P50" s="13"/>
    </row>
    <row r="51" spans="1:16">
      <c r="A51" s="39" t="s">
        <v>152</v>
      </c>
      <c r="B51" s="332" cm="1">
        <f t="array" ref="B51">_xlfn.XLOOKUP($B$6, 'Metric Categories 1-14'!$B$7:$FM$7, _xlfn.XLOOKUP(A51, 'Metric Categories 1-14'!$A$8:$A$57, 'Metric Categories 1-14'!$B$8:$FM$57))</f>
        <v>2</v>
      </c>
      <c r="C51" s="332" cm="1">
        <f t="array" ref="C51">_xlfn.XLOOKUP($C$6, 'Metric Categories 1-14'!$B$7:$FM$7, _xlfn.XLOOKUP(A51, 'Metric Categories 1-14'!$A$8:$A$57, 'Metric Categories 1-14'!$B$8:$FM$57))</f>
        <v>1.0749999999999997</v>
      </c>
      <c r="D51" s="332" cm="1">
        <f t="array" ref="D51">_xlfn.XLOOKUP($D$6, 'Metric Categories 1-14'!$B$7:$FM$7, _xlfn.XLOOKUP(A51, 'Metric Categories 1-14'!$A$8:$A$57, 'Metric Categories 1-14'!$B$8:$FM$57))</f>
        <v>1.4</v>
      </c>
      <c r="E51" s="332" cm="1">
        <f t="array" ref="E51">_xlfn.XLOOKUP($E$6, 'Metric Categories 1-14'!$B$7:$FM$7, _xlfn.XLOOKUP(A51, 'Metric Categories 1-14'!$A$8:$A$57, 'Metric Categories 1-14'!$B$8:$FM$57))</f>
        <v>1.4000000000000001</v>
      </c>
      <c r="F51" s="333">
        <f t="shared" si="1"/>
        <v>1.4962499999999999</v>
      </c>
      <c r="G51" s="336" cm="1">
        <f t="array" ref="G51">_xlfn.IFS(F51&lt;$F$58, 1, F51&gt;$F$59, 3, F51=$F$59, 3, F51&lt;$F$59, 2)</f>
        <v>2</v>
      </c>
      <c r="H51" s="332" cm="1">
        <f t="array" ref="H51">_xlfn.XLOOKUP($H$6, 'Metric Categories 1-14'!$B$7:$FM$7, _xlfn.XLOOKUP(A51, 'Metric Categories 1-14'!$A$8:$A$57, 'Metric Categories 1-14'!$B$8:$FM$57))</f>
        <v>2</v>
      </c>
      <c r="I51" s="332" cm="1">
        <f t="array" ref="I51">_xlfn.XLOOKUP($I$6, 'Metric Categories 1-14'!$B$7:$FM$7, _xlfn.XLOOKUP(A51, 'Metric Categories 1-14'!$A$8:$A$57, 'Metric Categories 1-14'!$B$8:$FM$57))</f>
        <v>1</v>
      </c>
      <c r="J51" s="332" cm="1">
        <f t="array" ref="J51">_xlfn.XLOOKUP($J$6, 'Metric Categories 1-14'!$B$7:$FM$7, _xlfn.XLOOKUP(A51, 'Metric Categories 1-14'!$A$8:$A$57, 'Metric Categories 1-14'!$B$8:$FM$57))</f>
        <v>1.75</v>
      </c>
      <c r="K51" s="332" cm="1">
        <f t="array" ref="K51">_xlfn.XLOOKUP($K$6, '15. Workforce Calcs'!$B$8:$BG$8, _xlfn.XLOOKUP(A51, '15. Workforce Calcs'!$A$10:$A$59, '15. Workforce Calcs'!$B$10:$BG$59))</f>
        <v>1</v>
      </c>
      <c r="L51" s="332" cm="1">
        <f t="array" ref="L51">_xlfn.XLOOKUP($L$6, '16. Existing HQs and Projects'!$B$8:$Q$8, _xlfn.XLOOKUP(A51,'16. Existing HQs and Projects'!$A$9:$A$58, '16. Existing HQs and Projects'!$B$9:$Q$58))</f>
        <v>1</v>
      </c>
      <c r="M51" s="334">
        <f t="shared" si="2"/>
        <v>1.5375000000000001</v>
      </c>
      <c r="N51" s="337" cm="1">
        <f t="array" ref="N51">_xlfn.IFS(M51&lt;$M$58, 1, M51&gt;$M$59, 3, M51 = $M$59, 3, M51&lt;$M$59, 2)</f>
        <v>1</v>
      </c>
      <c r="O51" s="13"/>
      <c r="P51" s="13"/>
    </row>
    <row r="52" spans="1:16">
      <c r="A52" s="39" t="s">
        <v>153</v>
      </c>
      <c r="B52" s="332" cm="1">
        <f t="array" ref="B52">_xlfn.XLOOKUP($B$6, 'Metric Categories 1-14'!$B$7:$FM$7, _xlfn.XLOOKUP(A52, 'Metric Categories 1-14'!$A$8:$A$57, 'Metric Categories 1-14'!$B$8:$FM$57))</f>
        <v>2.4</v>
      </c>
      <c r="C52" s="332" cm="1">
        <f t="array" ref="C52">_xlfn.XLOOKUP($C$6, 'Metric Categories 1-14'!$B$7:$FM$7, _xlfn.XLOOKUP(A52, 'Metric Categories 1-14'!$A$8:$A$57, 'Metric Categories 1-14'!$B$8:$FM$57))</f>
        <v>0.99999999999999978</v>
      </c>
      <c r="D52" s="332" cm="1">
        <f t="array" ref="D52">_xlfn.XLOOKUP($D$6, 'Metric Categories 1-14'!$B$7:$FM$7, _xlfn.XLOOKUP(A52, 'Metric Categories 1-14'!$A$8:$A$57, 'Metric Categories 1-14'!$B$8:$FM$57))</f>
        <v>2.2000000000000002</v>
      </c>
      <c r="E52" s="332" cm="1">
        <f t="array" ref="E52">_xlfn.XLOOKUP($E$6, 'Metric Categories 1-14'!$B$7:$FM$7, _xlfn.XLOOKUP(A52, 'Metric Categories 1-14'!$A$8:$A$57, 'Metric Categories 1-14'!$B$8:$FM$57))</f>
        <v>1.6</v>
      </c>
      <c r="F52" s="333">
        <f t="shared" si="1"/>
        <v>1.76</v>
      </c>
      <c r="G52" s="336" cm="1">
        <f t="array" ref="G52">_xlfn.IFS(F52&lt;$F$58, 1, F52&gt;$F$59, 3, F52=$F$59, 3, F52&lt;$F$59, 2)</f>
        <v>3</v>
      </c>
      <c r="H52" s="332" cm="1">
        <f t="array" ref="H52">_xlfn.XLOOKUP($H$6, 'Metric Categories 1-14'!$B$7:$FM$7, _xlfn.XLOOKUP(A52, 'Metric Categories 1-14'!$A$8:$A$57, 'Metric Categories 1-14'!$B$8:$FM$57))</f>
        <v>3</v>
      </c>
      <c r="I52" s="332" cm="1">
        <f t="array" ref="I52">_xlfn.XLOOKUP($I$6, 'Metric Categories 1-14'!$B$7:$FM$7, _xlfn.XLOOKUP(A52, 'Metric Categories 1-14'!$A$8:$A$57, 'Metric Categories 1-14'!$B$8:$FM$57))</f>
        <v>1</v>
      </c>
      <c r="J52" s="332" cm="1">
        <f t="array" ref="J52">_xlfn.XLOOKUP($J$6, 'Metric Categories 1-14'!$B$7:$FM$7, _xlfn.XLOOKUP(A52, 'Metric Categories 1-14'!$A$8:$A$57, 'Metric Categories 1-14'!$B$8:$FM$57))</f>
        <v>2</v>
      </c>
      <c r="K52" s="332" cm="1">
        <f t="array" ref="K52">_xlfn.XLOOKUP($K$6, '15. Workforce Calcs'!$B$8:$BG$8, _xlfn.XLOOKUP(A52, '15. Workforce Calcs'!$A$10:$A$59, '15. Workforce Calcs'!$B$10:$BG$59))</f>
        <v>2</v>
      </c>
      <c r="L52" s="332" cm="1">
        <f t="array" ref="L52">_xlfn.XLOOKUP($L$6, '16. Existing HQs and Projects'!$B$8:$Q$8, _xlfn.XLOOKUP(A52,'16. Existing HQs and Projects'!$A$9:$A$58, '16. Existing HQs and Projects'!$B$9:$Q$58))</f>
        <v>1</v>
      </c>
      <c r="M52" s="334">
        <f t="shared" si="2"/>
        <v>2</v>
      </c>
      <c r="N52" s="337" cm="1">
        <f t="array" ref="N52">_xlfn.IFS(M52&lt;$M$58, 1, M52&gt;$M$59, 3, M52 = $M$59, 3, M52&lt;$M$59, 2)</f>
        <v>3</v>
      </c>
      <c r="O52" s="13"/>
      <c r="P52" s="13"/>
    </row>
    <row r="53" spans="1:16">
      <c r="A53" s="39" t="s">
        <v>154</v>
      </c>
      <c r="B53" s="332" cm="1">
        <f t="array" ref="B53">_xlfn.XLOOKUP($B$6, 'Metric Categories 1-14'!$B$7:$FM$7, _xlfn.XLOOKUP(A53, 'Metric Categories 1-14'!$A$8:$A$57, 'Metric Categories 1-14'!$B$8:$FM$57))</f>
        <v>2.5500000000000003</v>
      </c>
      <c r="C53" s="332" cm="1">
        <f t="array" ref="C53">_xlfn.XLOOKUP($C$6, 'Metric Categories 1-14'!$B$7:$FM$7, _xlfn.XLOOKUP(A53, 'Metric Categories 1-14'!$A$8:$A$57, 'Metric Categories 1-14'!$B$8:$FM$57))</f>
        <v>1.6499999999999997</v>
      </c>
      <c r="D53" s="332" cm="1">
        <f t="array" ref="D53">_xlfn.XLOOKUP($D$6, 'Metric Categories 1-14'!$B$7:$FM$7, _xlfn.XLOOKUP(A53, 'Metric Categories 1-14'!$A$8:$A$57, 'Metric Categories 1-14'!$B$8:$FM$57))</f>
        <v>2.8</v>
      </c>
      <c r="E53" s="332" cm="1">
        <f t="array" ref="E53">_xlfn.XLOOKUP($E$6, 'Metric Categories 1-14'!$B$7:$FM$7, _xlfn.XLOOKUP(A53, 'Metric Categories 1-14'!$A$8:$A$57, 'Metric Categories 1-14'!$B$8:$FM$57))</f>
        <v>1.8000000000000003</v>
      </c>
      <c r="F53" s="333">
        <f t="shared" si="1"/>
        <v>2.16</v>
      </c>
      <c r="G53" s="336" cm="1">
        <f t="array" ref="G53">_xlfn.IFS(F53&lt;$F$58, 1, F53&gt;$F$59, 3, F53=$F$59, 3, F53&lt;$F$59, 2)</f>
        <v>3</v>
      </c>
      <c r="H53" s="332" cm="1">
        <f t="array" ref="H53">_xlfn.XLOOKUP($H$6, 'Metric Categories 1-14'!$B$7:$FM$7, _xlfn.XLOOKUP(A53, 'Metric Categories 1-14'!$A$8:$A$57, 'Metric Categories 1-14'!$B$8:$FM$57))</f>
        <v>1</v>
      </c>
      <c r="I53" s="332" cm="1">
        <f t="array" ref="I53">_xlfn.XLOOKUP($I$6, 'Metric Categories 1-14'!$B$7:$FM$7, _xlfn.XLOOKUP(A53, 'Metric Categories 1-14'!$A$8:$A$57, 'Metric Categories 1-14'!$B$8:$FM$57))</f>
        <v>1.2000000000000002</v>
      </c>
      <c r="J53" s="332" cm="1">
        <f t="array" ref="J53">_xlfn.XLOOKUP($J$6, 'Metric Categories 1-14'!$B$7:$FM$7, _xlfn.XLOOKUP(A53, 'Metric Categories 1-14'!$A$8:$A$57, 'Metric Categories 1-14'!$B$8:$FM$57))</f>
        <v>3</v>
      </c>
      <c r="K53" s="332" cm="1">
        <f t="array" ref="K53">_xlfn.XLOOKUP($K$6, '15. Workforce Calcs'!$B$8:$BG$8, _xlfn.XLOOKUP(A53, '15. Workforce Calcs'!$A$10:$A$59, '15. Workforce Calcs'!$B$10:$BG$59))</f>
        <v>2</v>
      </c>
      <c r="L53" s="332" cm="1">
        <f t="array" ref="L53">_xlfn.XLOOKUP($L$6, '16. Existing HQs and Projects'!$B$8:$Q$8, _xlfn.XLOOKUP(A53,'16. Existing HQs and Projects'!$A$9:$A$58, '16. Existing HQs and Projects'!$B$9:$Q$58))</f>
        <v>1</v>
      </c>
      <c r="M53" s="334">
        <f t="shared" si="2"/>
        <v>1.61</v>
      </c>
      <c r="N53" s="337" cm="1">
        <f t="array" ref="N53">_xlfn.IFS(M53&lt;$M$58, 1, M53&gt;$M$59, 3, M53 = $M$59, 3, M53&lt;$M$59, 2)</f>
        <v>2</v>
      </c>
      <c r="O53" s="13"/>
      <c r="P53" s="13"/>
    </row>
    <row r="54" spans="1:16">
      <c r="A54" s="39" t="s">
        <v>155</v>
      </c>
      <c r="B54" s="332" cm="1">
        <f t="array" ref="B54">_xlfn.XLOOKUP($B$6, 'Metric Categories 1-14'!$B$7:$FM$7, _xlfn.XLOOKUP(A54, 'Metric Categories 1-14'!$A$8:$A$57, 'Metric Categories 1-14'!$B$8:$FM$57))</f>
        <v>0.99999999999999989</v>
      </c>
      <c r="C54" s="332" cm="1">
        <f t="array" ref="C54">_xlfn.XLOOKUP($C$6, 'Metric Categories 1-14'!$B$7:$FM$7, _xlfn.XLOOKUP(A54, 'Metric Categories 1-14'!$A$8:$A$57, 'Metric Categories 1-14'!$B$8:$FM$57))</f>
        <v>0.99999999999999978</v>
      </c>
      <c r="D54" s="332" cm="1">
        <f t="array" ref="D54">_xlfn.XLOOKUP($D$6, 'Metric Categories 1-14'!$B$7:$FM$7, _xlfn.XLOOKUP(A54, 'Metric Categories 1-14'!$A$8:$A$57, 'Metric Categories 1-14'!$B$8:$FM$57))</f>
        <v>1.6</v>
      </c>
      <c r="E54" s="332" cm="1">
        <f t="array" ref="E54">_xlfn.XLOOKUP($E$6, 'Metric Categories 1-14'!$B$7:$FM$7, _xlfn.XLOOKUP(A54, 'Metric Categories 1-14'!$A$8:$A$57, 'Metric Categories 1-14'!$B$8:$FM$57))</f>
        <v>1.9</v>
      </c>
      <c r="F54" s="333">
        <f t="shared" si="1"/>
        <v>1.2249999999999999</v>
      </c>
      <c r="G54" s="336" cm="1">
        <f t="array" ref="G54">_xlfn.IFS(F54&lt;$F$58, 1, F54&gt;$F$59, 3, F54=$F$59, 3, F54&lt;$F$59, 2)</f>
        <v>2</v>
      </c>
      <c r="H54" s="332" cm="1">
        <f t="array" ref="H54">_xlfn.XLOOKUP($H$6, 'Metric Categories 1-14'!$B$7:$FM$7, _xlfn.XLOOKUP(A54, 'Metric Categories 1-14'!$A$8:$A$57, 'Metric Categories 1-14'!$B$8:$FM$57))</f>
        <v>2</v>
      </c>
      <c r="I54" s="332" cm="1">
        <f t="array" ref="I54">_xlfn.XLOOKUP($I$6, 'Metric Categories 1-14'!$B$7:$FM$7, _xlfn.XLOOKUP(A54, 'Metric Categories 1-14'!$A$8:$A$57, 'Metric Categories 1-14'!$B$8:$FM$57))</f>
        <v>1.4</v>
      </c>
      <c r="J54" s="332" cm="1">
        <f t="array" ref="J54">_xlfn.XLOOKUP($J$6, 'Metric Categories 1-14'!$B$7:$FM$7, _xlfn.XLOOKUP(A54, 'Metric Categories 1-14'!$A$8:$A$57, 'Metric Categories 1-14'!$B$8:$FM$57))</f>
        <v>1.5</v>
      </c>
      <c r="K54" s="332" cm="1">
        <f t="array" ref="K54">_xlfn.XLOOKUP($K$6, '15. Workforce Calcs'!$B$8:$BG$8, _xlfn.XLOOKUP(A54, '15. Workforce Calcs'!$A$10:$A$59, '15. Workforce Calcs'!$B$10:$BG$59))</f>
        <v>1</v>
      </c>
      <c r="L54" s="332" cm="1">
        <f t="array" ref="L54">_xlfn.XLOOKUP($L$6, '16. Existing HQs and Projects'!$B$8:$Q$8, _xlfn.XLOOKUP(A54,'16. Existing HQs and Projects'!$A$9:$A$58, '16. Existing HQs and Projects'!$B$9:$Q$58))</f>
        <v>1</v>
      </c>
      <c r="M54" s="334">
        <f t="shared" si="2"/>
        <v>1.595</v>
      </c>
      <c r="N54" s="337" cm="1">
        <f t="array" ref="N54">_xlfn.IFS(M54&lt;$M$58, 1, M54&gt;$M$59, 3, M54 = $M$59, 3, M54&lt;$M$59, 2)</f>
        <v>2</v>
      </c>
      <c r="O54" s="13"/>
      <c r="P54" s="13"/>
    </row>
    <row r="55" spans="1:16">
      <c r="A55" s="39" t="s">
        <v>156</v>
      </c>
      <c r="B55" s="332" cm="1">
        <f t="array" ref="B55">_xlfn.XLOOKUP($B$6, 'Metric Categories 1-14'!$B$7:$FM$7, _xlfn.XLOOKUP(A55, 'Metric Categories 1-14'!$A$8:$A$57, 'Metric Categories 1-14'!$B$8:$FM$57))</f>
        <v>1.25</v>
      </c>
      <c r="C55" s="332" cm="1">
        <f t="array" ref="C55">_xlfn.XLOOKUP($C$6, 'Metric Categories 1-14'!$B$7:$FM$7, _xlfn.XLOOKUP(A55, 'Metric Categories 1-14'!$A$8:$A$57, 'Metric Categories 1-14'!$B$8:$FM$57))</f>
        <v>0.99999999999999978</v>
      </c>
      <c r="D55" s="332" cm="1">
        <f t="array" ref="D55">_xlfn.XLOOKUP($D$6, 'Metric Categories 1-14'!$B$7:$FM$7, _xlfn.XLOOKUP(A55, 'Metric Categories 1-14'!$A$8:$A$57, 'Metric Categories 1-14'!$B$8:$FM$57))</f>
        <v>1.5999999999999999</v>
      </c>
      <c r="E55" s="332" cm="1">
        <f t="array" ref="E55">_xlfn.XLOOKUP($E$6, 'Metric Categories 1-14'!$B$7:$FM$7, _xlfn.XLOOKUP(A55, 'Metric Categories 1-14'!$A$8:$A$57, 'Metric Categories 1-14'!$B$8:$FM$57))</f>
        <v>1.2000000000000002</v>
      </c>
      <c r="F55" s="333">
        <f t="shared" si="1"/>
        <v>1.2074999999999998</v>
      </c>
      <c r="G55" s="336" cm="1">
        <f t="array" ref="G55">_xlfn.IFS(F55&lt;$F$58, 1, F55&gt;$F$59, 3, F55=$F$59, 3, F55&lt;$F$59, 2)</f>
        <v>2</v>
      </c>
      <c r="H55" s="332" cm="1">
        <f t="array" ref="H55">_xlfn.XLOOKUP($H$6, 'Metric Categories 1-14'!$B$7:$FM$7, _xlfn.XLOOKUP(A55, 'Metric Categories 1-14'!$A$8:$A$57, 'Metric Categories 1-14'!$B$8:$FM$57))</f>
        <v>2</v>
      </c>
      <c r="I55" s="332" cm="1">
        <f t="array" ref="I55">_xlfn.XLOOKUP($I$6, 'Metric Categories 1-14'!$B$7:$FM$7, _xlfn.XLOOKUP(A55, 'Metric Categories 1-14'!$A$8:$A$57, 'Metric Categories 1-14'!$B$8:$FM$57))</f>
        <v>1</v>
      </c>
      <c r="J55" s="332" cm="1">
        <f t="array" ref="J55">_xlfn.XLOOKUP($J$6, 'Metric Categories 1-14'!$B$7:$FM$7, _xlfn.XLOOKUP(A55, 'Metric Categories 1-14'!$A$8:$A$57, 'Metric Categories 1-14'!$B$8:$FM$57))</f>
        <v>2</v>
      </c>
      <c r="K55" s="332" cm="1">
        <f t="array" ref="K55">_xlfn.XLOOKUP($K$6, '15. Workforce Calcs'!$B$8:$BG$8, _xlfn.XLOOKUP(A55, '15. Workforce Calcs'!$A$10:$A$59, '15. Workforce Calcs'!$B$10:$BG$59))</f>
        <v>3</v>
      </c>
      <c r="L55" s="332" cm="1">
        <f t="array" ref="L55">_xlfn.XLOOKUP($L$6, '16. Existing HQs and Projects'!$B$8:$Q$8, _xlfn.XLOOKUP(A55,'16. Existing HQs and Projects'!$A$9:$A$58, '16. Existing HQs and Projects'!$B$9:$Q$58))</f>
        <v>1</v>
      </c>
      <c r="M55" s="334">
        <f t="shared" si="2"/>
        <v>1.7</v>
      </c>
      <c r="N55" s="337" cm="1">
        <f t="array" ref="N55">_xlfn.IFS(M55&lt;$M$58, 1, M55&gt;$M$59, 3, M55 = $M$59, 3, M55&lt;$M$59, 2)</f>
        <v>2</v>
      </c>
      <c r="O55" s="13"/>
      <c r="P55" s="13"/>
    </row>
    <row r="56" spans="1:16">
      <c r="A56" s="39" t="s">
        <v>157</v>
      </c>
      <c r="B56" s="332" cm="1">
        <f t="array" ref="B56">_xlfn.XLOOKUP($B$6, 'Metric Categories 1-14'!$B$7:$FM$7, _xlfn.XLOOKUP(A56, 'Metric Categories 1-14'!$A$8:$A$57, 'Metric Categories 1-14'!$B$8:$FM$57))</f>
        <v>0.99999999999999989</v>
      </c>
      <c r="C56" s="332" cm="1">
        <f t="array" ref="C56">_xlfn.XLOOKUP($C$6, 'Metric Categories 1-14'!$B$7:$FM$7, _xlfn.XLOOKUP(A56, 'Metric Categories 1-14'!$A$8:$A$57, 'Metric Categories 1-14'!$B$8:$FM$57))</f>
        <v>0.79999999999999993</v>
      </c>
      <c r="D56" s="332" cm="1">
        <f t="array" ref="D56">_xlfn.XLOOKUP($D$6, 'Metric Categories 1-14'!$B$7:$FM$7, _xlfn.XLOOKUP(A56, 'Metric Categories 1-14'!$A$8:$A$57, 'Metric Categories 1-14'!$B$8:$FM$57))</f>
        <v>1.5999999999999999</v>
      </c>
      <c r="E56" s="332" cm="1">
        <f t="array" ref="E56">_xlfn.XLOOKUP($E$6, 'Metric Categories 1-14'!$B$7:$FM$7, _xlfn.XLOOKUP(A56, 'Metric Categories 1-14'!$A$8:$A$57, 'Metric Categories 1-14'!$B$8:$FM$57))</f>
        <v>2.6000000000000005</v>
      </c>
      <c r="F56" s="333">
        <f t="shared" si="1"/>
        <v>1.26</v>
      </c>
      <c r="G56" s="336" cm="1">
        <f t="array" ref="G56">_xlfn.IFS(F56&lt;$F$58, 1, F56&gt;$F$59, 3, F56=$F$59, 3, F56&lt;$F$59, 2)</f>
        <v>2</v>
      </c>
      <c r="H56" s="332" cm="1">
        <f t="array" ref="H56">_xlfn.XLOOKUP($H$6, 'Metric Categories 1-14'!$B$7:$FM$7, _xlfn.XLOOKUP(A56, 'Metric Categories 1-14'!$A$8:$A$57, 'Metric Categories 1-14'!$B$8:$FM$57))</f>
        <v>1</v>
      </c>
      <c r="I56" s="332" cm="1">
        <f t="array" ref="I56">_xlfn.XLOOKUP($I$6, 'Metric Categories 1-14'!$B$7:$FM$7, _xlfn.XLOOKUP(A56, 'Metric Categories 1-14'!$A$8:$A$57, 'Metric Categories 1-14'!$B$8:$FM$57))</f>
        <v>2.2000000000000002</v>
      </c>
      <c r="J56" s="332" cm="1">
        <f t="array" ref="J56">_xlfn.XLOOKUP($J$6, 'Metric Categories 1-14'!$B$7:$FM$7, _xlfn.XLOOKUP(A56, 'Metric Categories 1-14'!$A$8:$A$57, 'Metric Categories 1-14'!$B$8:$FM$57))</f>
        <v>2.5</v>
      </c>
      <c r="K56" s="332" cm="1">
        <f t="array" ref="K56">_xlfn.XLOOKUP($K$6, '15. Workforce Calcs'!$B$8:$BG$8, _xlfn.XLOOKUP(A56, '15. Workforce Calcs'!$A$10:$A$59, '15. Workforce Calcs'!$B$10:$BG$59))</f>
        <v>1</v>
      </c>
      <c r="L56" s="332" cm="1">
        <f t="array" ref="L56">_xlfn.XLOOKUP($L$6, '16. Existing HQs and Projects'!$B$8:$Q$8, _xlfn.XLOOKUP(A56,'16. Existing HQs and Projects'!$A$9:$A$58, '16. Existing HQs and Projects'!$B$9:$Q$58))</f>
        <v>1</v>
      </c>
      <c r="M56" s="334">
        <f t="shared" si="2"/>
        <v>1.7350000000000001</v>
      </c>
      <c r="N56" s="337" cm="1">
        <f t="array" ref="N56">_xlfn.IFS(M56&lt;$M$58, 1, M56&gt;$M$59, 3, M56 = $M$59, 3, M56&lt;$M$59, 2)</f>
        <v>2</v>
      </c>
      <c r="O56" s="13"/>
      <c r="P56" s="13"/>
    </row>
    <row r="57" spans="1:16">
      <c r="A57" s="13"/>
      <c r="B57" s="13"/>
      <c r="C57" s="13"/>
      <c r="D57" s="13"/>
      <c r="E57" s="13"/>
      <c r="F57" s="331"/>
      <c r="H57" s="13"/>
      <c r="I57" s="13"/>
      <c r="J57" s="13"/>
      <c r="K57" s="13"/>
      <c r="L57" s="20"/>
      <c r="M57" s="331"/>
      <c r="N57" s="13"/>
      <c r="O57" s="13"/>
      <c r="P57" s="13"/>
    </row>
    <row r="58" spans="1:16">
      <c r="A58" s="13"/>
      <c r="B58" s="13"/>
      <c r="C58" s="13"/>
      <c r="D58" s="13"/>
      <c r="E58" s="13"/>
      <c r="F58" s="296">
        <f>PERCENTILE(F7:F56, 1/3)</f>
        <v>1.2058333333333331</v>
      </c>
      <c r="H58" s="13"/>
      <c r="I58" s="13"/>
      <c r="J58" s="13"/>
      <c r="K58" s="13"/>
      <c r="L58" s="13"/>
      <c r="M58" s="37">
        <f>PERCENTILE(M7:M56, 1/3)</f>
        <v>1.595</v>
      </c>
      <c r="N58" s="13"/>
      <c r="O58" s="13"/>
      <c r="P58" s="13"/>
    </row>
    <row r="59" spans="1:16">
      <c r="A59" s="13"/>
      <c r="B59" s="13"/>
      <c r="C59" s="13"/>
      <c r="D59" s="13"/>
      <c r="E59" s="13"/>
      <c r="F59" s="35">
        <f>PERCENTILE(F7:F56, 2/3)</f>
        <v>1.5724999999999998</v>
      </c>
      <c r="H59" s="13"/>
      <c r="I59" s="13"/>
      <c r="J59" s="13"/>
      <c r="K59" s="13"/>
      <c r="L59" s="13"/>
      <c r="M59" s="37">
        <f>PERCENTILE(M7:M56, 2/3)</f>
        <v>1.9991666666666668</v>
      </c>
      <c r="N59" s="13"/>
      <c r="O59" s="13"/>
      <c r="P59" s="13"/>
    </row>
    <row r="60" spans="1:16">
      <c r="A60" s="13"/>
      <c r="B60" s="13"/>
      <c r="C60" s="13"/>
      <c r="D60" s="13"/>
      <c r="E60" s="13"/>
      <c r="F60" s="331"/>
      <c r="H60" s="13"/>
      <c r="I60" s="13"/>
      <c r="J60" s="13"/>
      <c r="K60" s="13"/>
      <c r="L60" s="13"/>
      <c r="M60" s="331"/>
      <c r="N60" s="13"/>
      <c r="O60" s="13"/>
      <c r="P60" s="13"/>
    </row>
    <row r="61" spans="1:16">
      <c r="A61" s="13"/>
      <c r="B61" s="13"/>
      <c r="C61" s="13"/>
      <c r="D61" s="13"/>
      <c r="E61" s="13"/>
      <c r="F61" s="331"/>
      <c r="H61" s="13"/>
      <c r="I61" s="13"/>
      <c r="J61" s="13"/>
      <c r="K61" s="13"/>
      <c r="L61" s="13"/>
      <c r="M61" s="331"/>
      <c r="N61" s="13"/>
      <c r="O61" s="13"/>
      <c r="P61" s="13"/>
    </row>
    <row r="62" spans="1:16">
      <c r="A62" s="13"/>
      <c r="B62" s="13"/>
      <c r="C62" s="13"/>
      <c r="D62" s="13"/>
      <c r="E62" s="13"/>
      <c r="F62" s="331"/>
      <c r="H62" s="13"/>
      <c r="I62" s="13"/>
      <c r="J62" s="13"/>
      <c r="K62" s="13"/>
      <c r="L62" s="13"/>
      <c r="M62" s="331"/>
      <c r="N62" s="13"/>
      <c r="O62" s="13"/>
      <c r="P62" s="13"/>
    </row>
    <row r="63" spans="1:16">
      <c r="A63" s="13"/>
      <c r="B63" s="13"/>
      <c r="C63" s="13"/>
      <c r="D63" s="13"/>
      <c r="E63" s="13"/>
      <c r="F63" s="331"/>
      <c r="H63" s="13"/>
      <c r="I63" s="13"/>
      <c r="J63" s="13"/>
      <c r="K63" s="13"/>
      <c r="L63" s="13"/>
      <c r="M63" s="331"/>
      <c r="N63" s="13"/>
      <c r="O63" s="13"/>
      <c r="P63" s="13"/>
    </row>
    <row r="64" spans="1:16">
      <c r="A64" s="13"/>
      <c r="B64" s="13"/>
      <c r="C64" s="13"/>
      <c r="D64" s="13"/>
      <c r="E64" s="13"/>
      <c r="F64" s="331"/>
      <c r="H64" s="13"/>
      <c r="I64" s="13"/>
      <c r="J64" s="13"/>
      <c r="K64" s="13"/>
      <c r="L64" s="13"/>
      <c r="M64" s="331"/>
      <c r="N64" s="13"/>
      <c r="O64" s="13"/>
      <c r="P64" s="13"/>
    </row>
    <row r="65" spans="1:16">
      <c r="A65" s="13"/>
      <c r="B65" s="13"/>
      <c r="C65" s="13"/>
      <c r="D65" s="13"/>
      <c r="E65" s="13"/>
      <c r="F65" s="331"/>
      <c r="H65" s="13"/>
      <c r="I65" s="13"/>
      <c r="J65" s="13"/>
      <c r="K65" s="13"/>
      <c r="L65" s="13"/>
      <c r="M65" s="331"/>
      <c r="N65" s="13"/>
      <c r="O65" s="13"/>
      <c r="P65" s="13"/>
    </row>
    <row r="66" spans="1:16">
      <c r="A66" s="13"/>
      <c r="B66" s="13"/>
      <c r="C66" s="13"/>
      <c r="D66" s="13"/>
      <c r="E66" s="13"/>
      <c r="F66" s="331"/>
      <c r="H66" s="13"/>
      <c r="I66" s="13"/>
      <c r="J66" s="13"/>
      <c r="K66" s="13"/>
      <c r="L66" s="13"/>
      <c r="M66" s="331"/>
      <c r="N66" s="13"/>
      <c r="O66" s="13"/>
      <c r="P66" s="13"/>
    </row>
    <row r="67" spans="1:16">
      <c r="A67" s="13"/>
      <c r="B67" s="13"/>
      <c r="C67" s="13"/>
      <c r="D67" s="13"/>
      <c r="E67" s="13"/>
      <c r="F67" s="331"/>
      <c r="H67" s="13"/>
      <c r="I67" s="13"/>
      <c r="J67" s="13"/>
      <c r="K67" s="13"/>
      <c r="L67" s="13"/>
      <c r="M67" s="331"/>
      <c r="N67" s="13"/>
      <c r="O67" s="13"/>
      <c r="P67" s="13"/>
    </row>
    <row r="68" spans="1:16">
      <c r="A68" s="13"/>
      <c r="B68" s="13"/>
      <c r="C68" s="13"/>
      <c r="D68" s="13"/>
      <c r="E68" s="13"/>
      <c r="F68" s="331"/>
      <c r="H68" s="13"/>
      <c r="I68" s="13"/>
      <c r="J68" s="13"/>
      <c r="K68" s="13"/>
      <c r="L68" s="13"/>
      <c r="M68" s="331"/>
      <c r="N68" s="13"/>
      <c r="O68" s="13"/>
      <c r="P68" s="13"/>
    </row>
    <row r="69" spans="1:16">
      <c r="A69" s="13"/>
      <c r="B69" s="13"/>
      <c r="C69" s="13"/>
      <c r="D69" s="13"/>
      <c r="E69" s="13"/>
      <c r="F69" s="331"/>
      <c r="H69" s="13"/>
      <c r="I69" s="13"/>
      <c r="J69" s="13"/>
      <c r="K69" s="13"/>
      <c r="L69" s="13"/>
      <c r="M69" s="331"/>
      <c r="N69" s="13"/>
      <c r="O69" s="13"/>
      <c r="P69" s="13"/>
    </row>
    <row r="70" spans="1:16">
      <c r="A70" s="13"/>
      <c r="B70" s="13"/>
      <c r="C70" s="13"/>
      <c r="D70" s="13"/>
      <c r="E70" s="13"/>
      <c r="F70" s="331"/>
      <c r="H70" s="13"/>
      <c r="I70" s="13"/>
      <c r="J70" s="13"/>
      <c r="K70" s="13"/>
      <c r="L70" s="13"/>
      <c r="M70" s="331"/>
      <c r="N70" s="13"/>
      <c r="O70" s="13"/>
      <c r="P70" s="13"/>
    </row>
    <row r="71" spans="1:16">
      <c r="A71" s="13"/>
      <c r="B71" s="13"/>
      <c r="C71" s="13"/>
      <c r="D71" s="13"/>
      <c r="E71" s="13"/>
      <c r="F71" s="331"/>
      <c r="H71" s="13"/>
      <c r="I71" s="13"/>
      <c r="J71" s="13"/>
      <c r="K71" s="13"/>
      <c r="L71" s="13"/>
      <c r="M71" s="331"/>
      <c r="N71" s="13"/>
      <c r="O71" s="13"/>
      <c r="P71" s="13"/>
    </row>
    <row r="72" spans="1:16">
      <c r="A72" s="13"/>
      <c r="B72" s="13"/>
      <c r="C72" s="13"/>
      <c r="D72" s="13"/>
      <c r="E72" s="13"/>
      <c r="F72" s="331"/>
      <c r="H72" s="13"/>
      <c r="I72" s="13"/>
      <c r="J72" s="13"/>
      <c r="K72" s="13"/>
      <c r="L72" s="13"/>
      <c r="M72" s="331"/>
      <c r="N72" s="13"/>
      <c r="O72" s="13"/>
      <c r="P72" s="13"/>
    </row>
    <row r="73" spans="1:16">
      <c r="A73" s="13"/>
      <c r="B73" s="13"/>
      <c r="C73" s="13"/>
      <c r="D73" s="13"/>
      <c r="E73" s="13"/>
      <c r="F73" s="331"/>
      <c r="H73" s="13"/>
      <c r="I73" s="13"/>
      <c r="J73" s="13"/>
      <c r="K73" s="13"/>
      <c r="L73" s="13"/>
      <c r="M73" s="331"/>
      <c r="N73" s="13"/>
      <c r="O73" s="13"/>
      <c r="P73" s="13"/>
    </row>
    <row r="74" spans="1:16">
      <c r="A74" s="13"/>
      <c r="B74" s="13"/>
      <c r="C74" s="13"/>
      <c r="D74" s="13"/>
      <c r="E74" s="13"/>
      <c r="F74" s="331"/>
      <c r="H74" s="13"/>
      <c r="I74" s="13"/>
      <c r="J74" s="13"/>
      <c r="K74" s="13"/>
      <c r="L74" s="13"/>
      <c r="M74" s="331"/>
      <c r="N74" s="13"/>
      <c r="O74" s="13"/>
      <c r="P74" s="13"/>
    </row>
  </sheetData>
  <mergeCells count="2">
    <mergeCell ref="B4:F4"/>
    <mergeCell ref="H4:L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3EA52-D063-420F-936A-F8F49BE95E6B}">
  <sheetPr>
    <tabColor rgb="FF003B63"/>
  </sheetPr>
  <dimension ref="A1:S105"/>
  <sheetViews>
    <sheetView workbookViewId="0">
      <selection activeCell="C1" sqref="C1"/>
    </sheetView>
  </sheetViews>
  <sheetFormatPr defaultColWidth="30.7109375" defaultRowHeight="15" customHeight="1"/>
  <cols>
    <col min="1" max="2" width="30.7109375" style="424"/>
    <col min="5" max="6" width="30.7109375" style="424"/>
  </cols>
  <sheetData>
    <row r="1" spans="1:19" s="4" customFormat="1" ht="27" customHeight="1">
      <c r="A1" s="428"/>
      <c r="B1" s="431" t="s">
        <v>0</v>
      </c>
      <c r="E1" s="428"/>
      <c r="F1" s="428"/>
      <c r="R1"/>
      <c r="S1"/>
    </row>
    <row r="2" spans="1:19" s="5" customFormat="1" ht="27" customHeight="1">
      <c r="A2" s="429"/>
      <c r="B2" s="432" t="s">
        <v>715</v>
      </c>
      <c r="E2" s="429"/>
      <c r="F2" s="429"/>
      <c r="R2"/>
      <c r="S2"/>
    </row>
    <row r="3" spans="1:19" s="426" customFormat="1" ht="27" customHeight="1">
      <c r="A3" s="430"/>
      <c r="B3" s="430"/>
      <c r="E3" s="430"/>
      <c r="F3" s="430"/>
      <c r="R3" s="427"/>
      <c r="S3" s="427"/>
    </row>
    <row r="4" spans="1:19" s="434" customFormat="1">
      <c r="A4" s="435" t="s">
        <v>716</v>
      </c>
      <c r="B4" s="435" t="s">
        <v>717</v>
      </c>
      <c r="C4" s="436" t="s">
        <v>163</v>
      </c>
      <c r="D4" s="436" t="s">
        <v>75</v>
      </c>
      <c r="E4" s="580" t="s">
        <v>718</v>
      </c>
      <c r="F4" s="580"/>
      <c r="G4" s="437"/>
      <c r="H4" s="437"/>
    </row>
    <row r="5" spans="1:19" ht="34.5" customHeight="1">
      <c r="A5" s="269" t="s">
        <v>719</v>
      </c>
      <c r="B5" s="269" t="s">
        <v>720</v>
      </c>
      <c r="C5" s="438">
        <v>2024</v>
      </c>
      <c r="D5" s="438" t="s">
        <v>74</v>
      </c>
      <c r="E5" s="439" t="s">
        <v>721</v>
      </c>
      <c r="F5" s="439" t="s">
        <v>722</v>
      </c>
      <c r="G5" s="438"/>
      <c r="H5" s="440"/>
    </row>
    <row r="6" spans="1:19" ht="45">
      <c r="A6" s="269" t="s">
        <v>719</v>
      </c>
      <c r="B6" s="269" t="s">
        <v>723</v>
      </c>
      <c r="C6" s="438">
        <v>2008</v>
      </c>
      <c r="D6" s="438" t="s">
        <v>88</v>
      </c>
      <c r="E6" s="439" t="s">
        <v>724</v>
      </c>
      <c r="F6" s="441"/>
      <c r="G6" s="440"/>
      <c r="H6" s="440"/>
    </row>
    <row r="7" spans="1:19" ht="45">
      <c r="A7" s="269" t="s">
        <v>725</v>
      </c>
      <c r="B7" s="269" t="s">
        <v>726</v>
      </c>
      <c r="C7" s="438">
        <v>2020</v>
      </c>
      <c r="D7" s="438" t="s">
        <v>91</v>
      </c>
      <c r="E7" s="439" t="s">
        <v>727</v>
      </c>
      <c r="F7" s="441"/>
      <c r="G7" s="440"/>
      <c r="H7" s="440"/>
    </row>
    <row r="8" spans="1:19" ht="30">
      <c r="A8" s="269" t="s">
        <v>728</v>
      </c>
      <c r="B8" s="269" t="s">
        <v>729</v>
      </c>
      <c r="C8" s="438">
        <v>2022</v>
      </c>
      <c r="D8" s="438" t="s">
        <v>91</v>
      </c>
      <c r="E8" s="439" t="s">
        <v>730</v>
      </c>
      <c r="F8" s="441"/>
      <c r="G8" s="440"/>
      <c r="H8" s="440"/>
    </row>
    <row r="9" spans="1:19" ht="30">
      <c r="A9" s="269" t="s">
        <v>719</v>
      </c>
      <c r="B9" s="269" t="s">
        <v>731</v>
      </c>
      <c r="C9" s="438">
        <v>2022</v>
      </c>
      <c r="D9" s="438" t="s">
        <v>91</v>
      </c>
      <c r="E9" s="439" t="s">
        <v>732</v>
      </c>
      <c r="F9" s="441"/>
      <c r="G9" s="440"/>
      <c r="H9" s="440"/>
    </row>
    <row r="10" spans="1:19" ht="30">
      <c r="A10" s="269" t="s">
        <v>733</v>
      </c>
      <c r="B10" s="269" t="s">
        <v>734</v>
      </c>
      <c r="C10" s="438">
        <v>2013</v>
      </c>
      <c r="D10" s="438" t="s">
        <v>91</v>
      </c>
      <c r="E10" s="439" t="s">
        <v>735</v>
      </c>
      <c r="F10" s="441"/>
      <c r="G10" s="440"/>
      <c r="H10" s="440"/>
    </row>
    <row r="11" spans="1:19" ht="45">
      <c r="A11" s="269" t="s">
        <v>736</v>
      </c>
      <c r="B11" s="269" t="s">
        <v>737</v>
      </c>
      <c r="C11" s="438">
        <v>2016</v>
      </c>
      <c r="D11" s="438" t="s">
        <v>91</v>
      </c>
      <c r="E11" s="439" t="s">
        <v>738</v>
      </c>
      <c r="F11" s="441"/>
      <c r="G11" s="440"/>
      <c r="H11" s="440"/>
    </row>
    <row r="12" spans="1:19" ht="60">
      <c r="A12" s="269" t="s">
        <v>725</v>
      </c>
      <c r="B12" s="269" t="s">
        <v>739</v>
      </c>
      <c r="C12" s="438">
        <v>2017</v>
      </c>
      <c r="D12" s="438" t="s">
        <v>91</v>
      </c>
      <c r="E12" s="439" t="s">
        <v>740</v>
      </c>
      <c r="F12" s="441"/>
      <c r="G12" s="440"/>
      <c r="H12" s="440"/>
    </row>
    <row r="13" spans="1:19" ht="75">
      <c r="A13" s="269" t="s">
        <v>725</v>
      </c>
      <c r="B13" s="269" t="s">
        <v>741</v>
      </c>
      <c r="C13" s="438">
        <v>2021</v>
      </c>
      <c r="D13" s="438" t="s">
        <v>91</v>
      </c>
      <c r="E13" s="439" t="s">
        <v>742</v>
      </c>
      <c r="F13" s="441"/>
      <c r="G13" s="440"/>
      <c r="H13" s="440"/>
    </row>
    <row r="14" spans="1:19" ht="30">
      <c r="A14" s="269" t="s">
        <v>743</v>
      </c>
      <c r="B14" s="269" t="s">
        <v>744</v>
      </c>
      <c r="C14" s="438">
        <v>2023</v>
      </c>
      <c r="D14" s="438" t="s">
        <v>93</v>
      </c>
      <c r="E14" s="439" t="s">
        <v>745</v>
      </c>
      <c r="F14" s="441"/>
      <c r="G14" s="440"/>
      <c r="H14" s="440"/>
    </row>
    <row r="15" spans="1:19" ht="45">
      <c r="A15" s="269" t="s">
        <v>719</v>
      </c>
      <c r="B15" s="269" t="s">
        <v>746</v>
      </c>
      <c r="C15" s="438">
        <v>2024</v>
      </c>
      <c r="D15" s="438" t="s">
        <v>93</v>
      </c>
      <c r="E15" s="439" t="s">
        <v>747</v>
      </c>
      <c r="F15" s="441"/>
      <c r="G15" s="440"/>
      <c r="H15" s="440"/>
    </row>
    <row r="16" spans="1:19" ht="30">
      <c r="A16" s="269" t="s">
        <v>748</v>
      </c>
      <c r="B16" s="269" t="s">
        <v>749</v>
      </c>
      <c r="C16" s="438">
        <v>2023</v>
      </c>
      <c r="D16" s="438" t="s">
        <v>93</v>
      </c>
      <c r="E16" s="439" t="s">
        <v>750</v>
      </c>
      <c r="F16" s="441"/>
      <c r="G16" s="440"/>
      <c r="H16" s="440"/>
    </row>
    <row r="17" spans="1:8" ht="30">
      <c r="A17" s="269" t="s">
        <v>743</v>
      </c>
      <c r="B17" s="269" t="s">
        <v>751</v>
      </c>
      <c r="C17" s="438">
        <v>2022</v>
      </c>
      <c r="D17" s="438" t="s">
        <v>95</v>
      </c>
      <c r="E17" s="439" t="s">
        <v>752</v>
      </c>
      <c r="F17" s="441"/>
      <c r="G17" s="440"/>
      <c r="H17" s="440"/>
    </row>
    <row r="18" spans="1:8" ht="60">
      <c r="A18" s="269" t="s">
        <v>719</v>
      </c>
      <c r="B18" s="269" t="s">
        <v>753</v>
      </c>
      <c r="C18" s="438">
        <v>2021</v>
      </c>
      <c r="D18" s="438" t="s">
        <v>95</v>
      </c>
      <c r="E18" s="439" t="s">
        <v>754</v>
      </c>
      <c r="F18" s="441"/>
      <c r="G18" s="440"/>
      <c r="H18" s="440"/>
    </row>
    <row r="19" spans="1:8" ht="30">
      <c r="A19" s="269" t="s">
        <v>733</v>
      </c>
      <c r="B19" s="269" t="s">
        <v>755</v>
      </c>
      <c r="C19" s="438"/>
      <c r="D19" s="438" t="s">
        <v>95</v>
      </c>
      <c r="E19" s="439" t="s">
        <v>756</v>
      </c>
      <c r="F19" s="441"/>
      <c r="G19" s="440"/>
      <c r="H19" s="440"/>
    </row>
    <row r="20" spans="1:8" ht="30">
      <c r="A20" s="269" t="s">
        <v>743</v>
      </c>
      <c r="B20" s="269" t="s">
        <v>757</v>
      </c>
      <c r="C20" s="438">
        <v>2023</v>
      </c>
      <c r="D20" s="438" t="s">
        <v>98</v>
      </c>
      <c r="E20" s="439" t="s">
        <v>758</v>
      </c>
      <c r="F20" s="441"/>
      <c r="G20" s="440"/>
      <c r="H20" s="440"/>
    </row>
    <row r="21" spans="1:8" ht="30">
      <c r="A21" s="269" t="s">
        <v>719</v>
      </c>
      <c r="B21" s="269" t="s">
        <v>759</v>
      </c>
      <c r="C21" s="438">
        <v>2021</v>
      </c>
      <c r="D21" s="438" t="s">
        <v>98</v>
      </c>
      <c r="E21" s="439" t="s">
        <v>760</v>
      </c>
      <c r="F21" s="441"/>
      <c r="G21" s="440"/>
      <c r="H21" s="440"/>
    </row>
    <row r="22" spans="1:8" ht="30">
      <c r="A22" s="269" t="s">
        <v>733</v>
      </c>
      <c r="B22" s="269" t="s">
        <v>755</v>
      </c>
      <c r="C22" s="438"/>
      <c r="D22" s="438" t="s">
        <v>98</v>
      </c>
      <c r="E22" s="439" t="s">
        <v>756</v>
      </c>
      <c r="F22" s="441"/>
      <c r="G22" s="440"/>
      <c r="H22" s="440"/>
    </row>
    <row r="23" spans="1:8" ht="60">
      <c r="A23" s="269" t="s">
        <v>761</v>
      </c>
      <c r="B23" s="269" t="s">
        <v>762</v>
      </c>
      <c r="C23" s="438">
        <v>2007</v>
      </c>
      <c r="D23" s="438" t="s">
        <v>101</v>
      </c>
      <c r="E23" s="439" t="s">
        <v>763</v>
      </c>
      <c r="F23" s="441"/>
      <c r="G23" s="440"/>
      <c r="H23" s="440"/>
    </row>
    <row r="24" spans="1:8" ht="30">
      <c r="A24" s="269" t="s">
        <v>719</v>
      </c>
      <c r="B24" s="269" t="s">
        <v>764</v>
      </c>
      <c r="C24" s="438">
        <v>2008</v>
      </c>
      <c r="D24" s="438" t="s">
        <v>101</v>
      </c>
      <c r="E24" s="439" t="s">
        <v>765</v>
      </c>
      <c r="F24" s="441"/>
      <c r="G24" s="440"/>
      <c r="H24" s="440"/>
    </row>
    <row r="25" spans="1:8" ht="30">
      <c r="A25" s="269" t="s">
        <v>743</v>
      </c>
      <c r="B25" s="269" t="s">
        <v>766</v>
      </c>
      <c r="C25" s="438">
        <v>2022</v>
      </c>
      <c r="D25" s="438" t="s">
        <v>106</v>
      </c>
      <c r="E25" s="439" t="s">
        <v>767</v>
      </c>
      <c r="F25" s="441"/>
      <c r="G25" s="440"/>
      <c r="H25" s="440"/>
    </row>
    <row r="26" spans="1:8" ht="45">
      <c r="A26" s="269" t="s">
        <v>719</v>
      </c>
      <c r="B26" s="269" t="s">
        <v>768</v>
      </c>
      <c r="C26" s="438">
        <v>2021</v>
      </c>
      <c r="D26" s="438" t="s">
        <v>106</v>
      </c>
      <c r="E26" s="439" t="s">
        <v>769</v>
      </c>
      <c r="F26" s="441"/>
      <c r="G26" s="440"/>
      <c r="H26" s="440"/>
    </row>
    <row r="27" spans="1:8" ht="43.5" customHeight="1">
      <c r="A27" s="269" t="s">
        <v>770</v>
      </c>
      <c r="B27" s="269" t="s">
        <v>771</v>
      </c>
      <c r="C27" s="438" t="s">
        <v>772</v>
      </c>
      <c r="D27" s="438" t="s">
        <v>106</v>
      </c>
      <c r="E27" s="439" t="s">
        <v>773</v>
      </c>
      <c r="F27" s="439" t="s">
        <v>774</v>
      </c>
      <c r="G27" s="438"/>
      <c r="H27" s="440"/>
    </row>
    <row r="28" spans="1:8" ht="30">
      <c r="A28" s="269" t="s">
        <v>719</v>
      </c>
      <c r="B28" s="269" t="s">
        <v>775</v>
      </c>
      <c r="C28" s="438">
        <v>2021</v>
      </c>
      <c r="D28" s="438" t="s">
        <v>110</v>
      </c>
      <c r="E28" s="439" t="s">
        <v>776</v>
      </c>
      <c r="F28" s="441"/>
      <c r="G28" s="440"/>
      <c r="H28" s="440"/>
    </row>
    <row r="29" spans="1:8" ht="43.5" customHeight="1">
      <c r="A29" s="269" t="s">
        <v>719</v>
      </c>
      <c r="B29" s="442" t="s">
        <v>777</v>
      </c>
      <c r="C29" s="438">
        <v>2008</v>
      </c>
      <c r="D29" s="438" t="s">
        <v>115</v>
      </c>
      <c r="E29" s="439" t="s">
        <v>778</v>
      </c>
      <c r="F29" s="441"/>
      <c r="G29" s="440"/>
      <c r="H29" s="440"/>
    </row>
    <row r="30" spans="1:8" ht="45">
      <c r="A30" s="269" t="s">
        <v>779</v>
      </c>
      <c r="B30" s="269" t="s">
        <v>780</v>
      </c>
      <c r="C30" s="438">
        <v>2011</v>
      </c>
      <c r="D30" s="438" t="s">
        <v>121</v>
      </c>
      <c r="E30" s="439" t="s">
        <v>781</v>
      </c>
      <c r="F30" s="441"/>
      <c r="G30" s="440"/>
      <c r="H30" s="440"/>
    </row>
    <row r="31" spans="1:8" ht="45">
      <c r="A31" s="269" t="s">
        <v>719</v>
      </c>
      <c r="B31" s="269" t="s">
        <v>780</v>
      </c>
      <c r="C31" s="438">
        <v>2011</v>
      </c>
      <c r="D31" s="438" t="s">
        <v>121</v>
      </c>
      <c r="E31" s="439" t="s">
        <v>782</v>
      </c>
      <c r="F31" s="441"/>
      <c r="G31" s="440"/>
      <c r="H31" s="440"/>
    </row>
    <row r="32" spans="1:8" ht="45">
      <c r="A32" s="269" t="s">
        <v>761</v>
      </c>
      <c r="B32" s="269" t="s">
        <v>783</v>
      </c>
      <c r="C32" s="438">
        <v>2020</v>
      </c>
      <c r="D32" s="438" t="s">
        <v>124</v>
      </c>
      <c r="E32" s="439" t="s">
        <v>784</v>
      </c>
      <c r="F32" s="441"/>
      <c r="G32" s="440"/>
      <c r="H32" s="440"/>
    </row>
    <row r="33" spans="1:8" ht="30">
      <c r="A33" s="269" t="s">
        <v>719</v>
      </c>
      <c r="B33" s="269" t="s">
        <v>785</v>
      </c>
      <c r="C33" s="438">
        <v>2022</v>
      </c>
      <c r="D33" s="438" t="s">
        <v>124</v>
      </c>
      <c r="E33" s="439" t="s">
        <v>786</v>
      </c>
      <c r="F33" s="441"/>
      <c r="G33" s="440"/>
      <c r="H33" s="440"/>
    </row>
    <row r="34" spans="1:8" ht="30">
      <c r="A34" s="443" t="s">
        <v>770</v>
      </c>
      <c r="B34" s="269" t="s">
        <v>787</v>
      </c>
      <c r="C34" s="438">
        <v>2006</v>
      </c>
      <c r="D34" s="438" t="s">
        <v>124</v>
      </c>
      <c r="E34" s="439" t="s">
        <v>788</v>
      </c>
      <c r="F34" s="441"/>
      <c r="G34" s="440"/>
      <c r="H34" s="440"/>
    </row>
    <row r="35" spans="1:8" ht="57.75" customHeight="1">
      <c r="A35" s="269" t="s">
        <v>728</v>
      </c>
      <c r="B35" s="269" t="s">
        <v>789</v>
      </c>
      <c r="C35" s="438">
        <v>2019</v>
      </c>
      <c r="D35" s="438" t="s">
        <v>125</v>
      </c>
      <c r="E35" s="439" t="s">
        <v>790</v>
      </c>
      <c r="F35" s="441"/>
      <c r="G35" s="440"/>
      <c r="H35" s="440"/>
    </row>
    <row r="36" spans="1:8" ht="60">
      <c r="A36" s="269" t="s">
        <v>728</v>
      </c>
      <c r="B36" s="269" t="s">
        <v>791</v>
      </c>
      <c r="C36" s="438">
        <v>2019</v>
      </c>
      <c r="D36" s="438" t="s">
        <v>125</v>
      </c>
      <c r="E36" s="439" t="s">
        <v>792</v>
      </c>
      <c r="F36" s="441"/>
      <c r="G36" s="440"/>
      <c r="H36" s="440"/>
    </row>
    <row r="37" spans="1:8" ht="49.5" customHeight="1">
      <c r="A37" s="269" t="s">
        <v>719</v>
      </c>
      <c r="B37" s="269" t="s">
        <v>793</v>
      </c>
      <c r="C37" s="438">
        <v>2020</v>
      </c>
      <c r="D37" s="438" t="s">
        <v>125</v>
      </c>
      <c r="E37" s="439" t="s">
        <v>794</v>
      </c>
      <c r="F37" s="441"/>
      <c r="G37" s="440"/>
      <c r="H37" s="440"/>
    </row>
    <row r="38" spans="1:8" ht="30">
      <c r="A38" s="269" t="s">
        <v>719</v>
      </c>
      <c r="B38" s="269" t="s">
        <v>795</v>
      </c>
      <c r="C38" s="438">
        <v>2022</v>
      </c>
      <c r="D38" s="438" t="s">
        <v>125</v>
      </c>
      <c r="E38" s="439" t="s">
        <v>796</v>
      </c>
      <c r="F38" s="441"/>
      <c r="G38" s="440"/>
      <c r="H38" s="440"/>
    </row>
    <row r="39" spans="1:8" ht="30">
      <c r="A39" s="269" t="s">
        <v>733</v>
      </c>
      <c r="B39" s="269" t="s">
        <v>755</v>
      </c>
      <c r="C39" s="438"/>
      <c r="D39" s="438" t="s">
        <v>125</v>
      </c>
      <c r="E39" s="439" t="s">
        <v>756</v>
      </c>
      <c r="F39" s="441"/>
      <c r="G39" s="440"/>
      <c r="H39" s="440"/>
    </row>
    <row r="40" spans="1:8" ht="30">
      <c r="A40" s="269" t="s">
        <v>743</v>
      </c>
      <c r="B40" s="269" t="s">
        <v>797</v>
      </c>
      <c r="C40" s="438">
        <v>2022</v>
      </c>
      <c r="D40" s="438" t="s">
        <v>127</v>
      </c>
      <c r="E40" s="439" t="s">
        <v>798</v>
      </c>
      <c r="F40" s="441"/>
      <c r="G40" s="440"/>
      <c r="H40" s="440"/>
    </row>
    <row r="41" spans="1:8" ht="45">
      <c r="A41" s="269" t="s">
        <v>719</v>
      </c>
      <c r="B41" s="269" t="s">
        <v>799</v>
      </c>
      <c r="C41" s="438">
        <v>2021</v>
      </c>
      <c r="D41" s="438" t="s">
        <v>127</v>
      </c>
      <c r="E41" s="439" t="s">
        <v>800</v>
      </c>
      <c r="F41" s="441"/>
      <c r="G41" s="440"/>
      <c r="H41" s="440"/>
    </row>
    <row r="42" spans="1:8" ht="30">
      <c r="A42" s="269" t="s">
        <v>733</v>
      </c>
      <c r="B42" s="269" t="s">
        <v>755</v>
      </c>
      <c r="C42" s="438"/>
      <c r="D42" s="438" t="s">
        <v>127</v>
      </c>
      <c r="E42" s="439" t="s">
        <v>756</v>
      </c>
      <c r="F42" s="441"/>
      <c r="G42" s="440"/>
      <c r="H42" s="440"/>
    </row>
    <row r="43" spans="1:8" ht="60">
      <c r="A43" s="269" t="s">
        <v>743</v>
      </c>
      <c r="B43" s="269" t="s">
        <v>801</v>
      </c>
      <c r="C43" s="438">
        <v>2021</v>
      </c>
      <c r="D43" s="438" t="s">
        <v>128</v>
      </c>
      <c r="E43" s="439" t="s">
        <v>802</v>
      </c>
      <c r="F43" s="441"/>
      <c r="G43" s="440"/>
      <c r="H43" s="440"/>
    </row>
    <row r="44" spans="1:8" ht="30">
      <c r="A44" s="269" t="s">
        <v>733</v>
      </c>
      <c r="B44" s="269" t="s">
        <v>755</v>
      </c>
      <c r="C44" s="438"/>
      <c r="D44" s="438" t="s">
        <v>128</v>
      </c>
      <c r="E44" s="439" t="s">
        <v>756</v>
      </c>
      <c r="F44" s="441"/>
      <c r="G44" s="440"/>
      <c r="H44" s="440"/>
    </row>
    <row r="45" spans="1:8" ht="59.25" customHeight="1">
      <c r="A45" s="269" t="s">
        <v>761</v>
      </c>
      <c r="B45" s="269" t="s">
        <v>803</v>
      </c>
      <c r="C45" s="438">
        <v>2020</v>
      </c>
      <c r="D45" s="438" t="s">
        <v>129</v>
      </c>
      <c r="E45" s="439" t="s">
        <v>804</v>
      </c>
      <c r="F45" s="439" t="s">
        <v>805</v>
      </c>
      <c r="G45" s="438"/>
      <c r="H45" s="440"/>
    </row>
    <row r="46" spans="1:8" ht="30">
      <c r="A46" s="269" t="s">
        <v>761</v>
      </c>
      <c r="B46" s="269" t="s">
        <v>806</v>
      </c>
      <c r="C46" s="438">
        <v>2019</v>
      </c>
      <c r="D46" s="438" t="s">
        <v>129</v>
      </c>
      <c r="E46" s="439" t="s">
        <v>807</v>
      </c>
      <c r="F46" s="441"/>
      <c r="G46" s="440"/>
      <c r="H46" s="440"/>
    </row>
    <row r="47" spans="1:8" ht="60">
      <c r="A47" s="269" t="s">
        <v>719</v>
      </c>
      <c r="B47" s="269" t="s">
        <v>803</v>
      </c>
      <c r="C47" s="438">
        <v>2022</v>
      </c>
      <c r="D47" s="438" t="s">
        <v>129</v>
      </c>
      <c r="E47" s="439" t="s">
        <v>808</v>
      </c>
      <c r="F47" s="441"/>
      <c r="G47" s="440"/>
      <c r="H47" s="440"/>
    </row>
    <row r="48" spans="1:8" ht="30">
      <c r="A48" s="269" t="s">
        <v>743</v>
      </c>
      <c r="B48" s="269" t="s">
        <v>809</v>
      </c>
      <c r="C48" s="438">
        <v>2007</v>
      </c>
      <c r="D48" s="438" t="s">
        <v>130</v>
      </c>
      <c r="E48" s="439" t="s">
        <v>810</v>
      </c>
      <c r="F48" s="441"/>
      <c r="G48" s="440"/>
      <c r="H48" s="440"/>
    </row>
    <row r="49" spans="1:8" ht="30">
      <c r="A49" s="269" t="s">
        <v>719</v>
      </c>
      <c r="B49" s="269" t="s">
        <v>811</v>
      </c>
      <c r="C49" s="438">
        <v>2022</v>
      </c>
      <c r="D49" s="438" t="s">
        <v>130</v>
      </c>
      <c r="E49" s="439" t="s">
        <v>812</v>
      </c>
      <c r="F49" s="441"/>
      <c r="G49" s="440"/>
      <c r="H49" s="440"/>
    </row>
    <row r="50" spans="1:8" ht="30">
      <c r="A50" s="443" t="s">
        <v>770</v>
      </c>
      <c r="B50" s="269" t="s">
        <v>813</v>
      </c>
      <c r="C50" s="438">
        <v>2013</v>
      </c>
      <c r="D50" s="438" t="s">
        <v>130</v>
      </c>
      <c r="E50" s="439" t="s">
        <v>814</v>
      </c>
      <c r="F50" s="441"/>
      <c r="G50" s="440"/>
      <c r="H50" s="440"/>
    </row>
    <row r="51" spans="1:8" ht="30">
      <c r="A51" s="443" t="s">
        <v>770</v>
      </c>
      <c r="B51" s="269" t="s">
        <v>815</v>
      </c>
      <c r="C51" s="438">
        <v>2008</v>
      </c>
      <c r="D51" s="438" t="s">
        <v>132</v>
      </c>
      <c r="E51" s="439" t="s">
        <v>816</v>
      </c>
      <c r="F51" s="441"/>
      <c r="G51" s="440"/>
      <c r="H51" s="440"/>
    </row>
    <row r="52" spans="1:8" ht="36.75" customHeight="1">
      <c r="A52" s="269" t="s">
        <v>779</v>
      </c>
      <c r="B52" s="269" t="s">
        <v>817</v>
      </c>
      <c r="C52" s="438">
        <v>2020</v>
      </c>
      <c r="D52" s="438" t="s">
        <v>133</v>
      </c>
      <c r="E52" s="439" t="s">
        <v>818</v>
      </c>
      <c r="F52" s="441"/>
      <c r="G52" s="440"/>
      <c r="H52" s="440"/>
    </row>
    <row r="53" spans="1:8" ht="35.25" customHeight="1">
      <c r="A53" s="269" t="s">
        <v>719</v>
      </c>
      <c r="B53" s="269" t="s">
        <v>817</v>
      </c>
      <c r="C53" s="438">
        <v>2020</v>
      </c>
      <c r="D53" s="438" t="s">
        <v>133</v>
      </c>
      <c r="E53" s="439" t="s">
        <v>818</v>
      </c>
      <c r="F53" s="441"/>
      <c r="G53" s="440"/>
      <c r="H53" s="440"/>
    </row>
    <row r="54" spans="1:8" ht="30">
      <c r="A54" s="269" t="s">
        <v>725</v>
      </c>
      <c r="B54" s="269" t="s">
        <v>819</v>
      </c>
      <c r="C54" s="438">
        <v>2022</v>
      </c>
      <c r="D54" s="438" t="s">
        <v>135</v>
      </c>
      <c r="E54" s="439" t="s">
        <v>820</v>
      </c>
      <c r="F54" s="441"/>
      <c r="G54" s="440"/>
      <c r="H54" s="440"/>
    </row>
    <row r="55" spans="1:8" ht="90">
      <c r="A55" s="269" t="s">
        <v>728</v>
      </c>
      <c r="B55" s="269" t="s">
        <v>821</v>
      </c>
      <c r="C55" s="438">
        <v>2019</v>
      </c>
      <c r="D55" s="438" t="s">
        <v>135</v>
      </c>
      <c r="E55" s="439" t="s">
        <v>822</v>
      </c>
      <c r="F55" s="441"/>
      <c r="G55" s="440"/>
      <c r="H55" s="440"/>
    </row>
    <row r="56" spans="1:8" ht="80.25" customHeight="1">
      <c r="A56" s="269" t="s">
        <v>719</v>
      </c>
      <c r="B56" s="269" t="s">
        <v>823</v>
      </c>
      <c r="C56" s="438">
        <v>2022</v>
      </c>
      <c r="D56" s="438" t="s">
        <v>135</v>
      </c>
      <c r="E56" s="439" t="s">
        <v>824</v>
      </c>
      <c r="F56" s="441"/>
      <c r="G56" s="440"/>
      <c r="H56" s="440"/>
    </row>
    <row r="57" spans="1:8" ht="33" customHeight="1">
      <c r="A57" s="269" t="s">
        <v>779</v>
      </c>
      <c r="B57" s="269" t="s">
        <v>825</v>
      </c>
      <c r="C57" s="438">
        <v>2009</v>
      </c>
      <c r="D57" s="438" t="s">
        <v>136</v>
      </c>
      <c r="E57" s="439" t="s">
        <v>826</v>
      </c>
      <c r="F57" s="441"/>
      <c r="G57" s="440"/>
      <c r="H57" s="440"/>
    </row>
    <row r="58" spans="1:8" ht="30">
      <c r="A58" s="269" t="s">
        <v>719</v>
      </c>
      <c r="B58" s="269" t="s">
        <v>825</v>
      </c>
      <c r="C58" s="438">
        <v>2009</v>
      </c>
      <c r="D58" s="438" t="s">
        <v>136</v>
      </c>
      <c r="E58" s="439" t="s">
        <v>827</v>
      </c>
      <c r="F58" s="441"/>
      <c r="G58" s="440"/>
      <c r="H58" s="440"/>
    </row>
    <row r="59" spans="1:8" ht="30">
      <c r="A59" s="269" t="s">
        <v>733</v>
      </c>
      <c r="B59" s="269" t="s">
        <v>755</v>
      </c>
      <c r="C59" s="438"/>
      <c r="D59" s="438" t="s">
        <v>136</v>
      </c>
      <c r="E59" s="439" t="s">
        <v>756</v>
      </c>
      <c r="F59" s="441"/>
      <c r="G59" s="440"/>
      <c r="H59" s="440"/>
    </row>
    <row r="60" spans="1:8" ht="60">
      <c r="A60" s="269" t="s">
        <v>728</v>
      </c>
      <c r="B60" s="269" t="s">
        <v>828</v>
      </c>
      <c r="C60" s="438">
        <v>2007</v>
      </c>
      <c r="D60" s="438" t="s">
        <v>137</v>
      </c>
      <c r="E60" s="439" t="s">
        <v>829</v>
      </c>
      <c r="F60" s="441"/>
      <c r="G60" s="440"/>
      <c r="H60" s="440"/>
    </row>
    <row r="61" spans="1:8" ht="30">
      <c r="A61" s="269" t="s">
        <v>728</v>
      </c>
      <c r="B61" s="269" t="s">
        <v>830</v>
      </c>
      <c r="C61" s="438">
        <v>2021</v>
      </c>
      <c r="D61" s="438" t="s">
        <v>137</v>
      </c>
      <c r="E61" s="439" t="s">
        <v>831</v>
      </c>
      <c r="F61" s="441"/>
      <c r="G61" s="440"/>
      <c r="H61" s="440"/>
    </row>
    <row r="62" spans="1:8" ht="45">
      <c r="A62" s="269" t="s">
        <v>719</v>
      </c>
      <c r="B62" s="269" t="s">
        <v>832</v>
      </c>
      <c r="C62" s="438">
        <v>2020</v>
      </c>
      <c r="D62" s="438" t="s">
        <v>137</v>
      </c>
      <c r="E62" s="439" t="s">
        <v>833</v>
      </c>
      <c r="F62" s="441"/>
      <c r="G62" s="440"/>
      <c r="H62" s="440"/>
    </row>
    <row r="63" spans="1:8" ht="30">
      <c r="A63" s="269" t="s">
        <v>733</v>
      </c>
      <c r="B63" s="269" t="s">
        <v>755</v>
      </c>
      <c r="C63" s="438"/>
      <c r="D63" s="438" t="s">
        <v>137</v>
      </c>
      <c r="E63" s="439" t="s">
        <v>756</v>
      </c>
      <c r="F63" s="441"/>
      <c r="G63" s="440"/>
      <c r="H63" s="440"/>
    </row>
    <row r="64" spans="1:8" ht="60">
      <c r="A64" s="269" t="s">
        <v>761</v>
      </c>
      <c r="B64" s="269" t="s">
        <v>834</v>
      </c>
      <c r="C64" s="438">
        <v>2019</v>
      </c>
      <c r="D64" s="438" t="s">
        <v>138</v>
      </c>
      <c r="E64" s="439" t="s">
        <v>835</v>
      </c>
      <c r="F64" s="441"/>
      <c r="G64" s="440"/>
      <c r="H64" s="440"/>
    </row>
    <row r="65" spans="1:8" ht="30" customHeight="1">
      <c r="A65" s="269" t="s">
        <v>719</v>
      </c>
      <c r="B65" s="269" t="s">
        <v>836</v>
      </c>
      <c r="C65" s="438">
        <v>2024</v>
      </c>
      <c r="D65" s="438" t="s">
        <v>138</v>
      </c>
      <c r="E65" s="439" t="s">
        <v>837</v>
      </c>
      <c r="F65" s="441"/>
      <c r="G65" s="440"/>
      <c r="H65" s="440"/>
    </row>
    <row r="66" spans="1:8" ht="30">
      <c r="A66" s="269" t="s">
        <v>743</v>
      </c>
      <c r="B66" s="269" t="s">
        <v>838</v>
      </c>
      <c r="C66" s="438">
        <v>2019</v>
      </c>
      <c r="D66" s="438" t="s">
        <v>139</v>
      </c>
      <c r="E66" s="444" t="s">
        <v>839</v>
      </c>
      <c r="F66" s="441"/>
      <c r="G66" s="440"/>
      <c r="H66" s="440"/>
    </row>
    <row r="67" spans="1:8" ht="32.25" customHeight="1">
      <c r="A67" s="269" t="s">
        <v>719</v>
      </c>
      <c r="B67" s="269" t="s">
        <v>840</v>
      </c>
      <c r="C67" s="438">
        <v>2022</v>
      </c>
      <c r="D67" s="438" t="s">
        <v>139</v>
      </c>
      <c r="E67" s="439" t="s">
        <v>841</v>
      </c>
      <c r="F67" s="441"/>
      <c r="G67" s="440"/>
      <c r="H67" s="440"/>
    </row>
    <row r="68" spans="1:8" ht="30">
      <c r="A68" s="269" t="s">
        <v>733</v>
      </c>
      <c r="B68" s="269" t="s">
        <v>755</v>
      </c>
      <c r="C68" s="438"/>
      <c r="D68" s="438" t="s">
        <v>139</v>
      </c>
      <c r="E68" s="439" t="s">
        <v>756</v>
      </c>
      <c r="F68" s="441"/>
      <c r="G68" s="440"/>
      <c r="H68" s="440"/>
    </row>
    <row r="69" spans="1:8" ht="45">
      <c r="A69" s="269" t="s">
        <v>761</v>
      </c>
      <c r="B69" s="269" t="s">
        <v>842</v>
      </c>
      <c r="C69" s="438">
        <v>2022</v>
      </c>
      <c r="D69" s="438" t="s">
        <v>140</v>
      </c>
      <c r="E69" s="439" t="s">
        <v>843</v>
      </c>
      <c r="F69" s="441"/>
      <c r="G69" s="440"/>
      <c r="H69" s="440"/>
    </row>
    <row r="70" spans="1:8" ht="45" customHeight="1">
      <c r="A70" s="269" t="s">
        <v>719</v>
      </c>
      <c r="B70" s="269" t="s">
        <v>844</v>
      </c>
      <c r="C70" s="438">
        <v>2019</v>
      </c>
      <c r="D70" s="438" t="s">
        <v>140</v>
      </c>
      <c r="E70" s="439" t="s">
        <v>845</v>
      </c>
      <c r="F70" s="441"/>
      <c r="G70" s="440"/>
      <c r="H70" s="440"/>
    </row>
    <row r="71" spans="1:8" ht="30">
      <c r="A71" s="269" t="s">
        <v>728</v>
      </c>
      <c r="B71" s="269" t="s">
        <v>846</v>
      </c>
      <c r="C71" s="438">
        <v>2020</v>
      </c>
      <c r="D71" s="438" t="s">
        <v>144</v>
      </c>
      <c r="E71" s="439" t="s">
        <v>847</v>
      </c>
      <c r="F71" s="441"/>
      <c r="G71" s="440"/>
      <c r="H71" s="440"/>
    </row>
    <row r="72" spans="1:8" ht="30">
      <c r="A72" s="269" t="s">
        <v>719</v>
      </c>
      <c r="B72" s="269" t="s">
        <v>848</v>
      </c>
      <c r="C72" s="438">
        <v>2020</v>
      </c>
      <c r="D72" s="438" t="s">
        <v>144</v>
      </c>
      <c r="E72" s="439" t="s">
        <v>849</v>
      </c>
      <c r="F72" s="441"/>
      <c r="G72" s="440"/>
      <c r="H72" s="440"/>
    </row>
    <row r="73" spans="1:8" ht="60">
      <c r="A73" s="443" t="s">
        <v>850</v>
      </c>
      <c r="B73" s="269" t="s">
        <v>851</v>
      </c>
      <c r="C73" s="438"/>
      <c r="D73" s="438" t="s">
        <v>144</v>
      </c>
      <c r="E73" s="439" t="s">
        <v>852</v>
      </c>
      <c r="F73" s="439" t="s">
        <v>853</v>
      </c>
      <c r="G73" s="438"/>
      <c r="H73" s="440"/>
    </row>
    <row r="74" spans="1:8" ht="75">
      <c r="A74" s="269" t="s">
        <v>761</v>
      </c>
      <c r="B74" s="269" t="s">
        <v>854</v>
      </c>
      <c r="C74" s="438">
        <v>2019</v>
      </c>
      <c r="D74" s="438" t="s">
        <v>145</v>
      </c>
      <c r="E74" s="439" t="s">
        <v>855</v>
      </c>
      <c r="F74" s="441"/>
      <c r="G74" s="440"/>
      <c r="H74" s="440"/>
    </row>
    <row r="75" spans="1:8" ht="15" customHeight="1">
      <c r="A75" s="269" t="s">
        <v>719</v>
      </c>
      <c r="B75" s="269" t="s">
        <v>856</v>
      </c>
      <c r="C75" s="438">
        <v>2021</v>
      </c>
      <c r="D75" s="438" t="s">
        <v>145</v>
      </c>
      <c r="E75" s="439" t="s">
        <v>857</v>
      </c>
      <c r="F75" s="441"/>
      <c r="G75" s="440"/>
      <c r="H75" s="440"/>
    </row>
    <row r="76" spans="1:8" ht="30">
      <c r="A76" s="269" t="s">
        <v>733</v>
      </c>
      <c r="B76" s="269" t="s">
        <v>755</v>
      </c>
      <c r="C76" s="438"/>
      <c r="D76" s="438" t="s">
        <v>145</v>
      </c>
      <c r="E76" s="439" t="s">
        <v>756</v>
      </c>
      <c r="F76" s="441"/>
      <c r="G76" s="440"/>
      <c r="H76" s="440"/>
    </row>
    <row r="77" spans="1:8" ht="45">
      <c r="A77" s="443" t="s">
        <v>770</v>
      </c>
      <c r="B77" s="269" t="s">
        <v>858</v>
      </c>
      <c r="C77" s="438">
        <v>2008</v>
      </c>
      <c r="D77" s="438" t="s">
        <v>145</v>
      </c>
      <c r="E77" s="439" t="s">
        <v>859</v>
      </c>
      <c r="F77" s="441"/>
      <c r="G77" s="440"/>
      <c r="H77" s="440"/>
    </row>
    <row r="78" spans="1:8" ht="45">
      <c r="A78" s="269" t="s">
        <v>743</v>
      </c>
      <c r="B78" s="269" t="s">
        <v>860</v>
      </c>
      <c r="C78" s="438">
        <v>2021</v>
      </c>
      <c r="D78" s="438" t="s">
        <v>146</v>
      </c>
      <c r="E78" s="439" t="s">
        <v>861</v>
      </c>
      <c r="F78" s="441"/>
      <c r="G78" s="440"/>
      <c r="H78" s="440"/>
    </row>
    <row r="79" spans="1:8" ht="60">
      <c r="A79" s="269" t="s">
        <v>719</v>
      </c>
      <c r="B79" s="269" t="s">
        <v>862</v>
      </c>
      <c r="C79" s="438">
        <v>2022</v>
      </c>
      <c r="D79" s="438" t="s">
        <v>146</v>
      </c>
      <c r="E79" s="439" t="s">
        <v>863</v>
      </c>
      <c r="F79" s="441"/>
      <c r="G79" s="440"/>
      <c r="H79" s="440"/>
    </row>
    <row r="80" spans="1:8" ht="30">
      <c r="A80" s="269" t="s">
        <v>733</v>
      </c>
      <c r="B80" s="269" t="s">
        <v>755</v>
      </c>
      <c r="C80" s="438"/>
      <c r="D80" s="438" t="s">
        <v>146</v>
      </c>
      <c r="E80" s="439" t="s">
        <v>756</v>
      </c>
      <c r="F80" s="441"/>
      <c r="G80" s="440"/>
      <c r="H80" s="440"/>
    </row>
    <row r="81" spans="1:8" ht="45">
      <c r="A81" s="269" t="s">
        <v>719</v>
      </c>
      <c r="B81" s="269" t="s">
        <v>864</v>
      </c>
      <c r="C81" s="438">
        <v>2008</v>
      </c>
      <c r="D81" s="438" t="s">
        <v>147</v>
      </c>
      <c r="E81" s="439" t="s">
        <v>865</v>
      </c>
      <c r="F81" s="441"/>
      <c r="G81" s="440"/>
      <c r="H81" s="440"/>
    </row>
    <row r="82" spans="1:8" ht="45">
      <c r="A82" s="269" t="s">
        <v>725</v>
      </c>
      <c r="B82" s="269" t="s">
        <v>866</v>
      </c>
      <c r="C82" s="438">
        <v>2022</v>
      </c>
      <c r="D82" s="438" t="s">
        <v>150</v>
      </c>
      <c r="E82" s="439" t="s">
        <v>867</v>
      </c>
      <c r="F82" s="441"/>
      <c r="G82" s="440"/>
      <c r="H82" s="440"/>
    </row>
    <row r="83" spans="1:8" ht="30">
      <c r="A83" s="269" t="s">
        <v>743</v>
      </c>
      <c r="B83" s="269" t="s">
        <v>868</v>
      </c>
      <c r="C83" s="438">
        <v>2020</v>
      </c>
      <c r="D83" s="438" t="s">
        <v>152</v>
      </c>
      <c r="E83" s="439" t="s">
        <v>869</v>
      </c>
      <c r="F83" s="441"/>
      <c r="G83" s="440"/>
      <c r="H83" s="440"/>
    </row>
    <row r="84" spans="1:8" ht="60">
      <c r="A84" s="269" t="s">
        <v>719</v>
      </c>
      <c r="B84" s="269" t="s">
        <v>870</v>
      </c>
      <c r="C84" s="438">
        <v>2021</v>
      </c>
      <c r="D84" s="438" t="s">
        <v>152</v>
      </c>
      <c r="E84" s="439" t="s">
        <v>871</v>
      </c>
      <c r="F84" s="441"/>
      <c r="G84" s="440"/>
      <c r="H84" s="440"/>
    </row>
    <row r="85" spans="1:8" ht="30">
      <c r="A85" s="269" t="s">
        <v>733</v>
      </c>
      <c r="B85" s="269" t="s">
        <v>755</v>
      </c>
      <c r="C85" s="438"/>
      <c r="D85" s="438" t="s">
        <v>152</v>
      </c>
      <c r="E85" s="439" t="s">
        <v>756</v>
      </c>
      <c r="F85" s="441"/>
      <c r="G85" s="440"/>
      <c r="H85" s="440"/>
    </row>
    <row r="86" spans="1:8" ht="30">
      <c r="A86" s="269" t="s">
        <v>743</v>
      </c>
      <c r="B86" s="269" t="s">
        <v>872</v>
      </c>
      <c r="C86" s="438">
        <v>2020</v>
      </c>
      <c r="D86" s="438" t="s">
        <v>153</v>
      </c>
      <c r="E86" s="439" t="s">
        <v>873</v>
      </c>
      <c r="F86" s="441"/>
      <c r="G86" s="440"/>
      <c r="H86" s="440"/>
    </row>
    <row r="87" spans="1:8" ht="30">
      <c r="A87" s="269" t="s">
        <v>719</v>
      </c>
      <c r="B87" s="269" t="s">
        <v>874</v>
      </c>
      <c r="C87" s="438">
        <v>2008</v>
      </c>
      <c r="D87" s="438" t="s">
        <v>153</v>
      </c>
      <c r="E87" s="439" t="s">
        <v>875</v>
      </c>
      <c r="F87" s="441"/>
      <c r="G87" s="440"/>
      <c r="H87" s="440"/>
    </row>
    <row r="88" spans="1:8" ht="45">
      <c r="A88" s="269" t="s">
        <v>743</v>
      </c>
      <c r="B88" s="269" t="s">
        <v>876</v>
      </c>
      <c r="C88" s="438">
        <v>2020</v>
      </c>
      <c r="D88" s="438" t="s">
        <v>154</v>
      </c>
      <c r="E88" s="439" t="s">
        <v>877</v>
      </c>
      <c r="F88" s="441"/>
      <c r="G88" s="440"/>
      <c r="H88" s="440"/>
    </row>
    <row r="89" spans="1:8" ht="60">
      <c r="A89" s="269" t="s">
        <v>719</v>
      </c>
      <c r="B89" s="269" t="s">
        <v>878</v>
      </c>
      <c r="C89" s="438">
        <v>2014</v>
      </c>
      <c r="D89" s="438" t="s">
        <v>154</v>
      </c>
      <c r="E89" s="439" t="s">
        <v>879</v>
      </c>
      <c r="F89" s="441"/>
      <c r="G89" s="440"/>
      <c r="H89" s="440"/>
    </row>
    <row r="90" spans="1:8" ht="45">
      <c r="A90" s="269" t="s">
        <v>733</v>
      </c>
      <c r="B90" s="269" t="s">
        <v>880</v>
      </c>
      <c r="C90" s="438">
        <v>2023</v>
      </c>
      <c r="D90" s="438" t="s">
        <v>154</v>
      </c>
      <c r="E90" s="439" t="s">
        <v>881</v>
      </c>
      <c r="F90" s="439" t="s">
        <v>882</v>
      </c>
      <c r="G90" s="438"/>
      <c r="H90" s="440"/>
    </row>
    <row r="91" spans="1:8" ht="30">
      <c r="A91" s="443" t="s">
        <v>770</v>
      </c>
      <c r="B91" s="269" t="s">
        <v>883</v>
      </c>
      <c r="C91" s="438">
        <v>2006</v>
      </c>
      <c r="D91" s="438" t="s">
        <v>154</v>
      </c>
      <c r="E91" s="439" t="s">
        <v>884</v>
      </c>
      <c r="F91" s="441"/>
      <c r="G91" s="440"/>
      <c r="H91" s="440"/>
    </row>
    <row r="92" spans="1:8" ht="60">
      <c r="A92" s="269" t="s">
        <v>725</v>
      </c>
      <c r="B92" s="269" t="s">
        <v>885</v>
      </c>
      <c r="C92" s="438">
        <v>2023</v>
      </c>
      <c r="D92" s="438" t="s">
        <v>155</v>
      </c>
      <c r="E92" s="439" t="s">
        <v>886</v>
      </c>
      <c r="F92" s="441"/>
      <c r="G92" s="440"/>
      <c r="H92" s="440"/>
    </row>
    <row r="93" spans="1:8" ht="60">
      <c r="A93" s="269" t="s">
        <v>719</v>
      </c>
      <c r="B93" s="269" t="s">
        <v>887</v>
      </c>
      <c r="C93" s="438">
        <v>2020</v>
      </c>
      <c r="D93" s="438" t="s">
        <v>156</v>
      </c>
      <c r="E93" s="439" t="s">
        <v>888</v>
      </c>
      <c r="F93" s="441"/>
      <c r="G93" s="440"/>
      <c r="H93" s="440"/>
    </row>
    <row r="94" spans="1:8" ht="45">
      <c r="A94" s="269" t="s">
        <v>725</v>
      </c>
      <c r="B94" s="269" t="s">
        <v>889</v>
      </c>
      <c r="C94" s="438">
        <v>2020</v>
      </c>
      <c r="D94" s="438" t="s">
        <v>118</v>
      </c>
      <c r="E94" s="439" t="s">
        <v>890</v>
      </c>
      <c r="F94" s="441"/>
      <c r="G94" s="440"/>
      <c r="H94" s="440"/>
    </row>
    <row r="95" spans="1:8" ht="45">
      <c r="A95" s="269" t="s">
        <v>725</v>
      </c>
      <c r="B95" s="269" t="s">
        <v>889</v>
      </c>
      <c r="C95" s="438">
        <v>2020</v>
      </c>
      <c r="D95" s="438" t="s">
        <v>124</v>
      </c>
      <c r="E95" s="439" t="s">
        <v>890</v>
      </c>
      <c r="F95" s="269"/>
      <c r="G95" s="440"/>
      <c r="H95" s="440"/>
    </row>
    <row r="96" spans="1:8" ht="45">
      <c r="A96" s="269" t="s">
        <v>725</v>
      </c>
      <c r="B96" s="269" t="s">
        <v>889</v>
      </c>
      <c r="C96" s="438">
        <v>2020</v>
      </c>
      <c r="D96" s="438" t="s">
        <v>127</v>
      </c>
      <c r="E96" s="439" t="s">
        <v>890</v>
      </c>
      <c r="F96" s="269"/>
      <c r="G96" s="440"/>
      <c r="H96" s="440"/>
    </row>
    <row r="97" spans="1:8" ht="45">
      <c r="A97" s="269" t="s">
        <v>725</v>
      </c>
      <c r="B97" s="269" t="s">
        <v>889</v>
      </c>
      <c r="C97" s="438">
        <v>2020</v>
      </c>
      <c r="D97" s="438" t="s">
        <v>133</v>
      </c>
      <c r="E97" s="439" t="s">
        <v>890</v>
      </c>
      <c r="F97" s="269"/>
      <c r="G97" s="440"/>
      <c r="H97" s="440"/>
    </row>
    <row r="98" spans="1:8" ht="45">
      <c r="A98" s="269" t="s">
        <v>725</v>
      </c>
      <c r="B98" s="269" t="s">
        <v>889</v>
      </c>
      <c r="C98" s="438">
        <v>2020</v>
      </c>
      <c r="D98" s="438" t="s">
        <v>143</v>
      </c>
      <c r="E98" s="439" t="s">
        <v>890</v>
      </c>
      <c r="F98" s="269"/>
      <c r="G98" s="440"/>
      <c r="H98" s="440"/>
    </row>
    <row r="99" spans="1:8" ht="45">
      <c r="A99" s="269" t="s">
        <v>725</v>
      </c>
      <c r="B99" s="269" t="s">
        <v>889</v>
      </c>
      <c r="C99" s="438">
        <v>2020</v>
      </c>
      <c r="D99" s="438" t="s">
        <v>157</v>
      </c>
      <c r="E99" s="439" t="s">
        <v>890</v>
      </c>
      <c r="F99" s="269"/>
      <c r="G99" s="440"/>
      <c r="H99" s="440"/>
    </row>
    <row r="100" spans="1:8" ht="45">
      <c r="A100" s="269" t="s">
        <v>725</v>
      </c>
      <c r="B100" s="269" t="s">
        <v>889</v>
      </c>
      <c r="C100" s="438">
        <v>2020</v>
      </c>
      <c r="D100" s="438" t="s">
        <v>145</v>
      </c>
      <c r="E100" s="439" t="s">
        <v>890</v>
      </c>
      <c r="F100" s="269"/>
      <c r="G100" s="440"/>
      <c r="H100" s="440"/>
    </row>
    <row r="101" spans="1:8">
      <c r="A101" s="269" t="s">
        <v>725</v>
      </c>
      <c r="B101" s="269" t="s">
        <v>891</v>
      </c>
      <c r="C101" s="438">
        <v>2023</v>
      </c>
      <c r="D101" s="438" t="s">
        <v>143</v>
      </c>
      <c r="E101" s="439" t="s">
        <v>892</v>
      </c>
      <c r="F101" s="441"/>
      <c r="G101" s="440"/>
      <c r="H101" s="440"/>
    </row>
    <row r="102" spans="1:8" ht="45">
      <c r="A102" s="269" t="s">
        <v>725</v>
      </c>
      <c r="B102" s="269" t="s">
        <v>893</v>
      </c>
      <c r="C102" s="438">
        <v>2021</v>
      </c>
      <c r="D102" s="438" t="s">
        <v>154</v>
      </c>
      <c r="E102" s="439" t="s">
        <v>894</v>
      </c>
      <c r="F102" s="441"/>
      <c r="G102" s="440"/>
      <c r="H102" s="440"/>
    </row>
    <row r="103" spans="1:8" ht="15" customHeight="1">
      <c r="A103" s="441"/>
      <c r="B103" s="441"/>
      <c r="C103" s="440"/>
      <c r="D103" s="440"/>
      <c r="E103" s="441"/>
      <c r="F103" s="441"/>
      <c r="G103" s="440"/>
      <c r="H103" s="440"/>
    </row>
    <row r="104" spans="1:8" ht="15" customHeight="1">
      <c r="A104" s="441"/>
      <c r="B104" s="441"/>
      <c r="C104" s="440"/>
      <c r="D104" s="440"/>
      <c r="E104" s="441"/>
      <c r="F104" s="441"/>
      <c r="G104" s="440"/>
      <c r="H104" s="440"/>
    </row>
    <row r="105" spans="1:8" ht="15" customHeight="1">
      <c r="A105" s="441"/>
      <c r="B105" s="441"/>
      <c r="C105" s="440"/>
      <c r="D105" s="440"/>
      <c r="E105" s="441"/>
      <c r="F105" s="441"/>
      <c r="G105" s="440"/>
      <c r="H105" s="440"/>
    </row>
  </sheetData>
  <mergeCells count="1">
    <mergeCell ref="E4:F4"/>
  </mergeCells>
  <conditionalFormatting sqref="I1:Q3">
    <cfRule type="beginsWith" dxfId="1" priority="1" operator="beginsWith" text="Y">
      <formula>LEFT(I1,LEN("Y"))="Y"</formula>
    </cfRule>
  </conditionalFormatting>
  <hyperlinks>
    <hyperlink ref="E7" r:id="rId1" xr:uid="{245FEB14-66D2-4DE6-9566-95D7A94A146C}"/>
    <hyperlink ref="E54" r:id="rId2" xr:uid="{B8ED25D8-8360-4326-A82F-800DC97095D9}"/>
    <hyperlink ref="E82" r:id="rId3" xr:uid="{C9D9C873-F3BC-4DA6-AFA4-C483D68F4508}"/>
    <hyperlink ref="E92" r:id="rId4" xr:uid="{9F197121-6229-4492-8509-2BD488715D87}"/>
    <hyperlink ref="E88" r:id="rId5" xr:uid="{8DED177B-F104-4944-BDE6-A70D8C47A357}"/>
    <hyperlink ref="E25" r:id="rId6" xr:uid="{8C6A4D6F-6BB0-4058-BD72-76F42648F410}"/>
    <hyperlink ref="E14" r:id="rId7" xr:uid="{2C6BCE32-88AA-4978-9494-849389C02BE8}"/>
    <hyperlink ref="E48" r:id="rId8" xr:uid="{2D0E79CE-8216-4105-99DE-3A1EA8CF274D}"/>
    <hyperlink ref="E83" r:id="rId9" xr:uid="{7EDA94B8-17F9-492A-8654-DBB8902A9AAC}"/>
    <hyperlink ref="E43" r:id="rId10" xr:uid="{45F5CBF7-4088-4ECE-BF3C-5DF18AF47D0A}"/>
    <hyperlink ref="E78" r:id="rId11" xr:uid="{9096FA71-CC70-4E77-A346-7DDEA4BED814}"/>
    <hyperlink ref="E20" r:id="rId12" xr:uid="{0044B1CF-AD1F-4AD9-9457-8E3893F58F41}"/>
    <hyperlink ref="E40" r:id="rId13" xr:uid="{EDF28B72-59F7-4669-89B8-8D5ACA0C2D27}"/>
    <hyperlink ref="E86" r:id="rId14" xr:uid="{16A75ECB-31C8-4456-9677-EBAC4F07E3EC}"/>
    <hyperlink ref="E71" r:id="rId15" xr:uid="{D2269EB5-EF0A-4949-B7C3-7302A9086CA7}"/>
    <hyperlink ref="E8" r:id="rId16" xr:uid="{199587B5-A10C-4141-A097-88BABDF5AA8C}"/>
    <hyperlink ref="E55" r:id="rId17" display="SB254 | Nevada 2019-2020 | AN ACT relating to greenhouse gas emissions; requiring the State Department of Conservation and Natural Resources to issue an annual report concerning greenhouse gas emissions in this State; and providing other matters properly relating thereto. | TrackBill" xr:uid="{A83E05D2-2B87-4CD2-B856-9D089D66A062}"/>
    <hyperlink ref="E35" r:id="rId18" xr:uid="{509AB564-A5D9-4CDE-B344-A6484958318B}"/>
    <hyperlink ref="E36" r:id="rId19" xr:uid="{A2436E53-6263-425A-BA17-1ED308F065D3}"/>
    <hyperlink ref="E17" r:id="rId20" xr:uid="{0A422027-6EBD-4D51-AB33-CAF16A9D5DB5}"/>
    <hyperlink ref="E60" r:id="rId21" xr:uid="{58F341DB-E806-45D4-9DC4-97FFF5877788}"/>
    <hyperlink ref="E61" r:id="rId22" xr:uid="{9308AC06-DEB4-4682-859E-2245229BA78F}"/>
    <hyperlink ref="E64" r:id="rId23" xr:uid="{B48F48C6-FF42-4D3B-B9D5-E3142904B981}"/>
    <hyperlink ref="E32" r:id="rId24" xr:uid="{8A51C431-445F-4D3F-869E-2F9602B815BC}"/>
    <hyperlink ref="E23" r:id="rId25" xr:uid="{710C167D-ED1E-46BB-9E0C-8F335EEF3CE2}"/>
    <hyperlink ref="E69" r:id="rId26" xr:uid="{BE0F848E-3CBB-462D-A579-74692D2B4702}"/>
    <hyperlink ref="E45" r:id="rId27" xr:uid="{EF71658D-A51A-4953-8A3F-7EE5DC83CF91}"/>
    <hyperlink ref="E46" r:id="rId28" xr:uid="{367640E2-454F-4F4E-BB57-15CE1C3266E7}"/>
    <hyperlink ref="E74" r:id="rId29" xr:uid="{532F6C11-1A44-4C71-9E82-75AE7DD4C224}"/>
    <hyperlink ref="E52" r:id="rId30" xr:uid="{F0513581-9436-4B2B-B029-14976D2AF90A}"/>
    <hyperlink ref="E30" r:id="rId31" xr:uid="{0E2699A5-4CBA-45D1-9F40-6FE7BA8EFB0F}"/>
    <hyperlink ref="E57" r:id="rId32" xr:uid="{55519CCD-86FE-4727-9EDC-B23D792BF031}"/>
    <hyperlink ref="E26" r:id="rId33" xr:uid="{46DFA2F7-818B-4B8D-9B5B-7EAE998C9FF6}"/>
    <hyperlink ref="E89" r:id="rId34" xr:uid="{86E55B85-ACFA-4186-A237-B4C123A0567C}"/>
    <hyperlink ref="E72" r:id="rId35" xr:uid="{9DFEFF3B-1BE8-45F8-AEA4-396B09386E18}"/>
    <hyperlink ref="E9" r:id="rId36" xr:uid="{684F15FD-387D-4102-8042-6D7BDA25BB7F}"/>
    <hyperlink ref="E56" r:id="rId37" xr:uid="{B401C84A-0EF8-47AC-AD4A-EDB25A2B4826}"/>
    <hyperlink ref="E53" r:id="rId38" xr:uid="{C400BF17-1A20-451F-AE1E-E9CD0C7795AA}"/>
    <hyperlink ref="E15" r:id="rId39" xr:uid="{0C4A884F-B277-437E-B86D-DAFB3944542C}"/>
    <hyperlink ref="E65" r:id="rId40" xr:uid="{B5815B64-0FE6-4A25-A4A0-9AC69FA14E9D}"/>
    <hyperlink ref="E49" r:id="rId41" xr:uid="{29A615BC-7432-414C-B81F-B65894C3E9AA}"/>
    <hyperlink ref="E29" r:id="rId42" xr:uid="{BB415744-1F9E-400C-AACC-BEF9DEC5D667}"/>
    <hyperlink ref="E33" r:id="rId43" xr:uid="{E6E64586-01B6-42C3-BBDE-95D6F010379E}"/>
    <hyperlink ref="E6" r:id="rId44" xr:uid="{84014D0C-503D-4A6C-9CED-C7E5627E8617}"/>
    <hyperlink ref="E93" r:id="rId45" xr:uid="{5C85CFC3-CD92-47D8-B167-11F513B717E5}"/>
    <hyperlink ref="E28" r:id="rId46" xr:uid="{A0911B8D-DC88-4608-8CC1-472CC175CE99}"/>
    <hyperlink ref="E47" r:id="rId47" xr:uid="{A9C7EAB5-9018-45AA-8BCF-C2AF7CC75356}"/>
    <hyperlink ref="E31" r:id="rId48" xr:uid="{C1DA020C-4236-47EA-A49D-5C2012B9B96A}"/>
    <hyperlink ref="E24" r:id="rId49" xr:uid="{861E3B71-0444-46B1-B787-1CC5F1043FE8}"/>
    <hyperlink ref="E37" r:id="rId50" xr:uid="{B3D38D34-6420-4818-89B8-1F9EF746243D}"/>
    <hyperlink ref="E58" r:id="rId51" xr:uid="{EBCC9FB5-646F-4997-A39D-44DDDDC571C6}"/>
    <hyperlink ref="E84" r:id="rId52" xr:uid="{90425B1F-E6D9-4FCC-BFC7-12553ABC43AC}"/>
    <hyperlink ref="E67" r:id="rId53" xr:uid="{3FE566F2-6873-4C6F-B5E4-B4954233495D}"/>
    <hyperlink ref="E38" r:id="rId54" xr:uid="{313C99A5-481A-4215-8AF4-FBC439B08B16}"/>
    <hyperlink ref="E79" r:id="rId55" location=":~:text=The%202025%20Climate%20Action%20Strategy,Reduction%20Grant%20(CPRG)%20process" xr:uid="{98B9BB6C-8F1B-4FA7-869F-307D9B3134A2}"/>
    <hyperlink ref="E18" r:id="rId56" xr:uid="{C97F0B91-6269-4AFB-89EA-8CC088082452}"/>
    <hyperlink ref="E75" r:id="rId57" xr:uid="{EF0A37FC-C476-4E13-BD46-CE22D126C965}"/>
    <hyperlink ref="E62" r:id="rId58" xr:uid="{6622BE69-EFC2-4995-B5E9-B5F20F7E8C77}"/>
    <hyperlink ref="E41" r:id="rId59" xr:uid="{18796073-391F-4E46-A674-8C027B236449}"/>
    <hyperlink ref="E21" r:id="rId60" xr:uid="{2C6EBF95-9955-4735-A26F-AC8736632E24}"/>
    <hyperlink ref="E87" r:id="rId61" xr:uid="{D78111C0-3899-4588-B720-41B219AAE9E1}"/>
    <hyperlink ref="E70" r:id="rId62" xr:uid="{DF77EADA-F5E4-44FD-BEBE-891E616D7DAC}"/>
    <hyperlink ref="E81" r:id="rId63" xr:uid="{12687449-28CD-4F24-84BE-D9827968CEBE}"/>
    <hyperlink ref="E10" r:id="rId64" xr:uid="{B93C7052-B3FC-43C6-AC27-CEEB9176ED0B}"/>
    <hyperlink ref="E90" r:id="rId65" location="page=1" xr:uid="{2890E603-4429-4243-B77B-4378585CFAE8}"/>
    <hyperlink ref="E91" r:id="rId66" xr:uid="{ACE2936D-4668-49BD-A09A-5F46F8998C68}"/>
    <hyperlink ref="E11" r:id="rId67" xr:uid="{E53F21D8-8B43-4681-82F3-89E49106C87C}"/>
    <hyperlink ref="E50" r:id="rId68" xr:uid="{1F377768-8961-4AB1-86EA-D0E6A1DA2853}"/>
    <hyperlink ref="E51" r:id="rId69" xr:uid="{85380D8F-D06C-4D67-B51D-2E698F34AE09}"/>
    <hyperlink ref="E34" r:id="rId70" xr:uid="{90432BA2-F8CC-4FF0-ABC7-86905196BAE0}"/>
    <hyperlink ref="E77" r:id="rId71" xr:uid="{7C70A149-EE1A-4CCC-A8AE-F44E1282ED28}"/>
    <hyperlink ref="E39" r:id="rId72" xr:uid="{8B25E30A-FFA3-44D7-B4AB-A766D9E9C61D}"/>
    <hyperlink ref="E59" r:id="rId73" xr:uid="{8386022A-782C-44D2-A5B7-99C28A46D7A4}"/>
    <hyperlink ref="E85" r:id="rId74" xr:uid="{A6C4EDE7-3E35-4D4F-BBA2-0BA3417CB136}"/>
    <hyperlink ref="E44" r:id="rId75" xr:uid="{0473C734-4BC2-4DA5-B2E6-9CF9113EFBB1}"/>
    <hyperlink ref="E68" r:id="rId76" xr:uid="{9D262523-97DC-4C54-85A7-2D4D487A582E}"/>
    <hyperlink ref="E80" r:id="rId77" xr:uid="{43B8B534-1376-413F-A91A-F7D8224A2377}"/>
    <hyperlink ref="E19" r:id="rId78" xr:uid="{C5FB755C-4591-4AB1-A2CE-776152A12934}"/>
    <hyperlink ref="E22" r:id="rId79" xr:uid="{82F590E2-A810-49A6-AE9B-BD3CE08CDCC2}"/>
    <hyperlink ref="E76" r:id="rId80" xr:uid="{D85AA1BC-174E-4554-A4EA-D87FF7C1D717}"/>
    <hyperlink ref="E63" r:id="rId81" xr:uid="{555EEE27-F324-4E0F-AF0B-6DBA31645207}"/>
    <hyperlink ref="E42" r:id="rId82" xr:uid="{8761C0D6-13AC-42B3-8AF5-F54CC6DA90A1}"/>
    <hyperlink ref="E12" r:id="rId83" xr:uid="{5F7B12D6-9267-4359-BE78-E25600B572DC}"/>
    <hyperlink ref="E13" r:id="rId84" xr:uid="{ACE01B36-0620-4E82-9686-24EC3F5EB22B}"/>
    <hyperlink ref="E16" r:id="rId85" xr:uid="{786AD698-ED87-44A3-A511-1F78B02ED21F}"/>
    <hyperlink ref="E101" r:id="rId86" xr:uid="{F9ACB222-3854-47F3-9351-53FBC4EACE7C}"/>
    <hyperlink ref="E102" r:id="rId87" xr:uid="{5B9471B4-1698-4767-976B-75A3EC0A16E1}"/>
    <hyperlink ref="E5" r:id="rId88" xr:uid="{67404FCC-DF5A-41BC-89DF-EF1CD2525F89}"/>
    <hyperlink ref="F5" r:id="rId89" xr:uid="{5DCABB61-C1D3-4BD0-AF0B-13D0967D9BCF}"/>
    <hyperlink ref="E27" r:id="rId90" xr:uid="{A831E857-A402-4387-BE2D-49EFA2F646DC}"/>
    <hyperlink ref="F27" r:id="rId91" xr:uid="{2DB098E5-AB9D-4B22-BB51-DCD40446D6BE}"/>
    <hyperlink ref="F45" r:id="rId92" location=":~:text=The%20objectives,sustainable%20Michigan%20for%20all%20Michiganders. " xr:uid="{E68464D9-D2FE-496D-B890-732A30947676}"/>
    <hyperlink ref="E73" r:id="rId93" xr:uid="{8845399C-B48F-4B51-B98A-227FC7F7F900}"/>
    <hyperlink ref="F73" r:id="rId94" xr:uid="{F5FFFD78-8123-4CF6-B5F8-E06271B019BF}"/>
    <hyperlink ref="F90" r:id="rId95" xr:uid="{F7245883-D30A-4A4D-976A-7533E04FC21A}"/>
    <hyperlink ref="E94" r:id="rId96" xr:uid="{FB7DFE11-76BB-49D5-9DB1-A93CA1DC40A1}"/>
    <hyperlink ref="E95" r:id="rId97" xr:uid="{CEBE8100-053B-4CEF-916A-82BA4B24F568}"/>
    <hyperlink ref="E96" r:id="rId98" xr:uid="{CFA694C9-AFB3-4146-83A4-E3F9FB9D107B}"/>
    <hyperlink ref="E97" r:id="rId99" xr:uid="{5AEA6DE6-A781-4295-BD40-80BD5E6B2621}"/>
    <hyperlink ref="E98" r:id="rId100" xr:uid="{5FA2C8EB-B091-4E29-8390-D445EFAA5948}"/>
    <hyperlink ref="E99" r:id="rId101" xr:uid="{4A7B246E-7108-42B7-8184-7991EDCB234C}"/>
    <hyperlink ref="E100" r:id="rId102" xr:uid="{63C1E263-0A2D-4CB0-96BB-4CB3602B2C26}"/>
    <hyperlink ref="E66" r:id="rId103" xr:uid="{03E17580-E7B6-47B1-B27E-5177BB558C8F}"/>
  </hyperlinks>
  <pageMargins left="0.7" right="0.7" top="0.75" bottom="0.75" header="0.3" footer="0.3"/>
  <drawing r:id="rId10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02EEB-F8E3-44E7-A5EC-6CB05E1D5F99}">
  <sheetPr>
    <tabColor rgb="FF003B63"/>
  </sheetPr>
  <dimension ref="A1:S31"/>
  <sheetViews>
    <sheetView tabSelected="1" workbookViewId="0">
      <selection activeCell="C1" sqref="C1"/>
    </sheetView>
  </sheetViews>
  <sheetFormatPr defaultRowHeight="14.45"/>
  <cols>
    <col min="1" max="1" width="30" bestFit="1" customWidth="1"/>
    <col min="2" max="2" width="97.42578125" bestFit="1" customWidth="1"/>
    <col min="3" max="3" width="150.28515625" bestFit="1" customWidth="1"/>
  </cols>
  <sheetData>
    <row r="1" spans="1:19" s="4" customFormat="1" ht="27" customHeight="1">
      <c r="B1" s="2" t="s">
        <v>0</v>
      </c>
      <c r="R1"/>
      <c r="S1"/>
    </row>
    <row r="2" spans="1:19" s="5" customFormat="1" ht="27" customHeight="1" thickBot="1">
      <c r="B2" s="3" t="s">
        <v>895</v>
      </c>
      <c r="R2"/>
      <c r="S2"/>
    </row>
    <row r="3" spans="1:19" s="426" customFormat="1" ht="27" customHeight="1" thickTop="1">
      <c r="R3" s="427"/>
      <c r="S3" s="427"/>
    </row>
    <row r="4" spans="1:19" s="425" customFormat="1">
      <c r="A4" s="433" t="s">
        <v>896</v>
      </c>
      <c r="B4" s="433" t="s">
        <v>897</v>
      </c>
      <c r="C4" s="433" t="s">
        <v>898</v>
      </c>
      <c r="D4" s="433"/>
      <c r="E4" s="433"/>
      <c r="F4" s="433"/>
    </row>
    <row r="5" spans="1:19">
      <c r="A5" s="6" t="s">
        <v>14</v>
      </c>
      <c r="B5" s="6" t="s">
        <v>899</v>
      </c>
      <c r="C5" s="396" t="s">
        <v>900</v>
      </c>
      <c r="D5" s="6"/>
      <c r="E5" s="6"/>
      <c r="F5" s="6"/>
    </row>
    <row r="6" spans="1:19">
      <c r="A6" s="6" t="s">
        <v>14</v>
      </c>
      <c r="B6" s="6" t="s">
        <v>901</v>
      </c>
      <c r="C6" s="396" t="s">
        <v>902</v>
      </c>
      <c r="D6" s="6"/>
      <c r="E6" s="6"/>
      <c r="F6" s="6"/>
    </row>
    <row r="7" spans="1:19">
      <c r="A7" s="6" t="s">
        <v>14</v>
      </c>
      <c r="B7" s="6" t="s">
        <v>903</v>
      </c>
      <c r="C7" s="396" t="s">
        <v>904</v>
      </c>
      <c r="D7" s="6"/>
      <c r="E7" s="6"/>
      <c r="F7" s="6"/>
    </row>
    <row r="8" spans="1:19">
      <c r="A8" s="6" t="s">
        <v>14</v>
      </c>
      <c r="B8" s="6" t="s">
        <v>905</v>
      </c>
      <c r="C8" s="396" t="s">
        <v>906</v>
      </c>
      <c r="D8" s="6"/>
      <c r="E8" s="6"/>
      <c r="F8" s="6"/>
    </row>
    <row r="9" spans="1:19">
      <c r="A9" s="6" t="s">
        <v>14</v>
      </c>
      <c r="B9" s="6" t="s">
        <v>907</v>
      </c>
      <c r="C9" s="396" t="s">
        <v>908</v>
      </c>
      <c r="D9" s="6"/>
      <c r="E9" s="6"/>
      <c r="F9" s="6"/>
    </row>
    <row r="10" spans="1:19">
      <c r="A10" s="6" t="s">
        <v>14</v>
      </c>
      <c r="B10" s="6" t="s">
        <v>909</v>
      </c>
      <c r="C10" s="396" t="s">
        <v>910</v>
      </c>
      <c r="D10" s="6"/>
      <c r="E10" s="6"/>
      <c r="F10" s="6"/>
    </row>
    <row r="11" spans="1:19">
      <c r="A11" s="6" t="s">
        <v>14</v>
      </c>
      <c r="B11" s="6" t="s">
        <v>911</v>
      </c>
      <c r="C11" s="396" t="s">
        <v>912</v>
      </c>
      <c r="D11" s="6"/>
      <c r="E11" s="6"/>
      <c r="F11" s="6"/>
    </row>
    <row r="12" spans="1:19">
      <c r="A12" s="6" t="s">
        <v>15</v>
      </c>
      <c r="B12" s="6" t="s">
        <v>899</v>
      </c>
      <c r="C12" s="396" t="s">
        <v>900</v>
      </c>
      <c r="D12" s="6"/>
      <c r="E12" s="6"/>
      <c r="F12" s="6"/>
    </row>
    <row r="13" spans="1:19">
      <c r="A13" s="6" t="s">
        <v>52</v>
      </c>
      <c r="B13" s="6" t="s">
        <v>899</v>
      </c>
      <c r="C13" s="396" t="s">
        <v>900</v>
      </c>
      <c r="D13" s="6"/>
      <c r="E13" s="6"/>
      <c r="F13" s="6"/>
    </row>
    <row r="14" spans="1:19">
      <c r="A14" s="6" t="s">
        <v>52</v>
      </c>
      <c r="B14" s="6" t="s">
        <v>913</v>
      </c>
      <c r="C14" s="396" t="s">
        <v>914</v>
      </c>
      <c r="D14" s="6"/>
      <c r="E14" s="6"/>
      <c r="F14" s="6"/>
    </row>
    <row r="15" spans="1:19">
      <c r="A15" s="6" t="s">
        <v>52</v>
      </c>
      <c r="B15" s="6" t="s">
        <v>915</v>
      </c>
      <c r="C15" s="396" t="s">
        <v>916</v>
      </c>
      <c r="D15" s="6"/>
      <c r="E15" s="6"/>
      <c r="F15" s="6"/>
    </row>
    <row r="16" spans="1:19">
      <c r="A16" s="6" t="s">
        <v>17</v>
      </c>
      <c r="B16" s="6" t="s">
        <v>899</v>
      </c>
      <c r="C16" s="396" t="s">
        <v>900</v>
      </c>
      <c r="D16" s="6"/>
      <c r="E16" s="6"/>
      <c r="F16" s="6"/>
    </row>
    <row r="17" spans="1:6">
      <c r="A17" s="6" t="s">
        <v>17</v>
      </c>
      <c r="B17" s="6" t="s">
        <v>915</v>
      </c>
      <c r="C17" s="396" t="s">
        <v>916</v>
      </c>
      <c r="D17" s="6"/>
      <c r="E17" s="6"/>
      <c r="F17" s="6"/>
    </row>
    <row r="18" spans="1:6">
      <c r="A18" s="6" t="s">
        <v>17</v>
      </c>
      <c r="B18" s="6" t="s">
        <v>917</v>
      </c>
      <c r="C18" s="396" t="s">
        <v>918</v>
      </c>
      <c r="D18" s="6"/>
      <c r="E18" s="6"/>
      <c r="F18" s="6"/>
    </row>
    <row r="19" spans="1:6">
      <c r="A19" s="6" t="s">
        <v>76</v>
      </c>
      <c r="B19" s="6" t="s">
        <v>899</v>
      </c>
      <c r="C19" s="396" t="s">
        <v>900</v>
      </c>
      <c r="D19" s="6"/>
      <c r="E19" s="6"/>
      <c r="F19" s="6"/>
    </row>
    <row r="20" spans="1:6">
      <c r="A20" s="6" t="s">
        <v>76</v>
      </c>
      <c r="B20" s="6" t="s">
        <v>915</v>
      </c>
      <c r="C20" s="396" t="s">
        <v>916</v>
      </c>
      <c r="D20" s="6"/>
      <c r="E20" s="6"/>
      <c r="F20" s="6"/>
    </row>
    <row r="21" spans="1:6">
      <c r="A21" s="6" t="s">
        <v>76</v>
      </c>
      <c r="B21" s="6" t="s">
        <v>919</v>
      </c>
      <c r="C21" s="396" t="s">
        <v>920</v>
      </c>
      <c r="D21" s="6"/>
      <c r="E21" s="6"/>
      <c r="F21" s="6"/>
    </row>
    <row r="22" spans="1:6">
      <c r="A22" s="6" t="s">
        <v>19</v>
      </c>
      <c r="B22" s="6" t="s">
        <v>899</v>
      </c>
      <c r="C22" s="396" t="s">
        <v>900</v>
      </c>
      <c r="D22" s="6"/>
      <c r="E22" s="6"/>
      <c r="F22" s="6"/>
    </row>
    <row r="23" spans="1:6">
      <c r="A23" s="6" t="s">
        <v>19</v>
      </c>
      <c r="B23" s="6" t="s">
        <v>921</v>
      </c>
      <c r="C23" s="396" t="s">
        <v>922</v>
      </c>
      <c r="D23" s="6"/>
      <c r="E23" s="6"/>
      <c r="F23" s="6"/>
    </row>
    <row r="24" spans="1:6">
      <c r="A24" s="6" t="s">
        <v>19</v>
      </c>
      <c r="B24" s="6" t="s">
        <v>923</v>
      </c>
      <c r="C24" s="396" t="s">
        <v>924</v>
      </c>
      <c r="D24" s="6"/>
      <c r="E24" s="6"/>
      <c r="F24" s="6"/>
    </row>
    <row r="25" spans="1:6">
      <c r="A25" s="6" t="s">
        <v>19</v>
      </c>
      <c r="B25" s="6" t="s">
        <v>925</v>
      </c>
      <c r="C25" s="396" t="s">
        <v>926</v>
      </c>
      <c r="D25" s="6"/>
      <c r="E25" s="6"/>
      <c r="F25" s="6"/>
    </row>
    <row r="26" spans="1:6">
      <c r="A26" s="6" t="s">
        <v>20</v>
      </c>
      <c r="B26" s="6" t="s">
        <v>899</v>
      </c>
      <c r="C26" s="396" t="s">
        <v>900</v>
      </c>
      <c r="D26" s="6"/>
      <c r="E26" s="6"/>
      <c r="F26" s="6"/>
    </row>
    <row r="27" spans="1:6">
      <c r="A27" s="6" t="s">
        <v>20</v>
      </c>
      <c r="B27" s="6" t="s">
        <v>901</v>
      </c>
      <c r="C27" s="396" t="s">
        <v>902</v>
      </c>
      <c r="D27" s="6"/>
      <c r="E27" s="6"/>
      <c r="F27" s="6"/>
    </row>
    <row r="28" spans="1:6">
      <c r="A28" s="6" t="s">
        <v>21</v>
      </c>
      <c r="B28" s="6" t="s">
        <v>899</v>
      </c>
      <c r="C28" s="396" t="s">
        <v>900</v>
      </c>
      <c r="D28" s="6"/>
      <c r="E28" s="6"/>
      <c r="F28" s="6"/>
    </row>
    <row r="29" spans="1:6">
      <c r="A29" s="6" t="s">
        <v>21</v>
      </c>
      <c r="B29" s="6" t="s">
        <v>901</v>
      </c>
      <c r="C29" s="396" t="s">
        <v>902</v>
      </c>
      <c r="D29" s="6"/>
      <c r="E29" s="6"/>
      <c r="F29" s="6"/>
    </row>
    <row r="30" spans="1:6">
      <c r="A30" s="6" t="s">
        <v>21</v>
      </c>
      <c r="B30" s="6" t="s">
        <v>927</v>
      </c>
      <c r="C30" s="396" t="s">
        <v>928</v>
      </c>
      <c r="D30" s="6"/>
      <c r="E30" s="6"/>
      <c r="F30" s="6"/>
    </row>
    <row r="31" spans="1:6">
      <c r="A31" s="6" t="s">
        <v>21</v>
      </c>
      <c r="B31" s="6" t="s">
        <v>911</v>
      </c>
      <c r="C31" s="396" t="s">
        <v>912</v>
      </c>
      <c r="D31" s="6"/>
      <c r="E31" s="6"/>
      <c r="F31" s="6"/>
    </row>
  </sheetData>
  <conditionalFormatting sqref="I3:Q3 I1:I2 K1:Q2 B1:B2">
    <cfRule type="beginsWith" dxfId="0" priority="1" operator="beginsWith" text="Y">
      <formula>LEFT(B1,LEN("Y"))="Y"</formula>
    </cfRule>
  </conditionalFormatting>
  <hyperlinks>
    <hyperlink ref="C5" r:id="rId1" xr:uid="{77032C93-7866-4E18-B089-A4E3F3E3E0C3}"/>
    <hyperlink ref="C12" r:id="rId2" xr:uid="{DA39AFEE-813D-46F8-82EB-B343A916C453}"/>
    <hyperlink ref="C13" r:id="rId3" xr:uid="{FF385463-CEFF-4A84-999A-F6F3B3E52A28}"/>
    <hyperlink ref="C16" r:id="rId4" xr:uid="{D49B6DFA-FB0A-46CF-A6F2-D9EB2123F4C6}"/>
    <hyperlink ref="C19" r:id="rId5" xr:uid="{38414AD4-49E8-433D-B3D8-500BD0BAF403}"/>
    <hyperlink ref="C22" r:id="rId6" xr:uid="{A698DFF5-3821-4032-BB82-308AE4F9CD56}"/>
    <hyperlink ref="C26" r:id="rId7" xr:uid="{A219D248-1A9D-4596-8249-AFF2C25681B7}"/>
    <hyperlink ref="C28" r:id="rId8" xr:uid="{64CE5763-0496-49FD-A0C2-2137AAEEF449}"/>
    <hyperlink ref="C6" r:id="rId9" xr:uid="{3818A39E-1702-4A36-92D7-4C4358563CD8}"/>
    <hyperlink ref="C27" r:id="rId10" xr:uid="{8ABBEA31-98D6-4089-80BD-9F4D8C05D2E0}"/>
    <hyperlink ref="C29" r:id="rId11" xr:uid="{51A88C96-DF4A-4334-A51B-D803AE618A1D}"/>
    <hyperlink ref="C7" r:id="rId12" xr:uid="{0A573E9D-F26D-4C17-A3E7-E43B5EE8DE63}"/>
    <hyperlink ref="C8" r:id="rId13" xr:uid="{254379AB-5617-48FE-B78A-A628938BC4A1}"/>
    <hyperlink ref="C9" r:id="rId14" xr:uid="{85681C81-C448-4839-95C5-2F3CE8CF1311}"/>
    <hyperlink ref="C10" r:id="rId15" xr:uid="{F93C800D-C226-4CB2-997C-975CC9C30320}"/>
    <hyperlink ref="C14" r:id="rId16" xr:uid="{2F18A2D2-F1D5-4D9B-A72C-D205FC0F8A42}"/>
    <hyperlink ref="C23" r:id="rId17" xr:uid="{DB3A1E79-5E97-4FA4-8340-476A2D63AB9C}"/>
    <hyperlink ref="C24" r:id="rId18" xr:uid="{E0C2DD76-DE48-421F-AECD-91F9872B993B}"/>
    <hyperlink ref="C25" r:id="rId19" xr:uid="{0C0CA50A-0660-4D81-956A-5799978F6CEF}"/>
    <hyperlink ref="C15" r:id="rId20" xr:uid="{E974BCFB-0DCB-475B-8648-5E13E7F36C6B}"/>
    <hyperlink ref="C17" r:id="rId21" xr:uid="{CD496183-D905-4250-849E-9E0D630CC1DD}"/>
    <hyperlink ref="C20" r:id="rId22" xr:uid="{4C5A4708-AA49-4082-96E7-BA6997A063C5}"/>
    <hyperlink ref="C30" r:id="rId23" xr:uid="{E2D61A98-BDC1-4A0C-8A35-80CD6EC0B161}"/>
    <hyperlink ref="C11" r:id="rId24" xr:uid="{97582792-EBC3-453E-AD8F-57E2F742F6D4}"/>
    <hyperlink ref="C31" r:id="rId25" xr:uid="{7F7E7885-4BCC-4E74-BC98-5A506488E13B}"/>
    <hyperlink ref="C18" r:id="rId26" xr:uid="{EB916BC2-EF86-49FD-9400-0D474C986544}"/>
    <hyperlink ref="C21" r:id="rId27" xr:uid="{6F982384-C25A-464A-A6E4-F2D953C566FD}"/>
  </hyperlinks>
  <pageMargins left="0.7" right="0.7" top="0.75" bottom="0.75" header="0.3" footer="0.3"/>
  <drawing r:id="rId2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ED52F-6049-3148-B8CE-375A31ADB4A0}">
  <sheetPr>
    <tabColor rgb="FF003B63"/>
  </sheetPr>
  <dimension ref="B3:F53"/>
  <sheetViews>
    <sheetView workbookViewId="0">
      <selection activeCell="F8" sqref="F8"/>
    </sheetView>
  </sheetViews>
  <sheetFormatPr defaultColWidth="11.42578125" defaultRowHeight="14.45"/>
  <cols>
    <col min="2" max="2" width="23" customWidth="1"/>
    <col min="3" max="3" width="7.42578125" customWidth="1"/>
    <col min="4" max="4" width="31.7109375" customWidth="1"/>
    <col min="5" max="5" width="7.42578125" customWidth="1"/>
    <col min="6" max="6" width="22.85546875" customWidth="1"/>
  </cols>
  <sheetData>
    <row r="3" spans="2:6" ht="15" thickBot="1">
      <c r="B3" s="327" t="s">
        <v>929</v>
      </c>
      <c r="D3" s="327" t="s">
        <v>9</v>
      </c>
      <c r="F3" s="327" t="s">
        <v>930</v>
      </c>
    </row>
    <row r="4" spans="2:6">
      <c r="B4" s="65" t="s">
        <v>81</v>
      </c>
      <c r="D4" s="223" t="s">
        <v>931</v>
      </c>
      <c r="F4" s="65" t="s">
        <v>14</v>
      </c>
    </row>
    <row r="5" spans="2:6">
      <c r="B5" s="39" t="s">
        <v>83</v>
      </c>
      <c r="D5" s="100" t="s">
        <v>85</v>
      </c>
      <c r="F5" s="39" t="s">
        <v>15</v>
      </c>
    </row>
    <row r="6" spans="2:6" ht="29.1">
      <c r="B6" s="39" t="s">
        <v>74</v>
      </c>
      <c r="D6" s="100" t="s">
        <v>87</v>
      </c>
      <c r="F6" s="39" t="s">
        <v>52</v>
      </c>
    </row>
    <row r="7" spans="2:6">
      <c r="B7" s="39" t="s">
        <v>88</v>
      </c>
      <c r="D7" s="100" t="s">
        <v>90</v>
      </c>
      <c r="F7" s="39" t="s">
        <v>679</v>
      </c>
    </row>
    <row r="8" spans="2:6" ht="29.1">
      <c r="B8" s="39" t="s">
        <v>91</v>
      </c>
      <c r="D8" s="100" t="s">
        <v>28</v>
      </c>
      <c r="F8" s="39" t="s">
        <v>18</v>
      </c>
    </row>
    <row r="9" spans="2:6">
      <c r="B9" s="39" t="s">
        <v>93</v>
      </c>
      <c r="D9" s="100" t="s">
        <v>932</v>
      </c>
      <c r="F9" s="39" t="s">
        <v>77</v>
      </c>
    </row>
    <row r="10" spans="2:6">
      <c r="B10" s="39" t="s">
        <v>95</v>
      </c>
      <c r="D10" s="100" t="s">
        <v>31</v>
      </c>
      <c r="F10" s="39" t="s">
        <v>20</v>
      </c>
    </row>
    <row r="11" spans="2:6">
      <c r="B11" s="93" t="s">
        <v>98</v>
      </c>
      <c r="D11" s="100" t="s">
        <v>32</v>
      </c>
      <c r="F11" s="39" t="s">
        <v>21</v>
      </c>
    </row>
    <row r="12" spans="2:6">
      <c r="B12" s="39" t="s">
        <v>101</v>
      </c>
      <c r="D12" s="100" t="s">
        <v>33</v>
      </c>
    </row>
    <row r="13" spans="2:6">
      <c r="B13" s="39" t="s">
        <v>104</v>
      </c>
      <c r="D13" s="100" t="s">
        <v>34</v>
      </c>
    </row>
    <row r="14" spans="2:6">
      <c r="B14" s="39" t="s">
        <v>106</v>
      </c>
      <c r="D14" s="100" t="s">
        <v>35</v>
      </c>
    </row>
    <row r="15" spans="2:6">
      <c r="B15" s="39" t="s">
        <v>108</v>
      </c>
      <c r="D15" s="100" t="s">
        <v>114</v>
      </c>
    </row>
    <row r="16" spans="2:6">
      <c r="B16" s="39" t="s">
        <v>110</v>
      </c>
      <c r="D16" s="100" t="s">
        <v>933</v>
      </c>
    </row>
    <row r="17" spans="2:4">
      <c r="B17" s="39" t="s">
        <v>112</v>
      </c>
      <c r="D17" s="100" t="s">
        <v>38</v>
      </c>
    </row>
    <row r="18" spans="2:4">
      <c r="B18" s="39" t="s">
        <v>115</v>
      </c>
      <c r="D18" s="100" t="s">
        <v>39</v>
      </c>
    </row>
    <row r="19" spans="2:4">
      <c r="B19" s="39" t="s">
        <v>118</v>
      </c>
      <c r="D19" s="100" t="s">
        <v>41</v>
      </c>
    </row>
    <row r="20" spans="2:4">
      <c r="B20" s="39" t="s">
        <v>121</v>
      </c>
      <c r="D20" s="100"/>
    </row>
    <row r="21" spans="2:4">
      <c r="B21" s="39" t="s">
        <v>124</v>
      </c>
    </row>
    <row r="22" spans="2:4">
      <c r="B22" s="39" t="s">
        <v>125</v>
      </c>
    </row>
    <row r="23" spans="2:4">
      <c r="B23" s="39" t="s">
        <v>127</v>
      </c>
    </row>
    <row r="24" spans="2:4">
      <c r="B24" s="39" t="s">
        <v>128</v>
      </c>
    </row>
    <row r="25" spans="2:4">
      <c r="B25" s="39" t="s">
        <v>129</v>
      </c>
    </row>
    <row r="26" spans="2:4">
      <c r="B26" s="39" t="s">
        <v>130</v>
      </c>
    </row>
    <row r="27" spans="2:4">
      <c r="B27" s="39" t="s">
        <v>131</v>
      </c>
    </row>
    <row r="28" spans="2:4">
      <c r="B28" s="39" t="s">
        <v>132</v>
      </c>
    </row>
    <row r="29" spans="2:4">
      <c r="B29" s="39" t="s">
        <v>133</v>
      </c>
    </row>
    <row r="30" spans="2:4">
      <c r="B30" s="39" t="s">
        <v>134</v>
      </c>
    </row>
    <row r="31" spans="2:4">
      <c r="B31" s="39" t="s">
        <v>135</v>
      </c>
    </row>
    <row r="32" spans="2:4">
      <c r="B32" s="39" t="s">
        <v>136</v>
      </c>
    </row>
    <row r="33" spans="2:2">
      <c r="B33" s="39" t="s">
        <v>137</v>
      </c>
    </row>
    <row r="34" spans="2:2">
      <c r="B34" s="39" t="s">
        <v>138</v>
      </c>
    </row>
    <row r="35" spans="2:2">
      <c r="B35" s="39" t="s">
        <v>139</v>
      </c>
    </row>
    <row r="36" spans="2:2">
      <c r="B36" s="39" t="s">
        <v>140</v>
      </c>
    </row>
    <row r="37" spans="2:2">
      <c r="B37" s="39" t="s">
        <v>141</v>
      </c>
    </row>
    <row r="38" spans="2:2">
      <c r="B38" s="39" t="s">
        <v>142</v>
      </c>
    </row>
    <row r="39" spans="2:2">
      <c r="B39" s="39" t="s">
        <v>143</v>
      </c>
    </row>
    <row r="40" spans="2:2">
      <c r="B40" s="39" t="s">
        <v>144</v>
      </c>
    </row>
    <row r="41" spans="2:2">
      <c r="B41" s="39" t="s">
        <v>145</v>
      </c>
    </row>
    <row r="42" spans="2:2">
      <c r="B42" s="39" t="s">
        <v>146</v>
      </c>
    </row>
    <row r="43" spans="2:2">
      <c r="B43" s="39" t="s">
        <v>147</v>
      </c>
    </row>
    <row r="44" spans="2:2">
      <c r="B44" s="39" t="s">
        <v>148</v>
      </c>
    </row>
    <row r="45" spans="2:2">
      <c r="B45" s="39" t="s">
        <v>149</v>
      </c>
    </row>
    <row r="46" spans="2:2">
      <c r="B46" s="39" t="s">
        <v>150</v>
      </c>
    </row>
    <row r="47" spans="2:2">
      <c r="B47" s="39" t="s">
        <v>151</v>
      </c>
    </row>
    <row r="48" spans="2:2">
      <c r="B48" s="39" t="s">
        <v>152</v>
      </c>
    </row>
    <row r="49" spans="2:2">
      <c r="B49" s="39" t="s">
        <v>153</v>
      </c>
    </row>
    <row r="50" spans="2:2">
      <c r="B50" s="39" t="s">
        <v>154</v>
      </c>
    </row>
    <row r="51" spans="2:2">
      <c r="B51" s="39" t="s">
        <v>155</v>
      </c>
    </row>
    <row r="52" spans="2:2">
      <c r="B52" s="39" t="s">
        <v>156</v>
      </c>
    </row>
    <row r="53" spans="2:2">
      <c r="B53" s="39" t="s">
        <v>157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5283-1A3F-344E-8358-77758D651BC5}">
  <sheetPr>
    <tabColor rgb="FF003B63"/>
  </sheetPr>
  <dimension ref="B1:Z63"/>
  <sheetViews>
    <sheetView showGridLines="0" topLeftCell="A40" zoomScale="80" zoomScaleNormal="80" workbookViewId="0">
      <selection activeCell="D1" sqref="D1"/>
    </sheetView>
  </sheetViews>
  <sheetFormatPr defaultColWidth="17.85546875" defaultRowHeight="14.45"/>
  <cols>
    <col min="1" max="2" width="17.85546875" style="6"/>
    <col min="3" max="10" width="14.28515625" style="6" customWidth="1"/>
    <col min="11" max="13" width="17.85546875" style="6"/>
    <col min="14" max="14" width="9" style="6" customWidth="1"/>
    <col min="15" max="15" width="31.7109375" style="6" customWidth="1"/>
    <col min="16" max="16" width="17.85546875" style="6"/>
    <col min="17" max="17" width="8" style="6" customWidth="1"/>
    <col min="18" max="18" width="30.7109375" style="6" customWidth="1"/>
    <col min="19" max="16384" width="17.85546875" style="6"/>
  </cols>
  <sheetData>
    <row r="1" spans="2:26" s="4" customFormat="1" ht="27" customHeight="1">
      <c r="C1" s="2" t="s">
        <v>0</v>
      </c>
    </row>
    <row r="2" spans="2:26" s="5" customFormat="1" ht="27" customHeight="1" thickBot="1">
      <c r="C2" s="3" t="s">
        <v>70</v>
      </c>
      <c r="T2"/>
      <c r="U2"/>
    </row>
    <row r="3" spans="2:26" ht="15" thickTop="1"/>
    <row r="4" spans="2:26" ht="36" customHeight="1">
      <c r="B4" s="488" t="s">
        <v>71</v>
      </c>
      <c r="C4" s="488"/>
      <c r="D4" s="488"/>
      <c r="E4" s="488"/>
      <c r="F4" s="488"/>
      <c r="G4" s="488"/>
      <c r="H4" s="488"/>
      <c r="I4" s="488"/>
      <c r="J4" s="488"/>
      <c r="K4" s="488"/>
      <c r="L4" s="488"/>
      <c r="O4" s="349" t="s">
        <v>72</v>
      </c>
      <c r="P4" s="349"/>
      <c r="Q4" s="349"/>
      <c r="R4" s="349"/>
      <c r="S4" s="349"/>
      <c r="T4"/>
      <c r="U4"/>
      <c r="V4"/>
      <c r="W4"/>
      <c r="X4"/>
      <c r="Y4"/>
      <c r="Z4"/>
    </row>
    <row r="5" spans="2:26" ht="18.600000000000001" thickBot="1">
      <c r="B5" s="330"/>
      <c r="C5" s="330"/>
      <c r="D5" s="330"/>
      <c r="E5" s="330"/>
      <c r="F5" s="330"/>
      <c r="G5" s="330"/>
      <c r="H5" s="330"/>
      <c r="I5" s="330"/>
      <c r="J5" s="330"/>
      <c r="K5" s="330"/>
      <c r="L5" s="330"/>
      <c r="O5" s="330"/>
      <c r="P5" s="330"/>
      <c r="Q5" s="330"/>
      <c r="R5" s="330"/>
      <c r="S5" s="330"/>
      <c r="T5" s="330"/>
      <c r="U5" s="330"/>
      <c r="V5" s="330"/>
      <c r="W5" s="330"/>
      <c r="X5" s="330"/>
      <c r="Y5" s="330"/>
    </row>
    <row r="6" spans="2:26" ht="15" thickBot="1">
      <c r="O6" s="350" t="s">
        <v>73</v>
      </c>
      <c r="P6" s="329" t="s">
        <v>74</v>
      </c>
    </row>
    <row r="7" spans="2:26">
      <c r="O7" s="328"/>
      <c r="U7"/>
      <c r="V7"/>
      <c r="W7"/>
    </row>
    <row r="8" spans="2:26" ht="43.5">
      <c r="B8" s="323" t="s">
        <v>75</v>
      </c>
      <c r="C8" s="323" t="s">
        <v>14</v>
      </c>
      <c r="D8" s="323" t="s">
        <v>15</v>
      </c>
      <c r="E8" s="323" t="s">
        <v>52</v>
      </c>
      <c r="F8" s="323" t="s">
        <v>17</v>
      </c>
      <c r="G8" s="323" t="s">
        <v>76</v>
      </c>
      <c r="H8" s="323" t="s">
        <v>77</v>
      </c>
      <c r="I8" s="323" t="s">
        <v>20</v>
      </c>
      <c r="J8" s="323" t="s">
        <v>21</v>
      </c>
      <c r="K8" s="323" t="s">
        <v>78</v>
      </c>
      <c r="L8" s="323" t="s">
        <v>79</v>
      </c>
      <c r="O8" s="320" t="s">
        <v>12</v>
      </c>
      <c r="P8" s="320" t="s">
        <v>80</v>
      </c>
      <c r="Q8"/>
      <c r="R8" s="320" t="s">
        <v>43</v>
      </c>
      <c r="S8" s="320" t="s">
        <v>80</v>
      </c>
      <c r="T8"/>
      <c r="U8"/>
      <c r="V8"/>
      <c r="W8"/>
    </row>
    <row r="9" spans="2:26">
      <c r="B9" s="322" t="s">
        <v>81</v>
      </c>
      <c r="C9" s="324">
        <f>'Direct Air Capture'!N7</f>
        <v>2</v>
      </c>
      <c r="D9" s="324">
        <f>'Direct Ocean Capture'!P7</f>
        <v>2</v>
      </c>
      <c r="E9" s="324">
        <f>'Ocean Geochemical CDR'!M7</f>
        <v>2</v>
      </c>
      <c r="F9" s="324">
        <f>'Carbon mineralization'!N7</f>
        <v>2</v>
      </c>
      <c r="G9" s="324">
        <f>'Terrestrial Enhanced Weathering'!L7</f>
        <v>1</v>
      </c>
      <c r="H9" s="324">
        <f>'Ocean Biomass CDR'!L7</f>
        <v>2</v>
      </c>
      <c r="I9" s="324">
        <f>'Terrestrial Biomass CDR'!M7</f>
        <v>2</v>
      </c>
      <c r="J9" s="324">
        <f>'Bioenergy + CCS'!N7</f>
        <v>3</v>
      </c>
      <c r="K9" s="447">
        <f>AVERAGE(C9:J9)</f>
        <v>2</v>
      </c>
      <c r="L9" s="325">
        <f>ROUND(AVERAGE(C9:J9), 0)</f>
        <v>2</v>
      </c>
      <c r="N9" s="313" t="s">
        <v>82</v>
      </c>
      <c r="O9" s="100" t="s">
        <v>23</v>
      </c>
      <c r="P9" s="311" cm="1">
        <f t="array" ref="P9">_xlfn.XLOOKUP($P$6,'Metric Categories 1-14'!$A$8:$A$57,_xlfn.XLOOKUP(N9,'Metric Categories 1-14'!$B$7:$FM$7,'Metric Categories 1-14'!$B$8:$FM$57))</f>
        <v>1.25</v>
      </c>
      <c r="Q9"/>
      <c r="R9" s="65" t="s">
        <v>14</v>
      </c>
      <c r="S9" s="347" cm="1">
        <f t="array" ref="S9">_xlfn.XLOOKUP($P$6,$B$9:$B$58,_xlfn.XLOOKUP(R9,$C$8:$J$8,$C$9:$J$58))</f>
        <v>2</v>
      </c>
      <c r="T9"/>
      <c r="U9"/>
      <c r="V9"/>
      <c r="W9"/>
    </row>
    <row r="10" spans="2:26">
      <c r="B10" s="321" t="s">
        <v>83</v>
      </c>
      <c r="C10" s="326">
        <f>'Direct Air Capture'!N8</f>
        <v>1</v>
      </c>
      <c r="D10" s="324">
        <f>'Direct Ocean Capture'!P8</f>
        <v>2</v>
      </c>
      <c r="E10" s="326">
        <f>'Ocean Geochemical CDR'!M8</f>
        <v>3</v>
      </c>
      <c r="F10" s="326">
        <f>'Carbon mineralization'!N8</f>
        <v>3</v>
      </c>
      <c r="G10" s="326">
        <f>'Terrestrial Enhanced Weathering'!L8</f>
        <v>1</v>
      </c>
      <c r="H10" s="326">
        <f>'Ocean Biomass CDR'!L8</f>
        <v>3</v>
      </c>
      <c r="I10" s="326">
        <f>'Terrestrial Biomass CDR'!M8</f>
        <v>1</v>
      </c>
      <c r="J10" s="326">
        <f>'Bioenergy + CCS'!N8</f>
        <v>1</v>
      </c>
      <c r="K10" s="448">
        <f t="shared" ref="K10:K58" si="0">AVERAGE(C10:J10)</f>
        <v>1.875</v>
      </c>
      <c r="L10" s="325">
        <f t="shared" ref="L10:L58" si="1">ROUND(AVERAGE(C10:J10), 0)</f>
        <v>2</v>
      </c>
      <c r="N10" s="313" t="s">
        <v>84</v>
      </c>
      <c r="O10" s="100" t="s">
        <v>85</v>
      </c>
      <c r="P10" s="311" cm="1">
        <f t="array" ref="P10">_xlfn.XLOOKUP($P$6,'Metric Categories 1-14'!$A$8:$A$57,_xlfn.XLOOKUP(N10,'Metric Categories 1-14'!$B$7:$FM$7,'Metric Categories 1-14'!$B$8:$FM$57))</f>
        <v>0.99999999999999978</v>
      </c>
      <c r="Q10"/>
      <c r="R10" s="39" t="s">
        <v>15</v>
      </c>
      <c r="S10" s="347" cm="1">
        <f t="array" ref="S10">_xlfn.XLOOKUP($P$6,$B$9:$B$58,_xlfn.XLOOKUP(R10,$C$8:$J$8,$C$9:$J$58))</f>
        <v>1</v>
      </c>
      <c r="T10"/>
      <c r="U10"/>
      <c r="V10"/>
      <c r="W10"/>
    </row>
    <row r="11" spans="2:26">
      <c r="B11" s="321" t="s">
        <v>74</v>
      </c>
      <c r="C11" s="326">
        <f>'Direct Air Capture'!N9</f>
        <v>2</v>
      </c>
      <c r="D11" s="324">
        <f>'Direct Ocean Capture'!P9</f>
        <v>1</v>
      </c>
      <c r="E11" s="326">
        <f>'Ocean Geochemical CDR'!M9</f>
        <v>1</v>
      </c>
      <c r="F11" s="326">
        <f>'Carbon mineralization'!N9</f>
        <v>3</v>
      </c>
      <c r="G11" s="326">
        <f>'Terrestrial Enhanced Weathering'!L9</f>
        <v>3</v>
      </c>
      <c r="H11" s="326">
        <f>'Ocean Biomass CDR'!L9</f>
        <v>1</v>
      </c>
      <c r="I11" s="326">
        <f>'Terrestrial Biomass CDR'!M9</f>
        <v>2</v>
      </c>
      <c r="J11" s="326">
        <f>'Bioenergy + CCS'!N9</f>
        <v>1</v>
      </c>
      <c r="K11" s="448">
        <f t="shared" si="0"/>
        <v>1.75</v>
      </c>
      <c r="L11" s="325">
        <f t="shared" si="1"/>
        <v>2</v>
      </c>
      <c r="N11" s="313" t="s">
        <v>86</v>
      </c>
      <c r="O11" s="100" t="s">
        <v>87</v>
      </c>
      <c r="P11" s="311" cm="1">
        <f t="array" ref="P11">_xlfn.XLOOKUP($P$6,'Metric Categories 1-14'!$A$8:$A$57,_xlfn.XLOOKUP(N11,'Metric Categories 1-14'!$B$7:$FM$7,'Metric Categories 1-14'!$B$8:$FM$57))</f>
        <v>1</v>
      </c>
      <c r="Q11"/>
      <c r="R11" s="39" t="s">
        <v>52</v>
      </c>
      <c r="S11" s="347" cm="1">
        <f t="array" ref="S11">_xlfn.XLOOKUP($P$6,$B$9:$B$58,_xlfn.XLOOKUP(R11,$C$8:$J$8,$C$9:$J$58))</f>
        <v>1</v>
      </c>
      <c r="T11"/>
      <c r="U11"/>
      <c r="V11"/>
      <c r="W11"/>
    </row>
    <row r="12" spans="2:26">
      <c r="B12" s="321" t="s">
        <v>88</v>
      </c>
      <c r="C12" s="326">
        <f>'Direct Air Capture'!N10</f>
        <v>2</v>
      </c>
      <c r="D12" s="324">
        <f>'Direct Ocean Capture'!P10</f>
        <v>1</v>
      </c>
      <c r="E12" s="326">
        <f>'Ocean Geochemical CDR'!M10</f>
        <v>1</v>
      </c>
      <c r="F12" s="326">
        <f>'Carbon mineralization'!N10</f>
        <v>2</v>
      </c>
      <c r="G12" s="326">
        <f>'Terrestrial Enhanced Weathering'!L10</f>
        <v>2</v>
      </c>
      <c r="H12" s="326">
        <f>'Ocean Biomass CDR'!L10</f>
        <v>1</v>
      </c>
      <c r="I12" s="326">
        <f>'Terrestrial Biomass CDR'!M10</f>
        <v>2</v>
      </c>
      <c r="J12" s="326">
        <f>'Bioenergy + CCS'!N10</f>
        <v>2</v>
      </c>
      <c r="K12" s="448">
        <f t="shared" si="0"/>
        <v>1.625</v>
      </c>
      <c r="L12" s="325">
        <f t="shared" si="1"/>
        <v>2</v>
      </c>
      <c r="N12" s="313" t="s">
        <v>89</v>
      </c>
      <c r="O12" s="100" t="s">
        <v>90</v>
      </c>
      <c r="P12" s="311" cm="1">
        <f t="array" ref="P12">_xlfn.XLOOKUP($P$6,'Metric Categories 1-14'!$A$8:$A$57,_xlfn.XLOOKUP(N12,'Metric Categories 1-14'!$B$7:$FM$7,'Metric Categories 1-14'!$B$8:$FM$57))</f>
        <v>1.5</v>
      </c>
      <c r="Q12"/>
      <c r="R12" s="39" t="s">
        <v>17</v>
      </c>
      <c r="S12" s="347" cm="1">
        <f t="array" ref="S12">_xlfn.XLOOKUP($P$6,$B$9:$B$58,_xlfn.XLOOKUP(R12,$C$8:$J$8,$C$9:$J$58))</f>
        <v>3</v>
      </c>
      <c r="T12"/>
      <c r="U12"/>
      <c r="V12"/>
      <c r="W12"/>
    </row>
    <row r="13" spans="2:26">
      <c r="B13" s="321" t="s">
        <v>91</v>
      </c>
      <c r="C13" s="326">
        <f>'Direct Air Capture'!N11</f>
        <v>3</v>
      </c>
      <c r="D13" s="324">
        <f>'Direct Ocean Capture'!P11</f>
        <v>3</v>
      </c>
      <c r="E13" s="326">
        <f>'Ocean Geochemical CDR'!M11</f>
        <v>3</v>
      </c>
      <c r="F13" s="326">
        <f>'Carbon mineralization'!N11</f>
        <v>3</v>
      </c>
      <c r="G13" s="326">
        <f>'Terrestrial Enhanced Weathering'!L11</f>
        <v>3</v>
      </c>
      <c r="H13" s="326">
        <f>'Ocean Biomass CDR'!L11</f>
        <v>3</v>
      </c>
      <c r="I13" s="326">
        <f>'Terrestrial Biomass CDR'!M11</f>
        <v>3</v>
      </c>
      <c r="J13" s="326">
        <f>'Bioenergy + CCS'!N11</f>
        <v>3</v>
      </c>
      <c r="K13" s="448">
        <f t="shared" si="0"/>
        <v>3</v>
      </c>
      <c r="L13" s="325">
        <f t="shared" si="1"/>
        <v>3</v>
      </c>
      <c r="N13" s="313" t="s">
        <v>92</v>
      </c>
      <c r="O13" s="100" t="s">
        <v>28</v>
      </c>
      <c r="P13" s="311" cm="1">
        <f t="array" ref="P13">_xlfn.XLOOKUP($P$6,'Metric Categories 1-14'!$A$8:$A$57,_xlfn.XLOOKUP(N13,'Metric Categories 1-14'!$B$7:$FM$7,'Metric Categories 1-14'!$B$8:$FM$57))</f>
        <v>2</v>
      </c>
      <c r="Q13"/>
      <c r="R13" s="39" t="s">
        <v>76</v>
      </c>
      <c r="S13" s="347" cm="1">
        <f t="array" ref="S13">_xlfn.XLOOKUP($P$6,$B$9:$B$58,_xlfn.XLOOKUP(R13,$C$8:$J$8,$C$9:$J$58))</f>
        <v>3</v>
      </c>
      <c r="T13"/>
      <c r="U13"/>
      <c r="V13"/>
      <c r="W13"/>
    </row>
    <row r="14" spans="2:26">
      <c r="B14" s="321" t="s">
        <v>93</v>
      </c>
      <c r="C14" s="326">
        <f>'Direct Air Capture'!N12</f>
        <v>3</v>
      </c>
      <c r="D14" s="324">
        <f>'Direct Ocean Capture'!P12</f>
        <v>1</v>
      </c>
      <c r="E14" s="326">
        <f>'Ocean Geochemical CDR'!M12</f>
        <v>1</v>
      </c>
      <c r="F14" s="326">
        <f>'Carbon mineralization'!N12</f>
        <v>3</v>
      </c>
      <c r="G14" s="326">
        <f>'Terrestrial Enhanced Weathering'!L12</f>
        <v>3</v>
      </c>
      <c r="H14" s="326">
        <f>'Ocean Biomass CDR'!L12</f>
        <v>1</v>
      </c>
      <c r="I14" s="326">
        <f>'Terrestrial Biomass CDR'!M12</f>
        <v>3</v>
      </c>
      <c r="J14" s="326">
        <f>'Bioenergy + CCS'!N12</f>
        <v>3</v>
      </c>
      <c r="K14" s="448">
        <f t="shared" si="0"/>
        <v>2.25</v>
      </c>
      <c r="L14" s="325">
        <f t="shared" si="1"/>
        <v>2</v>
      </c>
      <c r="N14" s="313" t="s">
        <v>94</v>
      </c>
      <c r="O14" s="100" t="s">
        <v>30</v>
      </c>
      <c r="P14" s="311" cm="1">
        <f t="array" ref="P14">_xlfn.XLOOKUP($P$6,'Metric Categories 1-14'!$A$8:$A$57,_xlfn.XLOOKUP(N14,'Metric Categories 1-14'!$B$7:$FM$7,'Metric Categories 1-14'!$B$8:$FM$57))</f>
        <v>1.65</v>
      </c>
      <c r="Q14"/>
      <c r="R14" s="39" t="s">
        <v>77</v>
      </c>
      <c r="S14" s="347" cm="1">
        <f t="array" ref="S14">_xlfn.XLOOKUP($P$6,$B$9:$B$58,_xlfn.XLOOKUP(R14,$C$8:$J$8,$C$9:$J$58))</f>
        <v>1</v>
      </c>
      <c r="T14"/>
      <c r="U14"/>
      <c r="V14"/>
      <c r="W14"/>
    </row>
    <row r="15" spans="2:26">
      <c r="B15" s="321" t="s">
        <v>95</v>
      </c>
      <c r="C15" s="326">
        <f>'Direct Air Capture'!N13</f>
        <v>1</v>
      </c>
      <c r="D15" s="324">
        <f>'Direct Ocean Capture'!P13</f>
        <v>2</v>
      </c>
      <c r="E15" s="326">
        <f>'Ocean Geochemical CDR'!M13</f>
        <v>3</v>
      </c>
      <c r="F15" s="326">
        <f>'Carbon mineralization'!N13</f>
        <v>1</v>
      </c>
      <c r="G15" s="326">
        <f>'Terrestrial Enhanced Weathering'!L13</f>
        <v>1</v>
      </c>
      <c r="H15" s="326">
        <f>'Ocean Biomass CDR'!L13</f>
        <v>3</v>
      </c>
      <c r="I15" s="326">
        <f>'Terrestrial Biomass CDR'!M13</f>
        <v>1</v>
      </c>
      <c r="J15" s="326">
        <f>'Bioenergy + CCS'!N13</f>
        <v>1</v>
      </c>
      <c r="K15" s="448">
        <f t="shared" si="0"/>
        <v>1.625</v>
      </c>
      <c r="L15" s="325">
        <f t="shared" si="1"/>
        <v>2</v>
      </c>
      <c r="N15" s="313" t="s">
        <v>96</v>
      </c>
      <c r="O15" s="100" t="s">
        <v>97</v>
      </c>
      <c r="P15" s="311" cm="1">
        <f t="array" ref="P15">_xlfn.XLOOKUP($P$6,'Metric Categories 1-14'!$A$8:$A$57,_xlfn.XLOOKUP(N15,'Metric Categories 1-14'!$B$7:$FM$7,'Metric Categories 1-14'!$B$8:$FM$57))</f>
        <v>1.9</v>
      </c>
      <c r="Q15"/>
      <c r="R15" s="39" t="s">
        <v>20</v>
      </c>
      <c r="S15" s="347" cm="1">
        <f t="array" ref="S15">_xlfn.XLOOKUP($P$6,$B$9:$B$58,_xlfn.XLOOKUP(R15,$C$8:$J$8,$C$9:$J$58))</f>
        <v>2</v>
      </c>
      <c r="T15"/>
      <c r="U15"/>
      <c r="V15"/>
      <c r="W15"/>
    </row>
    <row r="16" spans="2:26">
      <c r="B16" s="321" t="s">
        <v>98</v>
      </c>
      <c r="C16" s="326">
        <f>'Direct Air Capture'!N14</f>
        <v>1</v>
      </c>
      <c r="D16" s="324">
        <f>'Direct Ocean Capture'!P14</f>
        <v>2</v>
      </c>
      <c r="E16" s="326">
        <f>'Ocean Geochemical CDR'!M14</f>
        <v>2</v>
      </c>
      <c r="F16" s="326">
        <f>'Carbon mineralization'!N14</f>
        <v>1</v>
      </c>
      <c r="G16" s="326">
        <f>'Terrestrial Enhanced Weathering'!L14</f>
        <v>1</v>
      </c>
      <c r="H16" s="326">
        <f>'Ocean Biomass CDR'!L14</f>
        <v>2</v>
      </c>
      <c r="I16" s="326">
        <f>'Terrestrial Biomass CDR'!M14</f>
        <v>1</v>
      </c>
      <c r="J16" s="326">
        <f>'Bioenergy + CCS'!N14</f>
        <v>1</v>
      </c>
      <c r="K16" s="448">
        <f t="shared" si="0"/>
        <v>1.375</v>
      </c>
      <c r="L16" s="325">
        <f t="shared" si="1"/>
        <v>1</v>
      </c>
      <c r="N16" s="313" t="s">
        <v>99</v>
      </c>
      <c r="O16" s="100" t="s">
        <v>100</v>
      </c>
      <c r="P16" s="311" cm="1">
        <f t="array" ref="P16">_xlfn.XLOOKUP($P$6,'Metric Categories 1-14'!$A$8:$A$57,_xlfn.XLOOKUP(N16,'Metric Categories 1-14'!$B$7:$FM$7,'Metric Categories 1-14'!$B$8:$FM$57))</f>
        <v>2</v>
      </c>
      <c r="Q16"/>
      <c r="R16" s="39" t="s">
        <v>21</v>
      </c>
      <c r="S16" s="347" cm="1">
        <f t="array" ref="S16">_xlfn.XLOOKUP($P$6,$B$9:$B$58,_xlfn.XLOOKUP(R16,$C$8:$J$8,$C$9:$J$58))</f>
        <v>1</v>
      </c>
      <c r="T16"/>
      <c r="U16"/>
      <c r="V16"/>
      <c r="W16"/>
    </row>
    <row r="17" spans="2:23">
      <c r="B17" s="321" t="s">
        <v>101</v>
      </c>
      <c r="C17" s="326">
        <f>'Direct Air Capture'!N15</f>
        <v>2</v>
      </c>
      <c r="D17" s="324">
        <f>'Direct Ocean Capture'!P15</f>
        <v>3</v>
      </c>
      <c r="E17" s="326">
        <f>'Ocean Geochemical CDR'!M15</f>
        <v>3</v>
      </c>
      <c r="F17" s="326">
        <f>'Carbon mineralization'!N15</f>
        <v>3</v>
      </c>
      <c r="G17" s="326">
        <f>'Terrestrial Enhanced Weathering'!L15</f>
        <v>3</v>
      </c>
      <c r="H17" s="326">
        <f>'Ocean Biomass CDR'!L15</f>
        <v>3</v>
      </c>
      <c r="I17" s="326">
        <f>'Terrestrial Biomass CDR'!M15</f>
        <v>3</v>
      </c>
      <c r="J17" s="326">
        <f>'Bioenergy + CCS'!N15</f>
        <v>3</v>
      </c>
      <c r="K17" s="448">
        <f t="shared" si="0"/>
        <v>2.875</v>
      </c>
      <c r="L17" s="325">
        <f t="shared" si="1"/>
        <v>3</v>
      </c>
      <c r="N17" s="313" t="s">
        <v>102</v>
      </c>
      <c r="O17" s="100" t="s">
        <v>103</v>
      </c>
      <c r="P17" s="420" cm="1">
        <f t="array" ref="P17">_xlfn.XLOOKUP($P$6,'Metric Categories 1-14'!$A$8:$A$57,_xlfn.XLOOKUP(N17,'Metric Categories 1-14'!$B$7:$FM$7,'Metric Categories 1-14'!$B$8:$FM$57))</f>
        <v>3</v>
      </c>
      <c r="Q17"/>
      <c r="R17"/>
      <c r="S17" s="348">
        <v>1</v>
      </c>
      <c r="T17"/>
      <c r="U17"/>
      <c r="V17"/>
      <c r="W17"/>
    </row>
    <row r="18" spans="2:23">
      <c r="B18" s="321" t="s">
        <v>104</v>
      </c>
      <c r="C18" s="326">
        <f>'Direct Air Capture'!N16</f>
        <v>3</v>
      </c>
      <c r="D18" s="324">
        <f>'Direct Ocean Capture'!P16</f>
        <v>3</v>
      </c>
      <c r="E18" s="326">
        <f>'Ocean Geochemical CDR'!M16</f>
        <v>3</v>
      </c>
      <c r="F18" s="326">
        <f>'Carbon mineralization'!N16</f>
        <v>2</v>
      </c>
      <c r="G18" s="326">
        <f>'Terrestrial Enhanced Weathering'!L16</f>
        <v>3</v>
      </c>
      <c r="H18" s="326">
        <f>'Ocean Biomass CDR'!L16</f>
        <v>2</v>
      </c>
      <c r="I18" s="326">
        <f>'Terrestrial Biomass CDR'!M16</f>
        <v>3</v>
      </c>
      <c r="J18" s="326">
        <f>'Bioenergy + CCS'!N16</f>
        <v>2</v>
      </c>
      <c r="K18" s="448">
        <f t="shared" si="0"/>
        <v>2.625</v>
      </c>
      <c r="L18" s="325">
        <f t="shared" si="1"/>
        <v>3</v>
      </c>
      <c r="N18" s="313" t="s">
        <v>105</v>
      </c>
      <c r="O18" s="100" t="s">
        <v>32</v>
      </c>
      <c r="P18" s="311" cm="1">
        <f t="array" ref="P18">_xlfn.XLOOKUP($P$6,'Metric Categories 1-14'!$A$8:$A$57,_xlfn.XLOOKUP(N18,'Metric Categories 1-14'!$B$7:$FM$7,'Metric Categories 1-14'!$B$8:$FM$57))</f>
        <v>0</v>
      </c>
      <c r="Q18"/>
      <c r="R18"/>
      <c r="S18"/>
      <c r="T18"/>
      <c r="U18"/>
      <c r="V18"/>
      <c r="W18"/>
    </row>
    <row r="19" spans="2:23">
      <c r="B19" s="321" t="s">
        <v>106</v>
      </c>
      <c r="C19" s="326">
        <f>'Direct Air Capture'!N17</f>
        <v>1</v>
      </c>
      <c r="D19" s="324">
        <f>'Direct Ocean Capture'!P17</f>
        <v>2</v>
      </c>
      <c r="E19" s="326">
        <f>'Ocean Geochemical CDR'!M17</f>
        <v>3</v>
      </c>
      <c r="F19" s="326">
        <f>'Carbon mineralization'!N17</f>
        <v>1</v>
      </c>
      <c r="G19" s="326">
        <f>'Terrestrial Enhanced Weathering'!L17</f>
        <v>1</v>
      </c>
      <c r="H19" s="326">
        <f>'Ocean Biomass CDR'!L17</f>
        <v>3</v>
      </c>
      <c r="I19" s="326">
        <f>'Terrestrial Biomass CDR'!M17</f>
        <v>1</v>
      </c>
      <c r="J19" s="326">
        <f>'Bioenergy + CCS'!N17</f>
        <v>1</v>
      </c>
      <c r="K19" s="448">
        <f t="shared" si="0"/>
        <v>1.625</v>
      </c>
      <c r="L19" s="325">
        <f t="shared" si="1"/>
        <v>2</v>
      </c>
      <c r="N19" s="313" t="s">
        <v>107</v>
      </c>
      <c r="O19" s="100" t="s">
        <v>33</v>
      </c>
      <c r="P19" s="311" cm="1">
        <f t="array" ref="P19">_xlfn.XLOOKUP($P$6,'Metric Categories 1-14'!$A$8:$A$57,_xlfn.XLOOKUP(N19,'Metric Categories 1-14'!$B$7:$FM$7,'Metric Categories 1-14'!$B$8:$FM$57))</f>
        <v>1.9999999999999978</v>
      </c>
      <c r="Q19"/>
      <c r="R19"/>
      <c r="S19"/>
      <c r="T19"/>
      <c r="U19"/>
      <c r="V19"/>
      <c r="W19"/>
    </row>
    <row r="20" spans="2:23">
      <c r="B20" s="321" t="s">
        <v>108</v>
      </c>
      <c r="C20" s="326">
        <f>'Direct Air Capture'!N18</f>
        <v>2</v>
      </c>
      <c r="D20" s="324">
        <f>'Direct Ocean Capture'!P18</f>
        <v>1</v>
      </c>
      <c r="E20" s="326">
        <f>'Ocean Geochemical CDR'!M18</f>
        <v>1</v>
      </c>
      <c r="F20" s="326">
        <f>'Carbon mineralization'!N18</f>
        <v>2</v>
      </c>
      <c r="G20" s="326">
        <f>'Terrestrial Enhanced Weathering'!L18</f>
        <v>1</v>
      </c>
      <c r="H20" s="326">
        <f>'Ocean Biomass CDR'!L18</f>
        <v>1</v>
      </c>
      <c r="I20" s="326">
        <f>'Terrestrial Biomass CDR'!M18</f>
        <v>2</v>
      </c>
      <c r="J20" s="326">
        <f>'Bioenergy + CCS'!N18</f>
        <v>1</v>
      </c>
      <c r="K20" s="448">
        <f t="shared" si="0"/>
        <v>1.375</v>
      </c>
      <c r="L20" s="325">
        <f t="shared" si="1"/>
        <v>1</v>
      </c>
      <c r="N20" s="313" t="s">
        <v>109</v>
      </c>
      <c r="O20" s="100" t="s">
        <v>34</v>
      </c>
      <c r="P20" s="311" cm="1">
        <f t="array" ref="P20">_xlfn.XLOOKUP($P$6,'Metric Categories 1-14'!$A$8:$A$57,_xlfn.XLOOKUP(N20,'Metric Categories 1-14'!$B$7:$FM$7,'Metric Categories 1-14'!$B$8:$FM$57))</f>
        <v>2.5</v>
      </c>
      <c r="Q20"/>
      <c r="R20"/>
      <c r="S20"/>
      <c r="T20"/>
      <c r="U20"/>
      <c r="V20"/>
      <c r="W20"/>
    </row>
    <row r="21" spans="2:23">
      <c r="B21" s="321" t="s">
        <v>110</v>
      </c>
      <c r="C21" s="326">
        <f>'Direct Air Capture'!N19</f>
        <v>3</v>
      </c>
      <c r="D21" s="324">
        <f>'Direct Ocean Capture'!P19</f>
        <v>1</v>
      </c>
      <c r="E21" s="326">
        <f>'Ocean Geochemical CDR'!M19</f>
        <v>1</v>
      </c>
      <c r="F21" s="326">
        <f>'Carbon mineralization'!N19</f>
        <v>2</v>
      </c>
      <c r="G21" s="326">
        <f>'Terrestrial Enhanced Weathering'!L19</f>
        <v>3</v>
      </c>
      <c r="H21" s="326">
        <f>'Ocean Biomass CDR'!L19</f>
        <v>1</v>
      </c>
      <c r="I21" s="326">
        <f>'Terrestrial Biomass CDR'!M19</f>
        <v>3</v>
      </c>
      <c r="J21" s="326">
        <f>'Bioenergy + CCS'!N19</f>
        <v>3</v>
      </c>
      <c r="K21" s="448">
        <f t="shared" si="0"/>
        <v>2.125</v>
      </c>
      <c r="L21" s="325">
        <f t="shared" si="1"/>
        <v>2</v>
      </c>
      <c r="N21" s="313" t="s">
        <v>111</v>
      </c>
      <c r="O21" s="100" t="s">
        <v>35</v>
      </c>
      <c r="P21" s="311" cm="1">
        <f t="array" ref="P21">_xlfn.XLOOKUP($P$6,'Metric Categories 1-14'!$A$8:$A$57,_xlfn.XLOOKUP(N21,'Metric Categories 1-14'!$B$7:$FM$7,'Metric Categories 1-14'!$B$8:$FM$57))</f>
        <v>2.6666666666666665</v>
      </c>
      <c r="Q21"/>
      <c r="R21"/>
      <c r="S21"/>
      <c r="T21"/>
      <c r="U21"/>
      <c r="V21"/>
      <c r="W21"/>
    </row>
    <row r="22" spans="2:23">
      <c r="B22" s="321" t="s">
        <v>112</v>
      </c>
      <c r="C22" s="326">
        <f>'Direct Air Capture'!N20</f>
        <v>3</v>
      </c>
      <c r="D22" s="324">
        <f>'Direct Ocean Capture'!P20</f>
        <v>1</v>
      </c>
      <c r="E22" s="326">
        <f>'Ocean Geochemical CDR'!M20</f>
        <v>1</v>
      </c>
      <c r="F22" s="326">
        <f>'Carbon mineralization'!N20</f>
        <v>2</v>
      </c>
      <c r="G22" s="326">
        <f>'Terrestrial Enhanced Weathering'!L20</f>
        <v>2</v>
      </c>
      <c r="H22" s="326">
        <f>'Ocean Biomass CDR'!L20</f>
        <v>1</v>
      </c>
      <c r="I22" s="326">
        <f>'Terrestrial Biomass CDR'!M20</f>
        <v>3</v>
      </c>
      <c r="J22" s="326">
        <f>'Bioenergy + CCS'!N20</f>
        <v>3</v>
      </c>
      <c r="K22" s="448">
        <f t="shared" si="0"/>
        <v>2</v>
      </c>
      <c r="L22" s="325">
        <f t="shared" si="1"/>
        <v>2</v>
      </c>
      <c r="N22" s="313" t="s">
        <v>113</v>
      </c>
      <c r="O22" s="100" t="s">
        <v>114</v>
      </c>
      <c r="P22" s="311" cm="1">
        <f t="array" ref="P22">_xlfn.XLOOKUP($P$6,'Metric Categories 1-14'!$A$8:$A$57,_xlfn.XLOOKUP(N22,'Metric Categories 1-14'!$B$7:$FM$7,'Metric Categories 1-14'!$B$8:$FM$57))</f>
        <v>1.2000000000000002</v>
      </c>
      <c r="Q22"/>
      <c r="R22"/>
      <c r="S22"/>
      <c r="T22"/>
      <c r="U22"/>
      <c r="V22"/>
      <c r="W22"/>
    </row>
    <row r="23" spans="2:23">
      <c r="B23" s="321" t="s">
        <v>115</v>
      </c>
      <c r="C23" s="326">
        <f>'Direct Air Capture'!N21</f>
        <v>1</v>
      </c>
      <c r="D23" s="324">
        <f>'Direct Ocean Capture'!P21</f>
        <v>1</v>
      </c>
      <c r="E23" s="326">
        <f>'Ocean Geochemical CDR'!M21</f>
        <v>1</v>
      </c>
      <c r="F23" s="326">
        <f>'Carbon mineralization'!N21</f>
        <v>2</v>
      </c>
      <c r="G23" s="326">
        <f>'Terrestrial Enhanced Weathering'!L21</f>
        <v>2</v>
      </c>
      <c r="H23" s="326">
        <f>'Ocean Biomass CDR'!L21</f>
        <v>1</v>
      </c>
      <c r="I23" s="326">
        <f>'Terrestrial Biomass CDR'!M21</f>
        <v>2</v>
      </c>
      <c r="J23" s="326">
        <f>'Bioenergy + CCS'!N21</f>
        <v>2</v>
      </c>
      <c r="K23" s="448">
        <f t="shared" si="0"/>
        <v>1.5</v>
      </c>
      <c r="L23" s="325">
        <f t="shared" si="1"/>
        <v>2</v>
      </c>
      <c r="N23" s="313" t="s">
        <v>116</v>
      </c>
      <c r="O23" s="100" t="s">
        <v>117</v>
      </c>
      <c r="P23" s="311" cm="1">
        <f t="array" ref="P23">_xlfn.XLOOKUP($P$6,'Metric Categories 1-14'!$A$8:$A$57,_xlfn.XLOOKUP(N23,'Metric Categories 1-14'!$B$7:$FM$7,'Metric Categories 1-14'!$B$8:$FM$57))</f>
        <v>1.5</v>
      </c>
      <c r="Q23"/>
      <c r="R23"/>
      <c r="S23"/>
      <c r="T23"/>
      <c r="U23"/>
      <c r="V23"/>
      <c r="W23"/>
    </row>
    <row r="24" spans="2:23">
      <c r="B24" s="321" t="s">
        <v>118</v>
      </c>
      <c r="C24" s="326">
        <f>'Direct Air Capture'!N22</f>
        <v>3</v>
      </c>
      <c r="D24" s="324">
        <f>'Direct Ocean Capture'!P22</f>
        <v>1</v>
      </c>
      <c r="E24" s="326">
        <f>'Ocean Geochemical CDR'!M22</f>
        <v>1</v>
      </c>
      <c r="F24" s="326">
        <f>'Carbon mineralization'!N22</f>
        <v>3</v>
      </c>
      <c r="G24" s="326">
        <f>'Terrestrial Enhanced Weathering'!L22</f>
        <v>1</v>
      </c>
      <c r="H24" s="326">
        <f>'Ocean Biomass CDR'!L22</f>
        <v>1</v>
      </c>
      <c r="I24" s="326">
        <f>'Terrestrial Biomass CDR'!M22</f>
        <v>2</v>
      </c>
      <c r="J24" s="326">
        <f>'Bioenergy + CCS'!N22</f>
        <v>3</v>
      </c>
      <c r="K24" s="448">
        <f t="shared" si="0"/>
        <v>1.875</v>
      </c>
      <c r="L24" s="325">
        <f t="shared" si="1"/>
        <v>2</v>
      </c>
      <c r="N24" s="313" t="s">
        <v>119</v>
      </c>
      <c r="O24" s="100" t="s">
        <v>120</v>
      </c>
      <c r="P24" s="311" cm="1">
        <f t="array" ref="P24">_xlfn.XLOOKUP($P$6,'Metric Categories 1-14'!$A$8:$A$57,_xlfn.XLOOKUP(N24,'Metric Categories 1-14'!$B$7:$FM$7,'Metric Categories 1-14'!$B$8:$FM$57))</f>
        <v>2.5999999999999996</v>
      </c>
      <c r="Q24"/>
      <c r="R24"/>
      <c r="S24"/>
      <c r="T24"/>
      <c r="U24"/>
      <c r="V24"/>
      <c r="W24"/>
    </row>
    <row r="25" spans="2:23">
      <c r="B25" s="321" t="s">
        <v>121</v>
      </c>
      <c r="C25" s="326">
        <f>'Direct Air Capture'!N23</f>
        <v>1</v>
      </c>
      <c r="D25" s="324">
        <f>'Direct Ocean Capture'!P23</f>
        <v>1</v>
      </c>
      <c r="E25" s="326">
        <f>'Ocean Geochemical CDR'!M23</f>
        <v>1</v>
      </c>
      <c r="F25" s="326">
        <f>'Carbon mineralization'!N23</f>
        <v>1</v>
      </c>
      <c r="G25" s="326">
        <f>'Terrestrial Enhanced Weathering'!L23</f>
        <v>2</v>
      </c>
      <c r="H25" s="326">
        <f>'Ocean Biomass CDR'!L23</f>
        <v>1</v>
      </c>
      <c r="I25" s="326">
        <f>'Terrestrial Biomass CDR'!M23</f>
        <v>2</v>
      </c>
      <c r="J25" s="326">
        <f>'Bioenergy + CCS'!N23</f>
        <v>2</v>
      </c>
      <c r="K25" s="448">
        <f t="shared" si="0"/>
        <v>1.375</v>
      </c>
      <c r="L25" s="325">
        <f t="shared" si="1"/>
        <v>1</v>
      </c>
      <c r="N25" s="313" t="s">
        <v>122</v>
      </c>
      <c r="O25" s="100" t="s">
        <v>123</v>
      </c>
      <c r="P25" s="420" cm="1">
        <f t="array" ref="P25">_xlfn.XLOOKUP($P$6,'Metric Categories 1-14'!$A$8:$A$57,_xlfn.XLOOKUP(N25,'Metric Categories 1-14'!$B$7:$FM$7,'Metric Categories 1-14'!$B$8:$FM$57))</f>
        <v>3</v>
      </c>
      <c r="Q25"/>
      <c r="R25"/>
      <c r="S25"/>
      <c r="T25"/>
      <c r="U25"/>
      <c r="V25"/>
      <c r="W25"/>
    </row>
    <row r="26" spans="2:23">
      <c r="B26" s="321" t="s">
        <v>124</v>
      </c>
      <c r="C26" s="326">
        <f>'Direct Air Capture'!N24</f>
        <v>2</v>
      </c>
      <c r="D26" s="324">
        <f>'Direct Ocean Capture'!P24</f>
        <v>3</v>
      </c>
      <c r="E26" s="326">
        <f>'Ocean Geochemical CDR'!M24</f>
        <v>3</v>
      </c>
      <c r="F26" s="326">
        <f>'Carbon mineralization'!N24</f>
        <v>2</v>
      </c>
      <c r="G26" s="326">
        <f>'Terrestrial Enhanced Weathering'!L24</f>
        <v>3</v>
      </c>
      <c r="H26" s="326">
        <f>'Ocean Biomass CDR'!L24</f>
        <v>3</v>
      </c>
      <c r="I26" s="326">
        <f>'Terrestrial Biomass CDR'!M24</f>
        <v>3</v>
      </c>
      <c r="J26" s="326">
        <f>'Bioenergy + CCS'!N24</f>
        <v>3</v>
      </c>
      <c r="K26" s="448">
        <f t="shared" si="0"/>
        <v>2.75</v>
      </c>
      <c r="L26" s="325">
        <f t="shared" si="1"/>
        <v>3</v>
      </c>
      <c r="N26" s="313"/>
      <c r="U26"/>
      <c r="V26"/>
      <c r="W26"/>
    </row>
    <row r="27" spans="2:23">
      <c r="B27" s="321" t="s">
        <v>125</v>
      </c>
      <c r="C27" s="326">
        <f>'Direct Air Capture'!N25</f>
        <v>2</v>
      </c>
      <c r="D27" s="324">
        <f>'Direct Ocean Capture'!P25</f>
        <v>3</v>
      </c>
      <c r="E27" s="326">
        <f>'Ocean Geochemical CDR'!M25</f>
        <v>2</v>
      </c>
      <c r="F27" s="326">
        <f>'Carbon mineralization'!N25</f>
        <v>1</v>
      </c>
      <c r="G27" s="326">
        <f>'Terrestrial Enhanced Weathering'!L25</f>
        <v>1</v>
      </c>
      <c r="H27" s="326">
        <f>'Ocean Biomass CDR'!L25</f>
        <v>3</v>
      </c>
      <c r="I27" s="326">
        <f>'Terrestrial Biomass CDR'!M25</f>
        <v>1</v>
      </c>
      <c r="J27" s="326">
        <f>'Bioenergy + CCS'!N25</f>
        <v>1</v>
      </c>
      <c r="K27" s="448">
        <f t="shared" si="0"/>
        <v>1.75</v>
      </c>
      <c r="L27" s="325">
        <f t="shared" si="1"/>
        <v>2</v>
      </c>
      <c r="N27" s="313"/>
      <c r="O27" s="6" t="s">
        <v>126</v>
      </c>
      <c r="U27"/>
      <c r="V27"/>
      <c r="W27"/>
    </row>
    <row r="28" spans="2:23">
      <c r="B28" s="321" t="s">
        <v>127</v>
      </c>
      <c r="C28" s="326">
        <f>'Direct Air Capture'!N26</f>
        <v>1</v>
      </c>
      <c r="D28" s="324">
        <f>'Direct Ocean Capture'!P26</f>
        <v>2</v>
      </c>
      <c r="E28" s="326">
        <f>'Ocean Geochemical CDR'!M26</f>
        <v>3</v>
      </c>
      <c r="F28" s="326">
        <f>'Carbon mineralization'!N26</f>
        <v>1</v>
      </c>
      <c r="G28" s="326">
        <f>'Terrestrial Enhanced Weathering'!L26</f>
        <v>1</v>
      </c>
      <c r="H28" s="326">
        <f>'Ocean Biomass CDR'!L26</f>
        <v>3</v>
      </c>
      <c r="I28" s="326">
        <f>'Terrestrial Biomass CDR'!M26</f>
        <v>2</v>
      </c>
      <c r="J28" s="326">
        <f>'Bioenergy + CCS'!N26</f>
        <v>1</v>
      </c>
      <c r="K28" s="448">
        <f t="shared" si="0"/>
        <v>1.75</v>
      </c>
      <c r="L28" s="325">
        <f t="shared" si="1"/>
        <v>2</v>
      </c>
      <c r="U28"/>
      <c r="V28"/>
      <c r="W28"/>
    </row>
    <row r="29" spans="2:23">
      <c r="B29" s="321" t="s">
        <v>128</v>
      </c>
      <c r="C29" s="326">
        <f>'Direct Air Capture'!N27</f>
        <v>1</v>
      </c>
      <c r="D29" s="324">
        <f>'Direct Ocean Capture'!P27</f>
        <v>2</v>
      </c>
      <c r="E29" s="326">
        <f>'Ocean Geochemical CDR'!M27</f>
        <v>3</v>
      </c>
      <c r="F29" s="326">
        <f>'Carbon mineralization'!N27</f>
        <v>1</v>
      </c>
      <c r="G29" s="326">
        <f>'Terrestrial Enhanced Weathering'!L27</f>
        <v>1</v>
      </c>
      <c r="H29" s="326">
        <f>'Ocean Biomass CDR'!L27</f>
        <v>3</v>
      </c>
      <c r="I29" s="326">
        <f>'Terrestrial Biomass CDR'!M27</f>
        <v>1</v>
      </c>
      <c r="J29" s="326">
        <f>'Bioenergy + CCS'!N27</f>
        <v>1</v>
      </c>
      <c r="K29" s="448">
        <f t="shared" si="0"/>
        <v>1.625</v>
      </c>
      <c r="L29" s="325">
        <f t="shared" si="1"/>
        <v>2</v>
      </c>
      <c r="U29"/>
      <c r="V29"/>
      <c r="W29"/>
    </row>
    <row r="30" spans="2:23">
      <c r="B30" s="321" t="s">
        <v>129</v>
      </c>
      <c r="C30" s="326">
        <f>'Direct Air Capture'!N28</f>
        <v>2</v>
      </c>
      <c r="D30" s="324">
        <f>'Direct Ocean Capture'!P28</f>
        <v>1</v>
      </c>
      <c r="E30" s="326">
        <f>'Ocean Geochemical CDR'!M28</f>
        <v>1</v>
      </c>
      <c r="F30" s="326">
        <f>'Carbon mineralization'!N28</f>
        <v>3</v>
      </c>
      <c r="G30" s="326">
        <f>'Terrestrial Enhanced Weathering'!L28</f>
        <v>3</v>
      </c>
      <c r="H30" s="326">
        <f>'Ocean Biomass CDR'!L28</f>
        <v>1</v>
      </c>
      <c r="I30" s="326">
        <f>'Terrestrial Biomass CDR'!M28</f>
        <v>3</v>
      </c>
      <c r="J30" s="326">
        <f>'Bioenergy + CCS'!N28</f>
        <v>2</v>
      </c>
      <c r="K30" s="448">
        <f t="shared" si="0"/>
        <v>2</v>
      </c>
      <c r="L30" s="325">
        <f t="shared" si="1"/>
        <v>2</v>
      </c>
      <c r="U30"/>
      <c r="V30"/>
      <c r="W30"/>
    </row>
    <row r="31" spans="2:23">
      <c r="B31" s="321" t="s">
        <v>130</v>
      </c>
      <c r="C31" s="326">
        <f>'Direct Air Capture'!N29</f>
        <v>2</v>
      </c>
      <c r="D31" s="324">
        <f>'Direct Ocean Capture'!P29</f>
        <v>1</v>
      </c>
      <c r="E31" s="326">
        <f>'Ocean Geochemical CDR'!M29</f>
        <v>1</v>
      </c>
      <c r="F31" s="326">
        <f>'Carbon mineralization'!N29</f>
        <v>2</v>
      </c>
      <c r="G31" s="326">
        <f>'Terrestrial Enhanced Weathering'!L29</f>
        <v>3</v>
      </c>
      <c r="H31" s="326">
        <f>'Ocean Biomass CDR'!L29</f>
        <v>1</v>
      </c>
      <c r="I31" s="326">
        <f>'Terrestrial Biomass CDR'!M29</f>
        <v>3</v>
      </c>
      <c r="J31" s="326">
        <f>'Bioenergy + CCS'!N29</f>
        <v>2</v>
      </c>
      <c r="K31" s="448">
        <f t="shared" si="0"/>
        <v>1.875</v>
      </c>
      <c r="L31" s="325">
        <f t="shared" si="1"/>
        <v>2</v>
      </c>
      <c r="U31"/>
      <c r="V31"/>
      <c r="W31"/>
    </row>
    <row r="32" spans="2:23">
      <c r="B32" s="321" t="s">
        <v>131</v>
      </c>
      <c r="C32" s="326">
        <f>'Direct Air Capture'!N30</f>
        <v>2</v>
      </c>
      <c r="D32" s="324">
        <f>'Direct Ocean Capture'!P30</f>
        <v>3</v>
      </c>
      <c r="E32" s="326">
        <f>'Ocean Geochemical CDR'!M30</f>
        <v>2</v>
      </c>
      <c r="F32" s="326">
        <f>'Carbon mineralization'!N30</f>
        <v>1</v>
      </c>
      <c r="G32" s="326">
        <f>'Terrestrial Enhanced Weathering'!L30</f>
        <v>2</v>
      </c>
      <c r="H32" s="326">
        <f>'Ocean Biomass CDR'!L30</f>
        <v>2</v>
      </c>
      <c r="I32" s="326">
        <f>'Terrestrial Biomass CDR'!M30</f>
        <v>2</v>
      </c>
      <c r="J32" s="326">
        <f>'Bioenergy + CCS'!N30</f>
        <v>3</v>
      </c>
      <c r="K32" s="448">
        <f t="shared" si="0"/>
        <v>2.125</v>
      </c>
      <c r="L32" s="325">
        <f t="shared" si="1"/>
        <v>2</v>
      </c>
      <c r="U32"/>
      <c r="V32"/>
      <c r="W32"/>
    </row>
    <row r="33" spans="2:23">
      <c r="B33" s="321" t="s">
        <v>132</v>
      </c>
      <c r="C33" s="326">
        <f>'Direct Air Capture'!N31</f>
        <v>1</v>
      </c>
      <c r="D33" s="324">
        <f>'Direct Ocean Capture'!P31</f>
        <v>1</v>
      </c>
      <c r="E33" s="326">
        <f>'Ocean Geochemical CDR'!M31</f>
        <v>1</v>
      </c>
      <c r="F33" s="326">
        <f>'Carbon mineralization'!N31</f>
        <v>2</v>
      </c>
      <c r="G33" s="326">
        <f>'Terrestrial Enhanced Weathering'!L31</f>
        <v>3</v>
      </c>
      <c r="H33" s="326">
        <f>'Ocean Biomass CDR'!L31</f>
        <v>1</v>
      </c>
      <c r="I33" s="326">
        <f>'Terrestrial Biomass CDR'!M31</f>
        <v>3</v>
      </c>
      <c r="J33" s="326">
        <f>'Bioenergy + CCS'!N31</f>
        <v>2</v>
      </c>
      <c r="K33" s="448">
        <f t="shared" si="0"/>
        <v>1.75</v>
      </c>
      <c r="L33" s="325">
        <f t="shared" si="1"/>
        <v>2</v>
      </c>
      <c r="U33"/>
      <c r="V33"/>
      <c r="W33"/>
    </row>
    <row r="34" spans="2:23">
      <c r="B34" s="321" t="s">
        <v>133</v>
      </c>
      <c r="C34" s="326">
        <f>'Direct Air Capture'!N32</f>
        <v>3</v>
      </c>
      <c r="D34" s="324">
        <f>'Direct Ocean Capture'!P32</f>
        <v>1</v>
      </c>
      <c r="E34" s="326">
        <f>'Ocean Geochemical CDR'!M32</f>
        <v>1</v>
      </c>
      <c r="F34" s="326">
        <f>'Carbon mineralization'!N32</f>
        <v>3</v>
      </c>
      <c r="G34" s="326">
        <f>'Terrestrial Enhanced Weathering'!L32</f>
        <v>2</v>
      </c>
      <c r="H34" s="326">
        <f>'Ocean Biomass CDR'!L32</f>
        <v>1</v>
      </c>
      <c r="I34" s="326">
        <f>'Terrestrial Biomass CDR'!M32</f>
        <v>1</v>
      </c>
      <c r="J34" s="326">
        <f>'Bioenergy + CCS'!N32</f>
        <v>3</v>
      </c>
      <c r="K34" s="448">
        <f t="shared" si="0"/>
        <v>1.875</v>
      </c>
      <c r="L34" s="325">
        <f t="shared" si="1"/>
        <v>2</v>
      </c>
      <c r="U34"/>
      <c r="V34"/>
      <c r="W34"/>
    </row>
    <row r="35" spans="2:23">
      <c r="B35" s="321" t="s">
        <v>134</v>
      </c>
      <c r="C35" s="326">
        <f>'Direct Air Capture'!N33</f>
        <v>1</v>
      </c>
      <c r="D35" s="324">
        <f>'Direct Ocean Capture'!P33</f>
        <v>1</v>
      </c>
      <c r="E35" s="326">
        <f>'Ocean Geochemical CDR'!M33</f>
        <v>1</v>
      </c>
      <c r="F35" s="326">
        <f>'Carbon mineralization'!N33</f>
        <v>1</v>
      </c>
      <c r="G35" s="326">
        <f>'Terrestrial Enhanced Weathering'!L33</f>
        <v>1</v>
      </c>
      <c r="H35" s="326">
        <f>'Ocean Biomass CDR'!L33</f>
        <v>1</v>
      </c>
      <c r="I35" s="326">
        <f>'Terrestrial Biomass CDR'!M33</f>
        <v>1</v>
      </c>
      <c r="J35" s="326">
        <f>'Bioenergy + CCS'!N33</f>
        <v>2</v>
      </c>
      <c r="K35" s="448">
        <f t="shared" si="0"/>
        <v>1.125</v>
      </c>
      <c r="L35" s="325">
        <f t="shared" si="1"/>
        <v>1</v>
      </c>
      <c r="U35"/>
      <c r="V35"/>
      <c r="W35"/>
    </row>
    <row r="36" spans="2:23">
      <c r="B36" s="321" t="s">
        <v>135</v>
      </c>
      <c r="C36" s="326">
        <f>'Direct Air Capture'!N34</f>
        <v>2</v>
      </c>
      <c r="D36" s="324">
        <f>'Direct Ocean Capture'!P34</f>
        <v>1</v>
      </c>
      <c r="E36" s="326">
        <f>'Ocean Geochemical CDR'!M34</f>
        <v>1</v>
      </c>
      <c r="F36" s="326">
        <f>'Carbon mineralization'!N34</f>
        <v>2</v>
      </c>
      <c r="G36" s="326">
        <f>'Terrestrial Enhanced Weathering'!L34</f>
        <v>1</v>
      </c>
      <c r="H36" s="326">
        <f>'Ocean Biomass CDR'!L34</f>
        <v>1</v>
      </c>
      <c r="I36" s="326">
        <f>'Terrestrial Biomass CDR'!M34</f>
        <v>1</v>
      </c>
      <c r="J36" s="326">
        <f>'Bioenergy + CCS'!N34</f>
        <v>1</v>
      </c>
      <c r="K36" s="448">
        <f t="shared" si="0"/>
        <v>1.25</v>
      </c>
      <c r="L36" s="325">
        <f t="shared" si="1"/>
        <v>1</v>
      </c>
      <c r="U36"/>
      <c r="V36"/>
      <c r="W36"/>
    </row>
    <row r="37" spans="2:23">
      <c r="B37" s="321" t="s">
        <v>136</v>
      </c>
      <c r="C37" s="326">
        <f>'Direct Air Capture'!N35</f>
        <v>1</v>
      </c>
      <c r="D37" s="324">
        <f>'Direct Ocean Capture'!P35</f>
        <v>2</v>
      </c>
      <c r="E37" s="326">
        <f>'Ocean Geochemical CDR'!M35</f>
        <v>2</v>
      </c>
      <c r="F37" s="326">
        <f>'Carbon mineralization'!N35</f>
        <v>1</v>
      </c>
      <c r="G37" s="326">
        <f>'Terrestrial Enhanced Weathering'!L35</f>
        <v>1</v>
      </c>
      <c r="H37" s="326">
        <f>'Ocean Biomass CDR'!L35</f>
        <v>3</v>
      </c>
      <c r="I37" s="326">
        <f>'Terrestrial Biomass CDR'!M35</f>
        <v>1</v>
      </c>
      <c r="J37" s="326">
        <f>'Bioenergy + CCS'!N35</f>
        <v>1</v>
      </c>
      <c r="K37" s="448">
        <f t="shared" si="0"/>
        <v>1.5</v>
      </c>
      <c r="L37" s="325">
        <f t="shared" si="1"/>
        <v>2</v>
      </c>
      <c r="U37"/>
      <c r="V37"/>
      <c r="W37"/>
    </row>
    <row r="38" spans="2:23">
      <c r="B38" s="321" t="s">
        <v>137</v>
      </c>
      <c r="C38" s="326">
        <f>'Direct Air Capture'!N36</f>
        <v>1</v>
      </c>
      <c r="D38" s="324">
        <f>'Direct Ocean Capture'!P36</f>
        <v>3</v>
      </c>
      <c r="E38" s="326">
        <f>'Ocean Geochemical CDR'!M36</f>
        <v>3</v>
      </c>
      <c r="F38" s="326">
        <f>'Carbon mineralization'!N36</f>
        <v>1</v>
      </c>
      <c r="G38" s="326">
        <f>'Terrestrial Enhanced Weathering'!L36</f>
        <v>2</v>
      </c>
      <c r="H38" s="326">
        <f>'Ocean Biomass CDR'!L36</f>
        <v>3</v>
      </c>
      <c r="I38" s="326">
        <f>'Terrestrial Biomass CDR'!M36</f>
        <v>2</v>
      </c>
      <c r="J38" s="326">
        <f>'Bioenergy + CCS'!N36</f>
        <v>1</v>
      </c>
      <c r="K38" s="448">
        <f t="shared" si="0"/>
        <v>2</v>
      </c>
      <c r="L38" s="325">
        <f t="shared" si="1"/>
        <v>2</v>
      </c>
      <c r="U38"/>
      <c r="V38"/>
      <c r="W38"/>
    </row>
    <row r="39" spans="2:23">
      <c r="B39" s="321" t="s">
        <v>138</v>
      </c>
      <c r="C39" s="326">
        <f>'Direct Air Capture'!N37</f>
        <v>3</v>
      </c>
      <c r="D39" s="324">
        <f>'Direct Ocean Capture'!P37</f>
        <v>1</v>
      </c>
      <c r="E39" s="326">
        <f>'Ocean Geochemical CDR'!M37</f>
        <v>1</v>
      </c>
      <c r="F39" s="326">
        <f>'Carbon mineralization'!N37</f>
        <v>2</v>
      </c>
      <c r="G39" s="326">
        <f>'Terrestrial Enhanced Weathering'!L37</f>
        <v>3</v>
      </c>
      <c r="H39" s="326">
        <f>'Ocean Biomass CDR'!L37</f>
        <v>1</v>
      </c>
      <c r="I39" s="326">
        <f>'Terrestrial Biomass CDR'!M37</f>
        <v>1</v>
      </c>
      <c r="J39" s="326">
        <f>'Bioenergy + CCS'!N37</f>
        <v>3</v>
      </c>
      <c r="K39" s="448">
        <f t="shared" si="0"/>
        <v>1.875</v>
      </c>
      <c r="L39" s="325">
        <f t="shared" si="1"/>
        <v>2</v>
      </c>
      <c r="U39"/>
      <c r="V39"/>
      <c r="W39"/>
    </row>
    <row r="40" spans="2:23">
      <c r="B40" s="321" t="s">
        <v>139</v>
      </c>
      <c r="C40" s="326">
        <f>'Direct Air Capture'!N38</f>
        <v>3</v>
      </c>
      <c r="D40" s="324">
        <f>'Direct Ocean Capture'!P38</f>
        <v>3</v>
      </c>
      <c r="E40" s="326">
        <f>'Ocean Geochemical CDR'!M38</f>
        <v>3</v>
      </c>
      <c r="F40" s="326">
        <f>'Carbon mineralization'!N38</f>
        <v>3</v>
      </c>
      <c r="G40" s="326">
        <f>'Terrestrial Enhanced Weathering'!L38</f>
        <v>3</v>
      </c>
      <c r="H40" s="326">
        <f>'Ocean Biomass CDR'!L38</f>
        <v>3</v>
      </c>
      <c r="I40" s="326">
        <f>'Terrestrial Biomass CDR'!M38</f>
        <v>3</v>
      </c>
      <c r="J40" s="326">
        <f>'Bioenergy + CCS'!N38</f>
        <v>2</v>
      </c>
      <c r="K40" s="448">
        <f t="shared" si="0"/>
        <v>2.875</v>
      </c>
      <c r="L40" s="325">
        <f t="shared" si="1"/>
        <v>3</v>
      </c>
      <c r="U40"/>
      <c r="V40"/>
      <c r="W40"/>
    </row>
    <row r="41" spans="2:23">
      <c r="B41" s="321" t="s">
        <v>140</v>
      </c>
      <c r="C41" s="326">
        <f>'Direct Air Capture'!N39</f>
        <v>3</v>
      </c>
      <c r="D41" s="324">
        <f>'Direct Ocean Capture'!P39</f>
        <v>3</v>
      </c>
      <c r="E41" s="326">
        <f>'Ocean Geochemical CDR'!M39</f>
        <v>3</v>
      </c>
      <c r="F41" s="326">
        <f>'Carbon mineralization'!N39</f>
        <v>3</v>
      </c>
      <c r="G41" s="326">
        <f>'Terrestrial Enhanced Weathering'!L39</f>
        <v>3</v>
      </c>
      <c r="H41" s="326">
        <f>'Ocean Biomass CDR'!L39</f>
        <v>2</v>
      </c>
      <c r="I41" s="326">
        <f>'Terrestrial Biomass CDR'!M39</f>
        <v>2</v>
      </c>
      <c r="J41" s="326">
        <f>'Bioenergy + CCS'!N39</f>
        <v>3</v>
      </c>
      <c r="K41" s="448">
        <f t="shared" si="0"/>
        <v>2.75</v>
      </c>
      <c r="L41" s="325">
        <f t="shared" si="1"/>
        <v>3</v>
      </c>
      <c r="U41"/>
      <c r="V41"/>
      <c r="W41"/>
    </row>
    <row r="42" spans="2:23">
      <c r="B42" s="321" t="s">
        <v>141</v>
      </c>
      <c r="C42" s="326">
        <f>'Direct Air Capture'!N40</f>
        <v>3</v>
      </c>
      <c r="D42" s="324">
        <f>'Direct Ocean Capture'!P40</f>
        <v>1</v>
      </c>
      <c r="E42" s="326">
        <f>'Ocean Geochemical CDR'!M40</f>
        <v>1</v>
      </c>
      <c r="F42" s="326">
        <f>'Carbon mineralization'!N40</f>
        <v>2</v>
      </c>
      <c r="G42" s="326">
        <f>'Terrestrial Enhanced Weathering'!L40</f>
        <v>2</v>
      </c>
      <c r="H42" s="326">
        <f>'Ocean Biomass CDR'!L40</f>
        <v>1</v>
      </c>
      <c r="I42" s="326">
        <f>'Terrestrial Biomass CDR'!M40</f>
        <v>1</v>
      </c>
      <c r="J42" s="326">
        <f>'Bioenergy + CCS'!N40</f>
        <v>3</v>
      </c>
      <c r="K42" s="448">
        <f t="shared" si="0"/>
        <v>1.75</v>
      </c>
      <c r="L42" s="325">
        <f t="shared" si="1"/>
        <v>2</v>
      </c>
      <c r="U42"/>
      <c r="V42"/>
      <c r="W42"/>
    </row>
    <row r="43" spans="2:23">
      <c r="B43" s="321" t="s">
        <v>142</v>
      </c>
      <c r="C43" s="326">
        <f>'Direct Air Capture'!N41</f>
        <v>1</v>
      </c>
      <c r="D43" s="324">
        <f>'Direct Ocean Capture'!P41</f>
        <v>1</v>
      </c>
      <c r="E43" s="326">
        <f>'Ocean Geochemical CDR'!M41</f>
        <v>1</v>
      </c>
      <c r="F43" s="326">
        <f>'Carbon mineralization'!N41</f>
        <v>2</v>
      </c>
      <c r="G43" s="326">
        <f>'Terrestrial Enhanced Weathering'!L41</f>
        <v>3</v>
      </c>
      <c r="H43" s="326">
        <f>'Ocean Biomass CDR'!L41</f>
        <v>1</v>
      </c>
      <c r="I43" s="326">
        <f>'Terrestrial Biomass CDR'!M41</f>
        <v>3</v>
      </c>
      <c r="J43" s="326">
        <f>'Bioenergy + CCS'!N41</f>
        <v>2</v>
      </c>
      <c r="K43" s="448">
        <f t="shared" si="0"/>
        <v>1.75</v>
      </c>
      <c r="L43" s="325">
        <f t="shared" si="1"/>
        <v>2</v>
      </c>
      <c r="U43"/>
      <c r="V43"/>
      <c r="W43"/>
    </row>
    <row r="44" spans="2:23">
      <c r="B44" s="321" t="s">
        <v>143</v>
      </c>
      <c r="C44" s="326">
        <f>'Direct Air Capture'!N42</f>
        <v>3</v>
      </c>
      <c r="D44" s="324">
        <f>'Direct Ocean Capture'!P42</f>
        <v>1</v>
      </c>
      <c r="E44" s="326">
        <f>'Ocean Geochemical CDR'!M42</f>
        <v>1</v>
      </c>
      <c r="F44" s="326">
        <f>'Carbon mineralization'!N42</f>
        <v>3</v>
      </c>
      <c r="G44" s="326">
        <f>'Terrestrial Enhanced Weathering'!L42</f>
        <v>3</v>
      </c>
      <c r="H44" s="326">
        <f>'Ocean Biomass CDR'!L42</f>
        <v>1</v>
      </c>
      <c r="I44" s="326">
        <f>'Terrestrial Biomass CDR'!M42</f>
        <v>2</v>
      </c>
      <c r="J44" s="326">
        <f>'Bioenergy + CCS'!N42</f>
        <v>3</v>
      </c>
      <c r="K44" s="448">
        <f t="shared" si="0"/>
        <v>2.125</v>
      </c>
      <c r="L44" s="325">
        <f t="shared" si="1"/>
        <v>2</v>
      </c>
      <c r="U44"/>
      <c r="V44"/>
      <c r="W44"/>
    </row>
    <row r="45" spans="2:23">
      <c r="B45" s="321" t="s">
        <v>144</v>
      </c>
      <c r="C45" s="326">
        <f>'Direct Air Capture'!N43</f>
        <v>3</v>
      </c>
      <c r="D45" s="324">
        <f>'Direct Ocean Capture'!P43</f>
        <v>3</v>
      </c>
      <c r="E45" s="326">
        <f>'Ocean Geochemical CDR'!M43</f>
        <v>3</v>
      </c>
      <c r="F45" s="326">
        <f>'Carbon mineralization'!N43</f>
        <v>2</v>
      </c>
      <c r="G45" s="326">
        <f>'Terrestrial Enhanced Weathering'!L43</f>
        <v>2</v>
      </c>
      <c r="H45" s="326">
        <f>'Ocean Biomass CDR'!L43</f>
        <v>3</v>
      </c>
      <c r="I45" s="326">
        <f>'Terrestrial Biomass CDR'!M43</f>
        <v>3</v>
      </c>
      <c r="J45" s="326">
        <f>'Bioenergy + CCS'!N43</f>
        <v>1</v>
      </c>
      <c r="K45" s="448">
        <f t="shared" si="0"/>
        <v>2.5</v>
      </c>
      <c r="L45" s="325">
        <f t="shared" si="1"/>
        <v>3</v>
      </c>
      <c r="U45"/>
      <c r="V45"/>
      <c r="W45"/>
    </row>
    <row r="46" spans="2:23">
      <c r="B46" s="321" t="s">
        <v>145</v>
      </c>
      <c r="C46" s="326">
        <f>'Direct Air Capture'!N44</f>
        <v>2</v>
      </c>
      <c r="D46" s="324">
        <f>'Direct Ocean Capture'!P44</f>
        <v>1</v>
      </c>
      <c r="E46" s="326">
        <f>'Ocean Geochemical CDR'!M44</f>
        <v>1</v>
      </c>
      <c r="F46" s="326">
        <f>'Carbon mineralization'!N44</f>
        <v>3</v>
      </c>
      <c r="G46" s="326">
        <f>'Terrestrial Enhanced Weathering'!L44</f>
        <v>2</v>
      </c>
      <c r="H46" s="326">
        <f>'Ocean Biomass CDR'!L44</f>
        <v>1</v>
      </c>
      <c r="I46" s="326">
        <f>'Terrestrial Biomass CDR'!M44</f>
        <v>3</v>
      </c>
      <c r="J46" s="326">
        <f>'Bioenergy + CCS'!N44</f>
        <v>2</v>
      </c>
      <c r="K46" s="448">
        <f t="shared" si="0"/>
        <v>1.875</v>
      </c>
      <c r="L46" s="325">
        <f t="shared" si="1"/>
        <v>2</v>
      </c>
      <c r="U46"/>
      <c r="V46"/>
      <c r="W46"/>
    </row>
    <row r="47" spans="2:23">
      <c r="B47" s="321" t="s">
        <v>146</v>
      </c>
      <c r="C47" s="326">
        <f>'Direct Air Capture'!N45</f>
        <v>1</v>
      </c>
      <c r="D47" s="324">
        <f>'Direct Ocean Capture'!P45</f>
        <v>2</v>
      </c>
      <c r="E47" s="326">
        <f>'Ocean Geochemical CDR'!M45</f>
        <v>2</v>
      </c>
      <c r="F47" s="326">
        <f>'Carbon mineralization'!N45</f>
        <v>1</v>
      </c>
      <c r="G47" s="326">
        <f>'Terrestrial Enhanced Weathering'!L45</f>
        <v>1</v>
      </c>
      <c r="H47" s="326">
        <f>'Ocean Biomass CDR'!L45</f>
        <v>3</v>
      </c>
      <c r="I47" s="326">
        <f>'Terrestrial Biomass CDR'!M45</f>
        <v>1</v>
      </c>
      <c r="J47" s="326">
        <f>'Bioenergy + CCS'!N45</f>
        <v>1</v>
      </c>
      <c r="K47" s="448">
        <f t="shared" si="0"/>
        <v>1.5</v>
      </c>
      <c r="L47" s="325">
        <f t="shared" si="1"/>
        <v>2</v>
      </c>
      <c r="U47"/>
      <c r="V47"/>
      <c r="W47"/>
    </row>
    <row r="48" spans="2:23">
      <c r="B48" s="321" t="s">
        <v>147</v>
      </c>
      <c r="C48" s="326">
        <f>'Direct Air Capture'!N46</f>
        <v>2</v>
      </c>
      <c r="D48" s="324">
        <f>'Direct Ocean Capture'!P46</f>
        <v>3</v>
      </c>
      <c r="E48" s="326">
        <f>'Ocean Geochemical CDR'!M46</f>
        <v>3</v>
      </c>
      <c r="F48" s="326">
        <f>'Carbon mineralization'!N46</f>
        <v>2</v>
      </c>
      <c r="G48" s="326">
        <f>'Terrestrial Enhanced Weathering'!L46</f>
        <v>1</v>
      </c>
      <c r="H48" s="326">
        <f>'Ocean Biomass CDR'!L46</f>
        <v>2</v>
      </c>
      <c r="I48" s="326">
        <f>'Terrestrial Biomass CDR'!M46</f>
        <v>2</v>
      </c>
      <c r="J48" s="326">
        <f>'Bioenergy + CCS'!N46</f>
        <v>3</v>
      </c>
      <c r="K48" s="448">
        <f t="shared" si="0"/>
        <v>2.25</v>
      </c>
      <c r="L48" s="325">
        <f t="shared" si="1"/>
        <v>2</v>
      </c>
      <c r="U48"/>
      <c r="V48"/>
      <c r="W48"/>
    </row>
    <row r="49" spans="2:23">
      <c r="B49" s="321" t="s">
        <v>148</v>
      </c>
      <c r="C49" s="326">
        <f>'Direct Air Capture'!N47</f>
        <v>2</v>
      </c>
      <c r="D49" s="324">
        <f>'Direct Ocean Capture'!P47</f>
        <v>1</v>
      </c>
      <c r="E49" s="326">
        <f>'Ocean Geochemical CDR'!M47</f>
        <v>1</v>
      </c>
      <c r="F49" s="326">
        <f>'Carbon mineralization'!N47</f>
        <v>1</v>
      </c>
      <c r="G49" s="326">
        <f>'Terrestrial Enhanced Weathering'!L47</f>
        <v>1</v>
      </c>
      <c r="H49" s="326">
        <f>'Ocean Biomass CDR'!L47</f>
        <v>1</v>
      </c>
      <c r="I49" s="326">
        <f>'Terrestrial Biomass CDR'!M47</f>
        <v>1</v>
      </c>
      <c r="J49" s="326">
        <f>'Bioenergy + CCS'!N47</f>
        <v>2</v>
      </c>
      <c r="K49" s="448">
        <f t="shared" si="0"/>
        <v>1.25</v>
      </c>
      <c r="L49" s="325">
        <f t="shared" si="1"/>
        <v>1</v>
      </c>
      <c r="U49"/>
      <c r="V49"/>
      <c r="W49"/>
    </row>
    <row r="50" spans="2:23">
      <c r="B50" s="321" t="s">
        <v>149</v>
      </c>
      <c r="C50" s="326">
        <f>'Direct Air Capture'!N48</f>
        <v>2</v>
      </c>
      <c r="D50" s="324">
        <f>'Direct Ocean Capture'!P48</f>
        <v>1</v>
      </c>
      <c r="E50" s="326">
        <f>'Ocean Geochemical CDR'!M48</f>
        <v>1</v>
      </c>
      <c r="F50" s="326">
        <f>'Carbon mineralization'!N48</f>
        <v>3</v>
      </c>
      <c r="G50" s="326">
        <f>'Terrestrial Enhanced Weathering'!L48</f>
        <v>2</v>
      </c>
      <c r="H50" s="326">
        <f>'Ocean Biomass CDR'!L48</f>
        <v>1</v>
      </c>
      <c r="I50" s="326">
        <f>'Terrestrial Biomass CDR'!M48</f>
        <v>3</v>
      </c>
      <c r="J50" s="326">
        <f>'Bioenergy + CCS'!N48</f>
        <v>2</v>
      </c>
      <c r="K50" s="448">
        <f t="shared" si="0"/>
        <v>1.875</v>
      </c>
      <c r="L50" s="325">
        <f t="shared" si="1"/>
        <v>2</v>
      </c>
      <c r="U50"/>
      <c r="V50"/>
      <c r="W50"/>
    </row>
    <row r="51" spans="2:23">
      <c r="B51" s="321" t="s">
        <v>150</v>
      </c>
      <c r="C51" s="326">
        <f>'Direct Air Capture'!N49</f>
        <v>3</v>
      </c>
      <c r="D51" s="324">
        <f>'Direct Ocean Capture'!P49</f>
        <v>3</v>
      </c>
      <c r="E51" s="326">
        <f>'Ocean Geochemical CDR'!M49</f>
        <v>3</v>
      </c>
      <c r="F51" s="326">
        <f>'Carbon mineralization'!N49</f>
        <v>3</v>
      </c>
      <c r="G51" s="326">
        <f>'Terrestrial Enhanced Weathering'!L49</f>
        <v>3</v>
      </c>
      <c r="H51" s="326">
        <f>'Ocean Biomass CDR'!L49</f>
        <v>3</v>
      </c>
      <c r="I51" s="326">
        <f>'Terrestrial Biomass CDR'!M49</f>
        <v>3</v>
      </c>
      <c r="J51" s="326">
        <f>'Bioenergy + CCS'!N49</f>
        <v>3</v>
      </c>
      <c r="K51" s="448">
        <f t="shared" si="0"/>
        <v>3</v>
      </c>
      <c r="L51" s="325">
        <f t="shared" si="1"/>
        <v>3</v>
      </c>
      <c r="U51"/>
      <c r="V51"/>
      <c r="W51"/>
    </row>
    <row r="52" spans="2:23">
      <c r="B52" s="321" t="s">
        <v>151</v>
      </c>
      <c r="C52" s="326">
        <f>'Direct Air Capture'!N50</f>
        <v>3</v>
      </c>
      <c r="D52" s="324">
        <f>'Direct Ocean Capture'!P50</f>
        <v>1</v>
      </c>
      <c r="E52" s="326">
        <f>'Ocean Geochemical CDR'!M50</f>
        <v>1</v>
      </c>
      <c r="F52" s="326">
        <f>'Carbon mineralization'!N50</f>
        <v>3</v>
      </c>
      <c r="G52" s="326">
        <f>'Terrestrial Enhanced Weathering'!L50</f>
        <v>2</v>
      </c>
      <c r="H52" s="326">
        <f>'Ocean Biomass CDR'!L50</f>
        <v>1</v>
      </c>
      <c r="I52" s="326">
        <f>'Terrestrial Biomass CDR'!M50</f>
        <v>2</v>
      </c>
      <c r="J52" s="326">
        <f>'Bioenergy + CCS'!N50</f>
        <v>2</v>
      </c>
      <c r="K52" s="448">
        <f t="shared" si="0"/>
        <v>1.875</v>
      </c>
      <c r="L52" s="325">
        <f t="shared" si="1"/>
        <v>2</v>
      </c>
      <c r="U52"/>
      <c r="V52"/>
      <c r="W52"/>
    </row>
    <row r="53" spans="2:23">
      <c r="B53" s="321" t="s">
        <v>152</v>
      </c>
      <c r="C53" s="326">
        <f>'Direct Air Capture'!N51</f>
        <v>1</v>
      </c>
      <c r="D53" s="324">
        <f>'Direct Ocean Capture'!P51</f>
        <v>1</v>
      </c>
      <c r="E53" s="326">
        <f>'Ocean Geochemical CDR'!M51</f>
        <v>1</v>
      </c>
      <c r="F53" s="326">
        <f>'Carbon mineralization'!N51</f>
        <v>1</v>
      </c>
      <c r="G53" s="326">
        <f>'Terrestrial Enhanced Weathering'!L51</f>
        <v>1</v>
      </c>
      <c r="H53" s="326">
        <f>'Ocean Biomass CDR'!L51</f>
        <v>1</v>
      </c>
      <c r="I53" s="326">
        <f>'Terrestrial Biomass CDR'!M51</f>
        <v>1</v>
      </c>
      <c r="J53" s="326">
        <f>'Bioenergy + CCS'!N51</f>
        <v>1</v>
      </c>
      <c r="K53" s="448">
        <f t="shared" si="0"/>
        <v>1</v>
      </c>
      <c r="L53" s="325">
        <f t="shared" si="1"/>
        <v>1</v>
      </c>
      <c r="U53"/>
      <c r="V53"/>
      <c r="W53"/>
    </row>
    <row r="54" spans="2:23">
      <c r="B54" s="321" t="s">
        <v>153</v>
      </c>
      <c r="C54" s="326">
        <f>'Direct Air Capture'!N52</f>
        <v>2</v>
      </c>
      <c r="D54" s="324">
        <f>'Direct Ocean Capture'!P52</f>
        <v>3</v>
      </c>
      <c r="E54" s="326">
        <f>'Ocean Geochemical CDR'!M52</f>
        <v>3</v>
      </c>
      <c r="F54" s="326">
        <f>'Carbon mineralization'!N52</f>
        <v>1</v>
      </c>
      <c r="G54" s="326">
        <f>'Terrestrial Enhanced Weathering'!L52</f>
        <v>2</v>
      </c>
      <c r="H54" s="326">
        <f>'Ocean Biomass CDR'!L52</f>
        <v>3</v>
      </c>
      <c r="I54" s="326">
        <f>'Terrestrial Biomass CDR'!M52</f>
        <v>2</v>
      </c>
      <c r="J54" s="326">
        <f>'Bioenergy + CCS'!N52</f>
        <v>3</v>
      </c>
      <c r="K54" s="448">
        <f t="shared" si="0"/>
        <v>2.375</v>
      </c>
      <c r="L54" s="325">
        <f t="shared" si="1"/>
        <v>2</v>
      </c>
      <c r="U54"/>
      <c r="V54"/>
      <c r="W54"/>
    </row>
    <row r="55" spans="2:23">
      <c r="B55" s="321" t="s">
        <v>154</v>
      </c>
      <c r="C55" s="326">
        <f>'Direct Air Capture'!N53</f>
        <v>3</v>
      </c>
      <c r="D55" s="324">
        <f>'Direct Ocean Capture'!P53</f>
        <v>3</v>
      </c>
      <c r="E55" s="326">
        <f>'Ocean Geochemical CDR'!M53</f>
        <v>3</v>
      </c>
      <c r="F55" s="326">
        <f>'Carbon mineralization'!N53</f>
        <v>3</v>
      </c>
      <c r="G55" s="326">
        <f>'Terrestrial Enhanced Weathering'!L53</f>
        <v>3</v>
      </c>
      <c r="H55" s="326">
        <f>'Ocean Biomass CDR'!L53</f>
        <v>3</v>
      </c>
      <c r="I55" s="326">
        <f>'Terrestrial Biomass CDR'!M53</f>
        <v>3</v>
      </c>
      <c r="J55" s="326">
        <f>'Bioenergy + CCS'!N53</f>
        <v>2</v>
      </c>
      <c r="K55" s="448">
        <f t="shared" si="0"/>
        <v>2.875</v>
      </c>
      <c r="L55" s="325">
        <f t="shared" si="1"/>
        <v>3</v>
      </c>
      <c r="U55"/>
      <c r="V55"/>
      <c r="W55"/>
    </row>
    <row r="56" spans="2:23">
      <c r="B56" s="321" t="s">
        <v>155</v>
      </c>
      <c r="C56" s="326">
        <f>'Direct Air Capture'!N54</f>
        <v>1</v>
      </c>
      <c r="D56" s="324">
        <f>'Direct Ocean Capture'!P54</f>
        <v>1</v>
      </c>
      <c r="E56" s="326">
        <f>'Ocean Geochemical CDR'!M54</f>
        <v>1</v>
      </c>
      <c r="F56" s="326">
        <f>'Carbon mineralization'!N54</f>
        <v>1</v>
      </c>
      <c r="G56" s="326">
        <f>'Terrestrial Enhanced Weathering'!L54</f>
        <v>2</v>
      </c>
      <c r="H56" s="326">
        <f>'Ocean Biomass CDR'!L54</f>
        <v>1</v>
      </c>
      <c r="I56" s="326">
        <f>'Terrestrial Biomass CDR'!M54</f>
        <v>1</v>
      </c>
      <c r="J56" s="326">
        <f>'Bioenergy + CCS'!N54</f>
        <v>2</v>
      </c>
      <c r="K56" s="448">
        <f t="shared" si="0"/>
        <v>1.25</v>
      </c>
      <c r="L56" s="325">
        <f t="shared" si="1"/>
        <v>1</v>
      </c>
      <c r="U56"/>
      <c r="V56"/>
      <c r="W56"/>
    </row>
    <row r="57" spans="2:23">
      <c r="B57" s="321" t="s">
        <v>156</v>
      </c>
      <c r="C57" s="326">
        <f>'Direct Air Capture'!N55</f>
        <v>1</v>
      </c>
      <c r="D57" s="324">
        <f>'Direct Ocean Capture'!P55</f>
        <v>1</v>
      </c>
      <c r="E57" s="326">
        <f>'Ocean Geochemical CDR'!M55</f>
        <v>1</v>
      </c>
      <c r="F57" s="326">
        <f>'Carbon mineralization'!N55</f>
        <v>1</v>
      </c>
      <c r="G57" s="326">
        <f>'Terrestrial Enhanced Weathering'!L55</f>
        <v>2</v>
      </c>
      <c r="H57" s="326">
        <f>'Ocean Biomass CDR'!L55</f>
        <v>1</v>
      </c>
      <c r="I57" s="326">
        <f>'Terrestrial Biomass CDR'!M55</f>
        <v>2</v>
      </c>
      <c r="J57" s="326">
        <f>'Bioenergy + CCS'!N55</f>
        <v>2</v>
      </c>
      <c r="K57" s="448">
        <f t="shared" si="0"/>
        <v>1.375</v>
      </c>
      <c r="L57" s="325">
        <f t="shared" si="1"/>
        <v>1</v>
      </c>
      <c r="U57"/>
      <c r="V57"/>
      <c r="W57"/>
    </row>
    <row r="58" spans="2:23">
      <c r="B58" s="321" t="s">
        <v>157</v>
      </c>
      <c r="C58" s="326">
        <f>'Direct Air Capture'!N56</f>
        <v>3</v>
      </c>
      <c r="D58" s="324">
        <f>'Direct Ocean Capture'!P56</f>
        <v>1</v>
      </c>
      <c r="E58" s="326">
        <f>'Ocean Geochemical CDR'!M56</f>
        <v>1</v>
      </c>
      <c r="F58" s="326">
        <f>'Carbon mineralization'!N56</f>
        <v>3</v>
      </c>
      <c r="G58" s="326">
        <f>'Terrestrial Enhanced Weathering'!L56</f>
        <v>2</v>
      </c>
      <c r="H58" s="326">
        <f>'Ocean Biomass CDR'!L56</f>
        <v>1</v>
      </c>
      <c r="I58" s="326">
        <f>'Terrestrial Biomass CDR'!M56</f>
        <v>1</v>
      </c>
      <c r="J58" s="326">
        <f>'Bioenergy + CCS'!N56</f>
        <v>2</v>
      </c>
      <c r="K58" s="448">
        <f t="shared" si="0"/>
        <v>1.75</v>
      </c>
      <c r="L58" s="325">
        <f t="shared" si="1"/>
        <v>2</v>
      </c>
      <c r="U58"/>
      <c r="V58"/>
      <c r="W58"/>
    </row>
    <row r="59" spans="2:23">
      <c r="U59"/>
      <c r="V59"/>
      <c r="W59"/>
    </row>
    <row r="60" spans="2:23">
      <c r="U60"/>
      <c r="V60"/>
      <c r="W60"/>
    </row>
    <row r="61" spans="2:23">
      <c r="U61"/>
      <c r="V61"/>
      <c r="W61"/>
    </row>
    <row r="62" spans="2:23">
      <c r="U62"/>
      <c r="V62"/>
      <c r="W62"/>
    </row>
    <row r="63" spans="2:23">
      <c r="U63"/>
      <c r="V63"/>
      <c r="W63"/>
    </row>
  </sheetData>
  <mergeCells count="1">
    <mergeCell ref="B4:L4"/>
  </mergeCells>
  <conditionalFormatting sqref="C9:L58">
    <cfRule type="colorScale" priority="30">
      <colorScale>
        <cfvo type="min"/>
        <cfvo type="max"/>
        <color rgb="FFFCFCFF"/>
        <color rgb="FF63BE7B"/>
      </colorScale>
    </cfRule>
  </conditionalFormatting>
  <conditionalFormatting sqref="K2:S2">
    <cfRule type="beginsWith" dxfId="5" priority="1" operator="beginsWith" text="Y">
      <formula>LEFT(K2,LEN("Y"))="Y"</formula>
    </cfRule>
  </conditionalFormatting>
  <conditionalFormatting sqref="L9:L58">
    <cfRule type="cellIs" dxfId="4" priority="6" operator="greaterThan">
      <formula>2</formula>
    </cfRule>
  </conditionalFormatting>
  <conditionalFormatting sqref="P9:P25">
    <cfRule type="colorScale" priority="29">
      <colorScale>
        <cfvo type="min"/>
        <cfvo type="max"/>
        <color rgb="FFFCFCFF"/>
        <color rgb="FF63BE7B"/>
      </colorScale>
    </cfRule>
  </conditionalFormatting>
  <conditionalFormatting sqref="S9:S16">
    <cfRule type="colorScale" priority="3">
      <colorScale>
        <cfvo type="min"/>
        <cfvo type="max"/>
        <color rgb="FFFCFCFF"/>
        <color rgb="FF63BE7B"/>
      </colorScale>
    </cfRule>
  </conditionalFormatting>
  <conditionalFormatting sqref="S9:S17">
    <cfRule type="colorScale" priority="2">
      <colorScale>
        <cfvo type="min"/>
        <cfvo type="max"/>
        <color rgb="FFFCFCFF"/>
        <color rgb="FF63BE7B"/>
      </colorScale>
    </cfRule>
  </conditionalFormatting>
  <dataValidations count="1">
    <dataValidation type="list" allowBlank="1" showInputMessage="1" showErrorMessage="1" sqref="P6:P7" xr:uid="{94FC826F-9646-AB43-BC25-DF8072542DF4}">
      <formula1>states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56499-7720-5048-BFAA-38041C9397AA}">
  <sheetPr>
    <tabColor rgb="FF0989B1"/>
  </sheetPr>
  <dimension ref="A1:XFC130"/>
  <sheetViews>
    <sheetView showGridLines="0" topLeftCell="A86" zoomScaleNormal="100" workbookViewId="0">
      <selection activeCell="D1" sqref="D1"/>
    </sheetView>
  </sheetViews>
  <sheetFormatPr defaultColWidth="0" defaultRowHeight="0" customHeight="1" zeroHeight="1" outlineLevelCol="1"/>
  <cols>
    <col min="1" max="1" width="10.85546875" style="6" customWidth="1"/>
    <col min="2" max="2" width="20.7109375" style="6" customWidth="1"/>
    <col min="3" max="3" width="28" style="6" customWidth="1"/>
    <col min="4" max="4" width="56.85546875" style="6" bestFit="1" customWidth="1"/>
    <col min="5" max="5" width="35" style="6" customWidth="1" outlineLevel="1"/>
    <col min="6" max="6" width="15.140625" style="6" customWidth="1" outlineLevel="1"/>
    <col min="7" max="7" width="33.7109375" style="6" customWidth="1" outlineLevel="1"/>
    <col min="8" max="8" width="35.42578125" style="6" customWidth="1" outlineLevel="1"/>
    <col min="9" max="9" width="25.85546875" style="6" customWidth="1" outlineLevel="1"/>
    <col min="10" max="17" width="14.28515625" style="6" hidden="1" customWidth="1" outlineLevel="1"/>
    <col min="18" max="18" width="16" style="6" hidden="1" customWidth="1" outlineLevel="1"/>
    <col min="19" max="19" width="10.42578125" style="6" customWidth="1"/>
    <col min="20" max="20" width="15.85546875" style="6" customWidth="1"/>
    <col min="21" max="16382" width="0" style="6" hidden="1"/>
    <col min="16383" max="16383" width="0" style="6" hidden="1" customWidth="1"/>
    <col min="16384" max="16384" width="15.28515625" style="6" hidden="1"/>
  </cols>
  <sheetData>
    <row r="1" spans="1:20" s="4" customFormat="1" ht="27" customHeight="1">
      <c r="C1" s="2" t="s">
        <v>0</v>
      </c>
      <c r="S1"/>
      <c r="T1"/>
    </row>
    <row r="2" spans="1:20" s="5" customFormat="1" ht="27" customHeight="1" thickBot="1">
      <c r="C2" s="3" t="s">
        <v>158</v>
      </c>
      <c r="S2"/>
      <c r="T2"/>
    </row>
    <row r="3" spans="1:20" ht="23.25">
      <c r="B3" s="7"/>
      <c r="D3" s="8"/>
    </row>
    <row r="4" spans="1:20" ht="26.1" customHeight="1" thickBot="1">
      <c r="A4" s="274" t="s">
        <v>159</v>
      </c>
      <c r="B4" s="274" t="s">
        <v>160</v>
      </c>
      <c r="C4" s="274" t="s">
        <v>12</v>
      </c>
      <c r="D4" s="274" t="s">
        <v>161</v>
      </c>
      <c r="E4" s="274" t="s">
        <v>162</v>
      </c>
      <c r="F4" s="274" t="s">
        <v>163</v>
      </c>
      <c r="G4" s="274" t="s">
        <v>164</v>
      </c>
      <c r="H4" s="274" t="s">
        <v>165</v>
      </c>
      <c r="I4" s="274" t="s">
        <v>166</v>
      </c>
      <c r="J4" s="274" t="s">
        <v>167</v>
      </c>
      <c r="K4" s="274" t="s">
        <v>168</v>
      </c>
      <c r="L4" s="274" t="s">
        <v>169</v>
      </c>
      <c r="M4" s="274" t="s">
        <v>170</v>
      </c>
      <c r="N4" s="274" t="s">
        <v>17</v>
      </c>
      <c r="O4" s="274" t="s">
        <v>171</v>
      </c>
      <c r="P4" s="274" t="s">
        <v>172</v>
      </c>
      <c r="Q4" s="274" t="s">
        <v>173</v>
      </c>
      <c r="R4" s="274" t="s">
        <v>174</v>
      </c>
      <c r="S4"/>
      <c r="T4"/>
    </row>
    <row r="5" spans="1:20" ht="15">
      <c r="A5" s="61">
        <v>1.1000000000000001</v>
      </c>
      <c r="B5" s="61" t="s">
        <v>175</v>
      </c>
      <c r="C5" s="61" t="s">
        <v>23</v>
      </c>
      <c r="D5" s="61" t="s">
        <v>176</v>
      </c>
      <c r="E5" s="61" t="s">
        <v>177</v>
      </c>
      <c r="F5" s="61">
        <v>2023</v>
      </c>
      <c r="G5" s="61" t="s">
        <v>178</v>
      </c>
      <c r="H5" s="273" t="s">
        <v>179</v>
      </c>
      <c r="I5" s="61" t="s">
        <v>180</v>
      </c>
      <c r="J5" s="61" t="s">
        <v>181</v>
      </c>
      <c r="K5" s="61"/>
      <c r="L5" s="61"/>
      <c r="M5" s="61"/>
      <c r="N5" s="61"/>
      <c r="O5" s="61"/>
      <c r="P5" s="61"/>
      <c r="Q5" s="61"/>
      <c r="R5" s="61"/>
      <c r="S5"/>
      <c r="T5"/>
    </row>
    <row r="6" spans="1:20" ht="15">
      <c r="A6" s="44">
        <v>1.2</v>
      </c>
      <c r="B6" s="105" t="s">
        <v>175</v>
      </c>
      <c r="C6" s="61" t="s">
        <v>23</v>
      </c>
      <c r="D6" s="270" t="s">
        <v>182</v>
      </c>
      <c r="E6" s="44" t="s">
        <v>177</v>
      </c>
      <c r="F6" s="270">
        <v>2023</v>
      </c>
      <c r="G6" s="270" t="s">
        <v>183</v>
      </c>
      <c r="H6" s="44" t="s">
        <v>179</v>
      </c>
      <c r="I6" s="270" t="s">
        <v>180</v>
      </c>
      <c r="J6" s="44" t="s">
        <v>181</v>
      </c>
      <c r="K6" s="44"/>
      <c r="L6" s="44"/>
      <c r="M6" s="44"/>
      <c r="N6" s="44"/>
      <c r="O6" s="44"/>
      <c r="P6" s="44"/>
      <c r="Q6" s="44"/>
      <c r="R6" s="44"/>
      <c r="S6"/>
      <c r="T6"/>
    </row>
    <row r="7" spans="1:20" ht="15">
      <c r="A7" s="44">
        <v>1.3</v>
      </c>
      <c r="B7" s="105" t="s">
        <v>175</v>
      </c>
      <c r="C7" s="61" t="s">
        <v>23</v>
      </c>
      <c r="D7" s="270" t="s">
        <v>184</v>
      </c>
      <c r="E7" s="44" t="s">
        <v>185</v>
      </c>
      <c r="F7" s="270">
        <v>2024</v>
      </c>
      <c r="G7" s="270" t="s">
        <v>186</v>
      </c>
      <c r="H7" s="44" t="s">
        <v>185</v>
      </c>
      <c r="I7" s="270" t="s">
        <v>180</v>
      </c>
      <c r="J7" s="44"/>
      <c r="K7" s="44"/>
      <c r="L7" s="44"/>
      <c r="M7" s="44"/>
      <c r="N7" s="44"/>
      <c r="O7" s="44"/>
      <c r="P7" s="44"/>
      <c r="Q7" s="44"/>
      <c r="R7" s="44"/>
      <c r="S7"/>
      <c r="T7"/>
    </row>
    <row r="8" spans="1:20" ht="15">
      <c r="A8" s="44">
        <v>1.4</v>
      </c>
      <c r="B8" s="105" t="s">
        <v>175</v>
      </c>
      <c r="C8" s="61" t="s">
        <v>23</v>
      </c>
      <c r="D8" s="270" t="s">
        <v>187</v>
      </c>
      <c r="E8" s="270" t="s">
        <v>188</v>
      </c>
      <c r="F8" s="270">
        <v>2023</v>
      </c>
      <c r="G8" s="270" t="s">
        <v>189</v>
      </c>
      <c r="H8" s="270" t="s">
        <v>190</v>
      </c>
      <c r="I8" s="270" t="s">
        <v>180</v>
      </c>
      <c r="J8" s="44" t="s">
        <v>181</v>
      </c>
      <c r="K8" s="44"/>
      <c r="L8" s="44"/>
      <c r="M8" s="44"/>
      <c r="N8" s="44"/>
      <c r="O8" s="44"/>
      <c r="P8" s="44"/>
      <c r="Q8" s="44"/>
      <c r="R8" s="44"/>
      <c r="S8"/>
      <c r="T8"/>
    </row>
    <row r="9" spans="1:20" ht="15" thickBot="1">
      <c r="A9" s="275">
        <v>1.5</v>
      </c>
      <c r="B9" s="276" t="s">
        <v>175</v>
      </c>
      <c r="C9" s="275" t="s">
        <v>23</v>
      </c>
      <c r="D9" s="278" t="s">
        <v>191</v>
      </c>
      <c r="E9" s="278" t="s">
        <v>185</v>
      </c>
      <c r="F9" s="278">
        <v>2024</v>
      </c>
      <c r="G9" s="278" t="s">
        <v>186</v>
      </c>
      <c r="H9" s="278" t="s">
        <v>185</v>
      </c>
      <c r="I9" s="278" t="s">
        <v>180</v>
      </c>
      <c r="J9" s="44" t="s">
        <v>181</v>
      </c>
      <c r="K9" s="44"/>
      <c r="L9" s="44"/>
      <c r="M9" s="44"/>
      <c r="N9" s="44"/>
      <c r="O9" s="44"/>
      <c r="P9" s="44"/>
      <c r="Q9" s="44"/>
      <c r="R9" s="44"/>
      <c r="S9"/>
      <c r="T9"/>
    </row>
    <row r="10" spans="1:20" ht="15">
      <c r="A10" s="61">
        <v>2.1</v>
      </c>
      <c r="B10" s="259" t="s">
        <v>175</v>
      </c>
      <c r="C10" s="259" t="s">
        <v>25</v>
      </c>
      <c r="D10" s="271" t="s">
        <v>192</v>
      </c>
      <c r="E10" s="271" t="s">
        <v>185</v>
      </c>
      <c r="F10" s="271">
        <v>2024</v>
      </c>
      <c r="G10" s="271" t="s">
        <v>186</v>
      </c>
      <c r="H10" s="271" t="s">
        <v>185</v>
      </c>
      <c r="I10" s="271" t="s">
        <v>180</v>
      </c>
      <c r="J10" s="61" t="s">
        <v>181</v>
      </c>
      <c r="K10" s="61"/>
      <c r="L10" s="61"/>
      <c r="M10" s="61"/>
      <c r="N10" s="61"/>
      <c r="O10" s="61"/>
      <c r="P10" s="61"/>
      <c r="Q10" s="61"/>
      <c r="R10" s="61"/>
      <c r="S10"/>
      <c r="T10"/>
    </row>
    <row r="11" spans="1:20" ht="15">
      <c r="A11" s="44">
        <v>2.2000000000000002</v>
      </c>
      <c r="B11" s="105" t="s">
        <v>175</v>
      </c>
      <c r="C11" s="105" t="s">
        <v>25</v>
      </c>
      <c r="D11" s="270" t="s">
        <v>193</v>
      </c>
      <c r="E11" s="270" t="s">
        <v>185</v>
      </c>
      <c r="F11" s="270">
        <v>2024</v>
      </c>
      <c r="G11" s="270" t="s">
        <v>186</v>
      </c>
      <c r="H11" s="270" t="s">
        <v>185</v>
      </c>
      <c r="I11" s="270" t="s">
        <v>180</v>
      </c>
      <c r="J11" s="44" t="s">
        <v>181</v>
      </c>
      <c r="K11" s="44"/>
      <c r="L11" s="44"/>
      <c r="M11" s="44"/>
      <c r="N11" s="44"/>
      <c r="O11" s="44"/>
      <c r="P11" s="44"/>
      <c r="Q11" s="44"/>
      <c r="R11" s="44"/>
      <c r="S11"/>
      <c r="T11"/>
    </row>
    <row r="12" spans="1:20" ht="15">
      <c r="A12" s="44">
        <v>2.2999999999999998</v>
      </c>
      <c r="B12" s="105" t="s">
        <v>175</v>
      </c>
      <c r="C12" s="105" t="s">
        <v>25</v>
      </c>
      <c r="D12" s="270" t="s">
        <v>194</v>
      </c>
      <c r="E12" s="270" t="s">
        <v>185</v>
      </c>
      <c r="F12" s="270">
        <v>2024</v>
      </c>
      <c r="G12" s="270" t="s">
        <v>186</v>
      </c>
      <c r="H12" s="270" t="s">
        <v>185</v>
      </c>
      <c r="I12" s="270" t="s">
        <v>180</v>
      </c>
      <c r="J12" s="44" t="s">
        <v>181</v>
      </c>
      <c r="K12" s="44"/>
      <c r="L12" s="44"/>
      <c r="M12" s="44"/>
      <c r="N12" s="44"/>
      <c r="O12" s="44"/>
      <c r="P12" s="44"/>
      <c r="Q12" s="44"/>
      <c r="R12" s="44"/>
      <c r="S12"/>
      <c r="T12"/>
    </row>
    <row r="13" spans="1:20" ht="15">
      <c r="A13" s="44">
        <v>2.4</v>
      </c>
      <c r="B13" s="105" t="s">
        <v>175</v>
      </c>
      <c r="C13" s="105" t="s">
        <v>25</v>
      </c>
      <c r="D13" s="270" t="s">
        <v>195</v>
      </c>
      <c r="E13" s="270" t="s">
        <v>185</v>
      </c>
      <c r="F13" s="270">
        <v>2024</v>
      </c>
      <c r="G13" s="270" t="s">
        <v>186</v>
      </c>
      <c r="H13" s="270" t="s">
        <v>185</v>
      </c>
      <c r="I13" s="270" t="s">
        <v>180</v>
      </c>
      <c r="J13" s="44" t="s">
        <v>181</v>
      </c>
      <c r="K13" s="44"/>
      <c r="L13" s="44"/>
      <c r="M13" s="44"/>
      <c r="N13" s="44"/>
      <c r="O13" s="44"/>
      <c r="P13" s="44"/>
      <c r="Q13" s="44"/>
      <c r="R13" s="44"/>
      <c r="S13"/>
      <c r="T13"/>
    </row>
    <row r="14" spans="1:20" ht="15">
      <c r="A14" s="44">
        <v>2.5</v>
      </c>
      <c r="B14" s="105" t="s">
        <v>175</v>
      </c>
      <c r="C14" s="105" t="s">
        <v>25</v>
      </c>
      <c r="D14" s="270" t="s">
        <v>196</v>
      </c>
      <c r="E14" s="270" t="s">
        <v>185</v>
      </c>
      <c r="F14" s="270">
        <v>2024</v>
      </c>
      <c r="G14" s="270" t="s">
        <v>186</v>
      </c>
      <c r="H14" s="270" t="s">
        <v>185</v>
      </c>
      <c r="I14" s="270" t="s">
        <v>180</v>
      </c>
      <c r="J14" s="44" t="s">
        <v>181</v>
      </c>
      <c r="K14" s="44"/>
      <c r="L14" s="44"/>
      <c r="M14" s="44"/>
      <c r="N14" s="44"/>
      <c r="O14" s="44"/>
      <c r="P14" s="44"/>
      <c r="Q14" s="44"/>
      <c r="R14" s="44"/>
      <c r="S14"/>
      <c r="T14"/>
    </row>
    <row r="15" spans="1:20" ht="0" hidden="1" customHeight="1">
      <c r="A15" s="44">
        <v>2.4</v>
      </c>
    </row>
    <row r="16" spans="1:20" ht="15">
      <c r="A16" s="44">
        <v>2.6</v>
      </c>
      <c r="B16" s="105" t="s">
        <v>175</v>
      </c>
      <c r="C16" s="105" t="s">
        <v>25</v>
      </c>
      <c r="D16" s="270" t="s">
        <v>197</v>
      </c>
      <c r="E16" s="270" t="s">
        <v>185</v>
      </c>
      <c r="F16" s="270">
        <v>2024</v>
      </c>
      <c r="G16" s="270" t="s">
        <v>198</v>
      </c>
      <c r="H16" s="270" t="s">
        <v>185</v>
      </c>
      <c r="I16" s="270" t="s">
        <v>180</v>
      </c>
      <c r="J16" s="44" t="s">
        <v>181</v>
      </c>
      <c r="K16" s="44"/>
      <c r="L16" s="44"/>
      <c r="M16" s="44"/>
      <c r="N16" s="44"/>
      <c r="O16" s="44"/>
      <c r="P16" s="44"/>
      <c r="Q16" s="44"/>
      <c r="R16" s="44"/>
      <c r="S16"/>
      <c r="T16"/>
    </row>
    <row r="17" spans="1:20" s="247" customFormat="1" ht="15" thickBot="1">
      <c r="A17" s="275">
        <v>2.7</v>
      </c>
      <c r="B17" s="276" t="s">
        <v>175</v>
      </c>
      <c r="C17" s="276" t="s">
        <v>25</v>
      </c>
      <c r="D17" s="278" t="s">
        <v>199</v>
      </c>
      <c r="E17" s="278" t="s">
        <v>185</v>
      </c>
      <c r="F17" s="278">
        <v>2024</v>
      </c>
      <c r="G17" s="278" t="s">
        <v>198</v>
      </c>
      <c r="H17" s="278" t="s">
        <v>185</v>
      </c>
      <c r="I17" s="278" t="s">
        <v>180</v>
      </c>
      <c r="J17" s="275" t="s">
        <v>181</v>
      </c>
      <c r="K17" s="275"/>
      <c r="L17" s="275"/>
      <c r="M17" s="275"/>
      <c r="N17" s="275"/>
      <c r="O17" s="275"/>
      <c r="P17" s="275"/>
      <c r="Q17" s="275"/>
      <c r="R17" s="275"/>
      <c r="S17"/>
      <c r="T17"/>
    </row>
    <row r="18" spans="1:20" ht="15">
      <c r="A18" s="498">
        <v>3.1</v>
      </c>
      <c r="B18" s="499" t="s">
        <v>175</v>
      </c>
      <c r="C18" s="499" t="s">
        <v>26</v>
      </c>
      <c r="D18" s="271" t="s">
        <v>200</v>
      </c>
      <c r="E18" s="271" t="s">
        <v>185</v>
      </c>
      <c r="F18" s="271">
        <v>2024</v>
      </c>
      <c r="G18" s="500" t="s">
        <v>201</v>
      </c>
      <c r="H18" s="271" t="s">
        <v>185</v>
      </c>
      <c r="I18" s="271" t="s">
        <v>180</v>
      </c>
      <c r="J18" s="61" t="s">
        <v>181</v>
      </c>
      <c r="K18" s="61"/>
      <c r="L18" s="61"/>
      <c r="M18" s="61"/>
      <c r="N18" s="61"/>
      <c r="O18" s="61"/>
      <c r="P18" s="61"/>
      <c r="Q18" s="61"/>
      <c r="R18" s="61"/>
      <c r="S18"/>
      <c r="T18"/>
    </row>
    <row r="19" spans="1:20" ht="15">
      <c r="A19" s="495"/>
      <c r="B19" s="496"/>
      <c r="C19" s="496"/>
      <c r="D19" s="271" t="s">
        <v>202</v>
      </c>
      <c r="E19" s="271" t="s">
        <v>185</v>
      </c>
      <c r="F19" s="271">
        <v>2024</v>
      </c>
      <c r="G19" s="501"/>
      <c r="H19" s="271" t="s">
        <v>185</v>
      </c>
      <c r="I19" s="271" t="s">
        <v>180</v>
      </c>
      <c r="J19" s="61"/>
      <c r="K19" s="61"/>
      <c r="L19" s="61"/>
      <c r="M19" s="61"/>
      <c r="N19" s="61"/>
      <c r="O19" s="61"/>
      <c r="P19" s="61"/>
      <c r="Q19" s="61"/>
      <c r="R19" s="61"/>
      <c r="S19"/>
      <c r="T19"/>
    </row>
    <row r="20" spans="1:20" ht="15">
      <c r="A20" s="44">
        <v>3.2</v>
      </c>
      <c r="B20" s="105" t="s">
        <v>175</v>
      </c>
      <c r="C20" s="105" t="s">
        <v>26</v>
      </c>
      <c r="D20" s="270" t="s">
        <v>203</v>
      </c>
      <c r="E20" s="270" t="s">
        <v>204</v>
      </c>
      <c r="F20" s="270">
        <v>2021</v>
      </c>
      <c r="G20" s="270" t="s">
        <v>205</v>
      </c>
      <c r="H20" s="104" t="s">
        <v>206</v>
      </c>
      <c r="I20" s="270" t="s">
        <v>180</v>
      </c>
      <c r="J20" s="44" t="s">
        <v>181</v>
      </c>
      <c r="K20" s="44"/>
      <c r="L20" s="44"/>
      <c r="M20" s="44"/>
      <c r="N20" s="44"/>
      <c r="O20" s="44"/>
      <c r="P20" s="44"/>
      <c r="Q20" s="44"/>
      <c r="R20" s="44"/>
      <c r="S20"/>
      <c r="T20"/>
    </row>
    <row r="21" spans="1:20" ht="15">
      <c r="A21" s="489">
        <v>3.3</v>
      </c>
      <c r="B21" s="491" t="s">
        <v>175</v>
      </c>
      <c r="C21" s="491" t="s">
        <v>26</v>
      </c>
      <c r="D21" s="270" t="s">
        <v>207</v>
      </c>
      <c r="E21" s="270" t="s">
        <v>204</v>
      </c>
      <c r="F21" s="270">
        <v>2022</v>
      </c>
      <c r="G21" s="508" t="s">
        <v>208</v>
      </c>
      <c r="H21" s="104" t="s">
        <v>206</v>
      </c>
      <c r="I21" s="270" t="s">
        <v>180</v>
      </c>
      <c r="J21" s="44" t="s">
        <v>181</v>
      </c>
      <c r="K21" s="44"/>
      <c r="L21" s="44"/>
      <c r="M21" s="44"/>
      <c r="N21" s="44"/>
      <c r="O21" s="44"/>
      <c r="P21" s="44"/>
      <c r="Q21" s="44"/>
      <c r="R21" s="44"/>
      <c r="S21"/>
      <c r="T21"/>
    </row>
    <row r="22" spans="1:20" s="247" customFormat="1" ht="15" thickBot="1">
      <c r="A22" s="510"/>
      <c r="B22" s="492"/>
      <c r="C22" s="492"/>
      <c r="D22" s="278" t="s">
        <v>209</v>
      </c>
      <c r="E22" s="270" t="s">
        <v>204</v>
      </c>
      <c r="F22" s="278">
        <v>2023</v>
      </c>
      <c r="G22" s="509"/>
      <c r="H22" s="397" t="s">
        <v>206</v>
      </c>
      <c r="I22" s="270" t="s">
        <v>180</v>
      </c>
      <c r="J22" s="376" t="s">
        <v>181</v>
      </c>
      <c r="K22" s="275"/>
      <c r="L22" s="275"/>
      <c r="M22" s="275"/>
      <c r="N22" s="275"/>
      <c r="O22" s="275"/>
      <c r="P22" s="275"/>
      <c r="Q22" s="275"/>
      <c r="R22" s="275"/>
      <c r="S22"/>
      <c r="T22"/>
    </row>
    <row r="23" spans="1:20" ht="15">
      <c r="A23" s="61">
        <v>4.0999999999999996</v>
      </c>
      <c r="B23" s="259" t="s">
        <v>210</v>
      </c>
      <c r="C23" s="272" t="s">
        <v>90</v>
      </c>
      <c r="D23" s="271" t="s">
        <v>211</v>
      </c>
      <c r="E23" s="271" t="s">
        <v>212</v>
      </c>
      <c r="F23" s="271">
        <v>2024</v>
      </c>
      <c r="G23" s="271" t="s">
        <v>213</v>
      </c>
      <c r="H23" s="273" t="s">
        <v>214</v>
      </c>
      <c r="I23" s="271" t="s">
        <v>180</v>
      </c>
      <c r="J23" s="61" t="s">
        <v>180</v>
      </c>
      <c r="K23" s="61"/>
      <c r="L23" s="61"/>
      <c r="M23" s="61" t="s">
        <v>181</v>
      </c>
      <c r="N23" s="61"/>
      <c r="O23" s="61"/>
      <c r="P23" s="61"/>
      <c r="Q23" s="61" t="s">
        <v>181</v>
      </c>
      <c r="R23" s="61" t="s">
        <v>181</v>
      </c>
      <c r="S23"/>
      <c r="T23"/>
    </row>
    <row r="24" spans="1:20" ht="15">
      <c r="A24" s="44">
        <v>4.2</v>
      </c>
      <c r="B24" s="105" t="s">
        <v>210</v>
      </c>
      <c r="C24" s="40" t="s">
        <v>90</v>
      </c>
      <c r="D24" s="270" t="s">
        <v>215</v>
      </c>
      <c r="E24" s="270" t="s">
        <v>212</v>
      </c>
      <c r="F24" s="270">
        <v>2024</v>
      </c>
      <c r="G24" s="270" t="s">
        <v>186</v>
      </c>
      <c r="H24" s="104" t="s">
        <v>214</v>
      </c>
      <c r="I24" s="270" t="s">
        <v>180</v>
      </c>
      <c r="J24" s="44" t="s">
        <v>180</v>
      </c>
      <c r="K24" s="44"/>
      <c r="L24" s="44"/>
      <c r="M24" s="44" t="s">
        <v>181</v>
      </c>
      <c r="N24" s="44"/>
      <c r="O24" s="44"/>
      <c r="P24" s="44"/>
      <c r="Q24" s="44" t="s">
        <v>181</v>
      </c>
      <c r="R24" s="44" t="s">
        <v>181</v>
      </c>
      <c r="S24"/>
      <c r="T24"/>
    </row>
    <row r="25" spans="1:20" ht="15">
      <c r="A25" s="44">
        <v>4.3</v>
      </c>
      <c r="B25" s="105" t="s">
        <v>210</v>
      </c>
      <c r="C25" s="40" t="s">
        <v>90</v>
      </c>
      <c r="D25" s="270" t="s">
        <v>216</v>
      </c>
      <c r="E25" s="270" t="s">
        <v>212</v>
      </c>
      <c r="F25" s="270">
        <v>2024</v>
      </c>
      <c r="G25" s="270" t="s">
        <v>186</v>
      </c>
      <c r="H25" s="104" t="s">
        <v>214</v>
      </c>
      <c r="I25" s="270" t="s">
        <v>180</v>
      </c>
      <c r="J25" s="44" t="s">
        <v>180</v>
      </c>
      <c r="K25" s="44"/>
      <c r="L25" s="44"/>
      <c r="M25" s="44" t="s">
        <v>181</v>
      </c>
      <c r="N25" s="44"/>
      <c r="O25" s="44"/>
      <c r="P25" s="44"/>
      <c r="Q25" s="44" t="s">
        <v>181</v>
      </c>
      <c r="R25" s="44" t="s">
        <v>181</v>
      </c>
      <c r="S25"/>
      <c r="T25"/>
    </row>
    <row r="26" spans="1:20" ht="15">
      <c r="A26" s="44">
        <v>4.4000000000000004</v>
      </c>
      <c r="B26" s="105" t="s">
        <v>210</v>
      </c>
      <c r="C26" s="40" t="s">
        <v>90</v>
      </c>
      <c r="D26" s="270" t="s">
        <v>217</v>
      </c>
      <c r="E26" s="270" t="s">
        <v>218</v>
      </c>
      <c r="F26" s="270">
        <v>2024</v>
      </c>
      <c r="G26" s="270" t="s">
        <v>186</v>
      </c>
      <c r="H26" s="104" t="s">
        <v>214</v>
      </c>
      <c r="I26" s="104" t="s">
        <v>180</v>
      </c>
      <c r="J26" s="44" t="s">
        <v>180</v>
      </c>
      <c r="K26" s="44"/>
      <c r="L26" s="44"/>
      <c r="M26" s="44" t="s">
        <v>181</v>
      </c>
      <c r="N26" s="44"/>
      <c r="O26" s="44"/>
      <c r="P26" s="44"/>
      <c r="Q26" s="44" t="s">
        <v>181</v>
      </c>
      <c r="R26" s="44" t="s">
        <v>181</v>
      </c>
      <c r="S26"/>
      <c r="T26"/>
    </row>
    <row r="27" spans="1:20" ht="15">
      <c r="A27" s="44">
        <v>4.5</v>
      </c>
      <c r="B27" s="105" t="s">
        <v>210</v>
      </c>
      <c r="C27" s="40" t="s">
        <v>90</v>
      </c>
      <c r="D27" s="270" t="s">
        <v>219</v>
      </c>
      <c r="E27" s="270" t="s">
        <v>212</v>
      </c>
      <c r="F27" s="270">
        <v>2024</v>
      </c>
      <c r="G27" s="270" t="s">
        <v>186</v>
      </c>
      <c r="H27" s="104" t="s">
        <v>214</v>
      </c>
      <c r="I27" s="270" t="s">
        <v>180</v>
      </c>
      <c r="J27" s="44" t="s">
        <v>180</v>
      </c>
      <c r="K27" s="44"/>
      <c r="L27" s="44"/>
      <c r="M27" s="44" t="s">
        <v>181</v>
      </c>
      <c r="N27" s="44"/>
      <c r="O27" s="44"/>
      <c r="P27" s="44"/>
      <c r="Q27" s="44" t="s">
        <v>181</v>
      </c>
      <c r="R27" s="44" t="s">
        <v>181</v>
      </c>
      <c r="S27"/>
      <c r="T27"/>
    </row>
    <row r="28" spans="1:20" ht="15">
      <c r="A28" s="44">
        <v>4.5999999999999996</v>
      </c>
      <c r="B28" s="105" t="s">
        <v>210</v>
      </c>
      <c r="C28" s="40" t="s">
        <v>90</v>
      </c>
      <c r="D28" s="270" t="s">
        <v>220</v>
      </c>
      <c r="E28" s="270" t="s">
        <v>221</v>
      </c>
      <c r="F28" s="270">
        <v>2024</v>
      </c>
      <c r="G28" s="270" t="s">
        <v>222</v>
      </c>
      <c r="H28" s="104" t="s">
        <v>223</v>
      </c>
      <c r="I28" s="270" t="s">
        <v>180</v>
      </c>
      <c r="J28" s="44" t="s">
        <v>180</v>
      </c>
      <c r="K28" s="44"/>
      <c r="L28" s="44"/>
      <c r="M28" s="44" t="s">
        <v>181</v>
      </c>
      <c r="N28" s="44"/>
      <c r="O28" s="44"/>
      <c r="P28" s="44"/>
      <c r="Q28" s="44" t="s">
        <v>181</v>
      </c>
      <c r="R28" s="44" t="s">
        <v>181</v>
      </c>
      <c r="S28"/>
      <c r="T28"/>
    </row>
    <row r="29" spans="1:20" ht="15">
      <c r="A29" s="44">
        <v>4.7</v>
      </c>
      <c r="B29" s="105" t="s">
        <v>210</v>
      </c>
      <c r="C29" s="40" t="s">
        <v>90</v>
      </c>
      <c r="D29" s="270" t="s">
        <v>224</v>
      </c>
      <c r="E29" s="270" t="s">
        <v>225</v>
      </c>
      <c r="F29" s="270">
        <v>2024</v>
      </c>
      <c r="G29" s="270" t="s">
        <v>226</v>
      </c>
      <c r="H29" s="104" t="s">
        <v>227</v>
      </c>
      <c r="I29" s="270" t="s">
        <v>180</v>
      </c>
      <c r="J29" s="44" t="s">
        <v>180</v>
      </c>
      <c r="K29" s="44"/>
      <c r="L29" s="44"/>
      <c r="M29" s="44" t="s">
        <v>181</v>
      </c>
      <c r="N29" s="44"/>
      <c r="O29" s="44"/>
      <c r="P29" s="44"/>
      <c r="Q29" s="44" t="s">
        <v>181</v>
      </c>
      <c r="R29" s="44" t="s">
        <v>181</v>
      </c>
      <c r="S29"/>
      <c r="T29"/>
    </row>
    <row r="30" spans="1:20" ht="15">
      <c r="A30" s="44">
        <v>4.8</v>
      </c>
      <c r="B30" s="105" t="s">
        <v>210</v>
      </c>
      <c r="C30" s="40" t="s">
        <v>90</v>
      </c>
      <c r="D30" s="270" t="s">
        <v>228</v>
      </c>
      <c r="E30" s="270" t="s">
        <v>229</v>
      </c>
      <c r="F30" s="270" t="s">
        <v>230</v>
      </c>
      <c r="G30" s="270" t="s">
        <v>186</v>
      </c>
      <c r="H30" s="104" t="s">
        <v>231</v>
      </c>
      <c r="I30" s="270" t="s">
        <v>180</v>
      </c>
      <c r="J30" s="44" t="s">
        <v>180</v>
      </c>
      <c r="K30" s="44"/>
      <c r="L30" s="44"/>
      <c r="M30" s="44" t="s">
        <v>181</v>
      </c>
      <c r="N30" s="44"/>
      <c r="O30" s="44"/>
      <c r="P30" s="44"/>
      <c r="Q30" s="44" t="s">
        <v>181</v>
      </c>
      <c r="R30" s="44" t="s">
        <v>181</v>
      </c>
      <c r="S30"/>
      <c r="T30"/>
    </row>
    <row r="31" spans="1:20" s="247" customFormat="1" ht="15" thickBot="1">
      <c r="A31" s="275">
        <v>4.9000000000000004</v>
      </c>
      <c r="B31" s="276" t="s">
        <v>210</v>
      </c>
      <c r="C31" s="279" t="s">
        <v>90</v>
      </c>
      <c r="D31" s="278" t="s">
        <v>232</v>
      </c>
      <c r="E31" s="278" t="s">
        <v>229</v>
      </c>
      <c r="F31" s="278" t="s">
        <v>230</v>
      </c>
      <c r="G31" s="278" t="s">
        <v>186</v>
      </c>
      <c r="H31" s="280" t="s">
        <v>231</v>
      </c>
      <c r="I31" s="278" t="s">
        <v>180</v>
      </c>
      <c r="J31" s="275" t="s">
        <v>180</v>
      </c>
      <c r="K31" s="275"/>
      <c r="L31" s="275"/>
      <c r="M31" s="275" t="s">
        <v>181</v>
      </c>
      <c r="N31" s="275"/>
      <c r="O31" s="275"/>
      <c r="P31" s="275"/>
      <c r="Q31" s="275" t="s">
        <v>181</v>
      </c>
      <c r="R31" s="275" t="s">
        <v>181</v>
      </c>
      <c r="S31"/>
      <c r="T31"/>
    </row>
    <row r="32" spans="1:20" ht="15">
      <c r="A32" s="281">
        <v>5.0999999999999996</v>
      </c>
      <c r="B32" s="282" t="s">
        <v>210</v>
      </c>
      <c r="C32" s="282" t="s">
        <v>28</v>
      </c>
      <c r="D32" s="283" t="s">
        <v>233</v>
      </c>
      <c r="E32" s="283" t="s">
        <v>221</v>
      </c>
      <c r="F32" s="283">
        <v>2024</v>
      </c>
      <c r="G32" s="283" t="s">
        <v>186</v>
      </c>
      <c r="H32" s="398" t="s">
        <v>223</v>
      </c>
      <c r="I32" s="283" t="s">
        <v>180</v>
      </c>
      <c r="J32" s="281" t="s">
        <v>180</v>
      </c>
      <c r="K32" s="281" t="s">
        <v>181</v>
      </c>
      <c r="L32" s="281"/>
      <c r="M32" s="281"/>
      <c r="N32" s="281"/>
      <c r="O32" s="281"/>
      <c r="P32" s="281"/>
      <c r="Q32" s="281"/>
      <c r="R32" s="281"/>
      <c r="S32"/>
      <c r="T32"/>
    </row>
    <row r="33" spans="1:20" s="288" customFormat="1" ht="15" thickBot="1">
      <c r="A33" s="285">
        <v>5.2</v>
      </c>
      <c r="B33" s="286" t="s">
        <v>210</v>
      </c>
      <c r="C33" s="286" t="s">
        <v>28</v>
      </c>
      <c r="D33" s="287" t="s">
        <v>234</v>
      </c>
      <c r="E33" s="287" t="s">
        <v>221</v>
      </c>
      <c r="F33" s="287">
        <v>2024</v>
      </c>
      <c r="G33" s="287" t="s">
        <v>186</v>
      </c>
      <c r="H33" s="399" t="s">
        <v>223</v>
      </c>
      <c r="I33" s="287" t="s">
        <v>180</v>
      </c>
      <c r="J33" s="285" t="s">
        <v>180</v>
      </c>
      <c r="K33" s="285" t="s">
        <v>181</v>
      </c>
      <c r="L33" s="285"/>
      <c r="M33" s="285"/>
      <c r="N33" s="285"/>
      <c r="O33" s="285"/>
      <c r="P33" s="285"/>
      <c r="Q33" s="285"/>
      <c r="R33" s="285"/>
      <c r="S33"/>
      <c r="T33"/>
    </row>
    <row r="34" spans="1:20" s="367" customFormat="1" ht="15">
      <c r="A34" s="502">
        <v>6.1</v>
      </c>
      <c r="B34" s="504" t="s">
        <v>235</v>
      </c>
      <c r="C34" s="504" t="s">
        <v>236</v>
      </c>
      <c r="D34" s="284" t="s">
        <v>237</v>
      </c>
      <c r="E34" s="284" t="s">
        <v>238</v>
      </c>
      <c r="F34" s="284">
        <v>2021</v>
      </c>
      <c r="G34" s="284" t="s">
        <v>239</v>
      </c>
      <c r="H34" s="400" t="s">
        <v>240</v>
      </c>
      <c r="I34" s="284"/>
      <c r="J34" s="377"/>
      <c r="K34" s="377"/>
      <c r="L34" s="377"/>
      <c r="M34" s="377"/>
      <c r="N34" s="377"/>
      <c r="O34" s="377"/>
      <c r="P34" s="377"/>
      <c r="Q34" s="377"/>
      <c r="R34" s="377"/>
      <c r="S34"/>
      <c r="T34"/>
    </row>
    <row r="35" spans="1:20" s="367" customFormat="1" ht="15">
      <c r="A35" s="503"/>
      <c r="B35" s="505"/>
      <c r="C35" s="505"/>
      <c r="D35" s="284" t="s">
        <v>241</v>
      </c>
      <c r="E35" s="284" t="s">
        <v>238</v>
      </c>
      <c r="F35" s="284">
        <v>2021</v>
      </c>
      <c r="G35" s="284" t="s">
        <v>242</v>
      </c>
      <c r="H35" s="400" t="s">
        <v>240</v>
      </c>
      <c r="I35" s="284"/>
      <c r="J35" s="377"/>
      <c r="K35" s="377"/>
      <c r="L35" s="377"/>
      <c r="M35" s="377"/>
      <c r="N35" s="377"/>
      <c r="O35" s="377"/>
      <c r="P35" s="377"/>
      <c r="Q35" s="377"/>
      <c r="R35" s="377"/>
      <c r="S35"/>
      <c r="T35"/>
    </row>
    <row r="36" spans="1:20" s="367" customFormat="1" ht="15">
      <c r="A36" s="503"/>
      <c r="B36" s="505"/>
      <c r="C36" s="505"/>
      <c r="D36" s="284" t="s">
        <v>243</v>
      </c>
      <c r="E36" s="284" t="s">
        <v>238</v>
      </c>
      <c r="F36" s="284">
        <v>2021</v>
      </c>
      <c r="G36" s="284" t="s">
        <v>244</v>
      </c>
      <c r="H36" s="400" t="s">
        <v>240</v>
      </c>
      <c r="I36" s="284" t="s">
        <v>180</v>
      </c>
      <c r="J36" s="377"/>
      <c r="K36" s="377"/>
      <c r="L36" s="377"/>
      <c r="M36" s="377"/>
      <c r="N36" s="377"/>
      <c r="O36" s="377"/>
      <c r="P36" s="377"/>
      <c r="Q36" s="377"/>
      <c r="R36" s="377"/>
      <c r="S36"/>
      <c r="T36"/>
    </row>
    <row r="37" spans="1:20" s="367" customFormat="1" ht="15">
      <c r="A37" s="503"/>
      <c r="B37" s="505"/>
      <c r="C37" s="505"/>
      <c r="D37" s="284" t="s">
        <v>245</v>
      </c>
      <c r="E37" s="284" t="s">
        <v>246</v>
      </c>
      <c r="F37" s="284">
        <v>2010</v>
      </c>
      <c r="G37" s="284" t="s">
        <v>244</v>
      </c>
      <c r="H37" s="104" t="s">
        <v>247</v>
      </c>
      <c r="I37" s="284" t="s">
        <v>180</v>
      </c>
      <c r="J37" s="377"/>
      <c r="K37" s="377"/>
      <c r="L37" s="377"/>
      <c r="M37" s="377"/>
      <c r="N37" s="377"/>
      <c r="O37" s="377"/>
      <c r="P37" s="377"/>
      <c r="Q37" s="377"/>
      <c r="R37" s="377"/>
      <c r="S37"/>
      <c r="T37"/>
    </row>
    <row r="38" spans="1:20" ht="15">
      <c r="A38" s="495"/>
      <c r="B38" s="496"/>
      <c r="C38" s="496"/>
      <c r="D38" s="284" t="s">
        <v>248</v>
      </c>
      <c r="E38" s="270" t="s">
        <v>238</v>
      </c>
      <c r="F38" s="270">
        <v>2021</v>
      </c>
      <c r="G38" s="270" t="s">
        <v>249</v>
      </c>
      <c r="H38" s="378" t="s">
        <v>240</v>
      </c>
      <c r="I38" s="270" t="s">
        <v>180</v>
      </c>
      <c r="J38" s="44" t="s">
        <v>180</v>
      </c>
      <c r="K38" s="44" t="s">
        <v>181</v>
      </c>
      <c r="L38" s="44"/>
      <c r="M38" s="44"/>
      <c r="N38" s="44"/>
      <c r="O38" s="44" t="s">
        <v>181</v>
      </c>
      <c r="P38" s="44"/>
      <c r="Q38" s="44"/>
      <c r="R38" s="44"/>
      <c r="S38"/>
      <c r="T38"/>
    </row>
    <row r="39" spans="1:20" ht="15">
      <c r="A39" s="44">
        <v>6.2</v>
      </c>
      <c r="B39" s="105" t="s">
        <v>235</v>
      </c>
      <c r="C39" s="40" t="s">
        <v>236</v>
      </c>
      <c r="D39" s="270" t="s">
        <v>250</v>
      </c>
      <c r="E39" s="270" t="s">
        <v>238</v>
      </c>
      <c r="F39" s="270">
        <v>2022</v>
      </c>
      <c r="G39" s="270" t="s">
        <v>251</v>
      </c>
      <c r="H39" s="378" t="s">
        <v>252</v>
      </c>
      <c r="I39" s="270" t="s">
        <v>180</v>
      </c>
      <c r="J39" s="44" t="s">
        <v>180</v>
      </c>
      <c r="K39" s="44" t="s">
        <v>181</v>
      </c>
      <c r="L39" s="44"/>
      <c r="M39" s="44"/>
      <c r="N39" s="44"/>
      <c r="O39" s="44" t="s">
        <v>181</v>
      </c>
      <c r="P39" s="44"/>
      <c r="Q39" s="44"/>
      <c r="R39" s="44"/>
      <c r="S39"/>
      <c r="T39"/>
    </row>
    <row r="40" spans="1:20" s="247" customFormat="1" ht="15" thickBot="1">
      <c r="A40" s="275">
        <v>6.3</v>
      </c>
      <c r="B40" s="276" t="s">
        <v>235</v>
      </c>
      <c r="C40" s="279" t="s">
        <v>236</v>
      </c>
      <c r="D40" s="278" t="s">
        <v>253</v>
      </c>
      <c r="E40" s="278" t="s">
        <v>254</v>
      </c>
      <c r="F40" s="278">
        <v>2019</v>
      </c>
      <c r="G40" s="278" t="s">
        <v>255</v>
      </c>
      <c r="H40" s="280" t="s">
        <v>256</v>
      </c>
      <c r="I40" s="278" t="s">
        <v>180</v>
      </c>
      <c r="J40" s="275" t="s">
        <v>180</v>
      </c>
      <c r="K40" s="277" t="s">
        <v>257</v>
      </c>
      <c r="L40" s="275"/>
      <c r="M40" s="275"/>
      <c r="N40" s="275"/>
      <c r="O40" s="275" t="s">
        <v>181</v>
      </c>
      <c r="P40" s="275"/>
      <c r="Q40" s="275"/>
      <c r="R40" s="275"/>
      <c r="S40"/>
      <c r="T40"/>
    </row>
    <row r="41" spans="1:20" ht="15">
      <c r="A41" s="44">
        <v>7.1</v>
      </c>
      <c r="B41" s="105" t="s">
        <v>235</v>
      </c>
      <c r="C41" s="40" t="s">
        <v>31</v>
      </c>
      <c r="D41" s="270" t="s">
        <v>258</v>
      </c>
      <c r="E41" s="270" t="s">
        <v>259</v>
      </c>
      <c r="F41" s="270">
        <v>2023</v>
      </c>
      <c r="G41" s="270" t="s">
        <v>260</v>
      </c>
      <c r="H41" s="104" t="s">
        <v>261</v>
      </c>
      <c r="I41" s="270" t="s">
        <v>180</v>
      </c>
      <c r="J41" s="44" t="s">
        <v>180</v>
      </c>
      <c r="K41" s="44" t="s">
        <v>181</v>
      </c>
      <c r="L41" s="44"/>
      <c r="M41" s="44"/>
      <c r="N41" s="44"/>
      <c r="O41" s="44"/>
      <c r="P41" s="44"/>
      <c r="Q41" s="44"/>
      <c r="R41" s="44"/>
      <c r="S41"/>
      <c r="T41"/>
    </row>
    <row r="42" spans="1:20" ht="15">
      <c r="A42" s="44">
        <v>7.2</v>
      </c>
      <c r="B42" s="105" t="s">
        <v>235</v>
      </c>
      <c r="C42" s="40" t="s">
        <v>31</v>
      </c>
      <c r="D42" s="270" t="s">
        <v>262</v>
      </c>
      <c r="E42" s="270" t="s">
        <v>259</v>
      </c>
      <c r="F42" s="270">
        <v>2023</v>
      </c>
      <c r="G42" s="270" t="s">
        <v>260</v>
      </c>
      <c r="H42" s="104" t="s">
        <v>263</v>
      </c>
      <c r="I42" s="270" t="s">
        <v>180</v>
      </c>
      <c r="J42" s="44" t="s">
        <v>180</v>
      </c>
      <c r="K42" s="44" t="s">
        <v>181</v>
      </c>
      <c r="L42" s="44"/>
      <c r="M42" s="44"/>
      <c r="N42" s="44"/>
      <c r="O42" s="44"/>
      <c r="P42" s="44"/>
      <c r="Q42" s="44"/>
      <c r="R42" s="44"/>
      <c r="S42"/>
      <c r="T42"/>
    </row>
    <row r="43" spans="1:20" ht="15">
      <c r="A43" s="44">
        <v>7.3</v>
      </c>
      <c r="B43" s="105" t="s">
        <v>235</v>
      </c>
      <c r="C43" s="40" t="s">
        <v>31</v>
      </c>
      <c r="D43" s="270" t="s">
        <v>264</v>
      </c>
      <c r="E43" s="270" t="s">
        <v>259</v>
      </c>
      <c r="F43" s="270">
        <v>2023</v>
      </c>
      <c r="G43" s="270" t="s">
        <v>260</v>
      </c>
      <c r="H43" s="104" t="s">
        <v>265</v>
      </c>
      <c r="I43" s="270" t="s">
        <v>180</v>
      </c>
      <c r="J43" s="44" t="s">
        <v>180</v>
      </c>
      <c r="K43" s="44" t="s">
        <v>181</v>
      </c>
      <c r="L43" s="44"/>
      <c r="M43" s="44"/>
      <c r="N43" s="44"/>
      <c r="O43" s="44"/>
      <c r="P43" s="44"/>
      <c r="Q43" s="44"/>
      <c r="R43" s="44"/>
      <c r="S43"/>
      <c r="T43"/>
    </row>
    <row r="44" spans="1:20" ht="15">
      <c r="A44" s="61">
        <v>7.4</v>
      </c>
      <c r="B44" s="259" t="s">
        <v>235</v>
      </c>
      <c r="C44" s="272" t="s">
        <v>31</v>
      </c>
      <c r="D44" s="271" t="s">
        <v>266</v>
      </c>
      <c r="E44" s="271" t="s">
        <v>267</v>
      </c>
      <c r="F44" s="271" t="s">
        <v>268</v>
      </c>
      <c r="G44" s="271" t="s">
        <v>269</v>
      </c>
      <c r="H44" s="401" t="s">
        <v>270</v>
      </c>
      <c r="I44" s="271" t="s">
        <v>180</v>
      </c>
      <c r="J44" s="61"/>
      <c r="K44" s="61"/>
      <c r="L44" s="61"/>
      <c r="M44" s="61"/>
      <c r="N44" s="61"/>
      <c r="O44" s="61"/>
      <c r="P44" s="61"/>
      <c r="Q44" s="61"/>
      <c r="R44" s="61"/>
      <c r="S44"/>
      <c r="T44"/>
    </row>
    <row r="45" spans="1:20" ht="15">
      <c r="A45" s="61">
        <v>7.5</v>
      </c>
      <c r="B45" s="259" t="s">
        <v>235</v>
      </c>
      <c r="C45" s="272" t="s">
        <v>31</v>
      </c>
      <c r="D45" s="271" t="s">
        <v>271</v>
      </c>
      <c r="E45" s="271" t="s">
        <v>259</v>
      </c>
      <c r="F45" s="271">
        <v>2023</v>
      </c>
      <c r="G45" s="271" t="s">
        <v>272</v>
      </c>
      <c r="H45" s="273" t="s">
        <v>273</v>
      </c>
      <c r="I45" s="271" t="s">
        <v>180</v>
      </c>
      <c r="J45" s="61" t="s">
        <v>180</v>
      </c>
      <c r="K45" s="61"/>
      <c r="L45" s="61"/>
      <c r="M45" s="61" t="s">
        <v>181</v>
      </c>
      <c r="N45" s="61"/>
      <c r="O45" s="61"/>
      <c r="P45" s="61"/>
      <c r="Q45" s="61"/>
      <c r="R45" s="61"/>
      <c r="S45"/>
      <c r="T45"/>
    </row>
    <row r="46" spans="1:20" ht="15">
      <c r="A46" s="61">
        <v>7.6</v>
      </c>
      <c r="B46" s="259" t="s">
        <v>235</v>
      </c>
      <c r="C46" s="272" t="s">
        <v>31</v>
      </c>
      <c r="D46" s="271" t="s">
        <v>274</v>
      </c>
      <c r="E46" s="271" t="s">
        <v>275</v>
      </c>
      <c r="F46" s="271">
        <v>2023</v>
      </c>
      <c r="G46" s="271" t="s">
        <v>276</v>
      </c>
      <c r="H46" s="402" t="s">
        <v>277</v>
      </c>
      <c r="I46" s="271" t="s">
        <v>180</v>
      </c>
      <c r="J46" s="61"/>
      <c r="K46" s="61"/>
      <c r="L46" s="61"/>
      <c r="M46" s="61"/>
      <c r="N46" s="61"/>
      <c r="O46" s="61"/>
      <c r="P46" s="61"/>
      <c r="Q46" s="61"/>
      <c r="R46" s="379"/>
      <c r="S46"/>
      <c r="T46"/>
    </row>
    <row r="47" spans="1:20" ht="15" thickBot="1">
      <c r="A47" s="44">
        <v>7.7</v>
      </c>
      <c r="B47" s="105" t="s">
        <v>235</v>
      </c>
      <c r="C47" s="40" t="s">
        <v>31</v>
      </c>
      <c r="D47" s="270" t="s">
        <v>278</v>
      </c>
      <c r="E47" s="270" t="s">
        <v>259</v>
      </c>
      <c r="F47" s="270">
        <v>2023</v>
      </c>
      <c r="G47" s="270" t="s">
        <v>279</v>
      </c>
      <c r="H47" s="104" t="s">
        <v>280</v>
      </c>
      <c r="I47" s="284" t="s">
        <v>180</v>
      </c>
      <c r="J47" s="44" t="s">
        <v>180</v>
      </c>
      <c r="K47" s="44"/>
      <c r="L47" s="44" t="s">
        <v>181</v>
      </c>
      <c r="M47" s="44"/>
      <c r="N47" s="44"/>
      <c r="O47" s="44"/>
      <c r="P47" s="44"/>
      <c r="Q47" s="44"/>
      <c r="R47" s="380"/>
      <c r="S47"/>
      <c r="T47"/>
    </row>
    <row r="48" spans="1:20" ht="15">
      <c r="A48" s="498">
        <v>8.1</v>
      </c>
      <c r="B48" s="499" t="s">
        <v>235</v>
      </c>
      <c r="C48" s="506" t="s">
        <v>32</v>
      </c>
      <c r="D48" s="372" t="s">
        <v>281</v>
      </c>
      <c r="E48" s="372" t="s">
        <v>282</v>
      </c>
      <c r="F48" s="372">
        <v>2024</v>
      </c>
      <c r="G48" s="372" t="s">
        <v>186</v>
      </c>
      <c r="H48" s="403" t="s">
        <v>283</v>
      </c>
      <c r="I48" s="372" t="s">
        <v>180</v>
      </c>
      <c r="J48" s="371" t="s">
        <v>180</v>
      </c>
      <c r="K48" s="281"/>
      <c r="L48" s="281" t="s">
        <v>181</v>
      </c>
      <c r="M48" s="281"/>
      <c r="N48" s="281"/>
      <c r="O48" s="281"/>
      <c r="P48" s="281" t="s">
        <v>181</v>
      </c>
      <c r="Q48" s="281" t="s">
        <v>181</v>
      </c>
      <c r="R48" s="381"/>
      <c r="S48"/>
      <c r="T48"/>
    </row>
    <row r="49" spans="1:21" s="50" customFormat="1" ht="15">
      <c r="A49" s="503"/>
      <c r="B49" s="505"/>
      <c r="C49" s="507"/>
      <c r="D49" s="270" t="s">
        <v>284</v>
      </c>
      <c r="E49" s="270" t="s">
        <v>285</v>
      </c>
      <c r="F49" s="270">
        <v>2010</v>
      </c>
      <c r="G49" s="270" t="s">
        <v>286</v>
      </c>
      <c r="H49" s="404" t="s">
        <v>247</v>
      </c>
      <c r="I49" s="405" t="s">
        <v>180</v>
      </c>
      <c r="J49" s="385"/>
      <c r="K49" s="44"/>
      <c r="L49" s="44"/>
      <c r="M49" s="44"/>
      <c r="N49" s="44"/>
      <c r="O49" s="44"/>
      <c r="P49" s="44"/>
      <c r="Q49" s="44"/>
      <c r="R49" s="380"/>
      <c r="S49"/>
      <c r="T49"/>
      <c r="U49" s="384"/>
    </row>
    <row r="50" spans="1:21" s="44" customFormat="1" ht="15">
      <c r="A50" s="503"/>
      <c r="B50" s="505"/>
      <c r="C50" s="507"/>
      <c r="D50" s="270" t="s">
        <v>287</v>
      </c>
      <c r="E50" s="270" t="s">
        <v>285</v>
      </c>
      <c r="F50" s="270">
        <v>2010</v>
      </c>
      <c r="G50" s="270" t="s">
        <v>244</v>
      </c>
      <c r="H50" s="404" t="s">
        <v>247</v>
      </c>
      <c r="I50" s="270" t="s">
        <v>180</v>
      </c>
      <c r="J50" s="385"/>
      <c r="R50" s="380"/>
      <c r="S50"/>
      <c r="T50"/>
      <c r="U50" s="385"/>
    </row>
    <row r="51" spans="1:21" s="44" customFormat="1" ht="15">
      <c r="A51" s="495"/>
      <c r="B51" s="496"/>
      <c r="C51" s="497"/>
      <c r="D51" s="270" t="s">
        <v>288</v>
      </c>
      <c r="E51" s="270" t="s">
        <v>289</v>
      </c>
      <c r="F51" s="270">
        <v>2024</v>
      </c>
      <c r="G51" s="270" t="s">
        <v>290</v>
      </c>
      <c r="H51" s="406" t="s">
        <v>283</v>
      </c>
      <c r="I51" s="270" t="s">
        <v>180</v>
      </c>
      <c r="J51" s="385" t="s">
        <v>180</v>
      </c>
      <c r="L51" s="44" t="s">
        <v>181</v>
      </c>
      <c r="P51" s="44" t="s">
        <v>181</v>
      </c>
      <c r="Q51" s="44" t="s">
        <v>181</v>
      </c>
      <c r="R51" s="380"/>
      <c r="S51"/>
      <c r="T51"/>
      <c r="U51" s="385"/>
    </row>
    <row r="52" spans="1:21" s="61" customFormat="1" ht="15" thickBot="1">
      <c r="A52" s="61">
        <v>8.1999999999999993</v>
      </c>
      <c r="B52" s="259" t="s">
        <v>235</v>
      </c>
      <c r="C52" s="272" t="s">
        <v>32</v>
      </c>
      <c r="D52" s="271" t="s">
        <v>291</v>
      </c>
      <c r="E52" s="271" t="s">
        <v>292</v>
      </c>
      <c r="F52" s="271">
        <v>2020</v>
      </c>
      <c r="G52" s="271" t="s">
        <v>293</v>
      </c>
      <c r="H52" s="407" t="s">
        <v>294</v>
      </c>
      <c r="I52" s="271" t="s">
        <v>180</v>
      </c>
      <c r="J52" s="388"/>
      <c r="R52" s="379"/>
      <c r="S52"/>
      <c r="T52"/>
      <c r="U52" s="388"/>
    </row>
    <row r="53" spans="1:21" s="373" customFormat="1" ht="15">
      <c r="A53" s="368">
        <v>9.1</v>
      </c>
      <c r="B53" s="369" t="s">
        <v>295</v>
      </c>
      <c r="C53" s="369" t="s">
        <v>33</v>
      </c>
      <c r="D53" s="370" t="s">
        <v>296</v>
      </c>
      <c r="E53" s="370" t="s">
        <v>297</v>
      </c>
      <c r="F53" s="370">
        <v>2022</v>
      </c>
      <c r="G53" s="370" t="s">
        <v>298</v>
      </c>
      <c r="H53" s="408" t="s">
        <v>299</v>
      </c>
      <c r="I53" s="370" t="s">
        <v>180</v>
      </c>
      <c r="J53" s="386" t="s">
        <v>180</v>
      </c>
      <c r="K53" s="368"/>
      <c r="L53" s="368"/>
      <c r="M53" s="368"/>
      <c r="N53" s="368"/>
      <c r="O53" s="368"/>
      <c r="P53" s="368"/>
      <c r="Q53" s="368"/>
      <c r="R53" s="382"/>
      <c r="S53"/>
      <c r="T53"/>
    </row>
    <row r="54" spans="1:21" s="247" customFormat="1" ht="15" thickBot="1">
      <c r="A54" s="281">
        <v>9.1999999999999993</v>
      </c>
      <c r="B54" s="282" t="s">
        <v>295</v>
      </c>
      <c r="C54" s="282" t="s">
        <v>33</v>
      </c>
      <c r="D54" s="283" t="s">
        <v>300</v>
      </c>
      <c r="E54" s="283" t="s">
        <v>297</v>
      </c>
      <c r="F54" s="283">
        <v>2023</v>
      </c>
      <c r="G54" s="283" t="s">
        <v>298</v>
      </c>
      <c r="H54" s="409" t="s">
        <v>299</v>
      </c>
      <c r="I54" s="283" t="s">
        <v>180</v>
      </c>
      <c r="J54" s="387" t="s">
        <v>180</v>
      </c>
      <c r="K54" s="289"/>
      <c r="L54" s="289"/>
      <c r="M54" s="289"/>
      <c r="N54" s="289"/>
      <c r="O54" s="289"/>
      <c r="P54" s="289"/>
      <c r="Q54" s="289"/>
      <c r="R54" s="383"/>
      <c r="S54"/>
      <c r="T54"/>
    </row>
    <row r="55" spans="1:21" ht="15" thickBot="1">
      <c r="A55" s="275">
        <v>9.3000000000000007</v>
      </c>
      <c r="B55" s="276" t="s">
        <v>295</v>
      </c>
      <c r="C55" s="276" t="s">
        <v>33</v>
      </c>
      <c r="D55" s="278" t="s">
        <v>301</v>
      </c>
      <c r="E55" s="278" t="s">
        <v>302</v>
      </c>
      <c r="F55" s="278">
        <v>2021</v>
      </c>
      <c r="G55" s="278" t="s">
        <v>298</v>
      </c>
      <c r="H55" s="410" t="s">
        <v>303</v>
      </c>
      <c r="I55" s="278" t="s">
        <v>180</v>
      </c>
      <c r="J55" s="371"/>
      <c r="K55" s="281"/>
      <c r="L55" s="281"/>
      <c r="M55" s="281"/>
      <c r="N55" s="281"/>
      <c r="O55" s="281"/>
      <c r="P55" s="281"/>
      <c r="Q55" s="281"/>
      <c r="R55" s="381"/>
      <c r="S55"/>
      <c r="T55"/>
    </row>
    <row r="56" spans="1:21" ht="15">
      <c r="A56" s="498">
        <v>10.1</v>
      </c>
      <c r="B56" s="499" t="s">
        <v>295</v>
      </c>
      <c r="C56" s="499" t="s">
        <v>34</v>
      </c>
      <c r="D56" s="283" t="s">
        <v>304</v>
      </c>
      <c r="E56" s="283" t="s">
        <v>305</v>
      </c>
      <c r="F56" s="283">
        <v>2022</v>
      </c>
      <c r="G56" s="283" t="s">
        <v>306</v>
      </c>
      <c r="H56" s="418" t="s">
        <v>307</v>
      </c>
      <c r="I56" s="283" t="s">
        <v>180</v>
      </c>
      <c r="J56" s="371"/>
      <c r="K56" s="281"/>
      <c r="L56" s="281"/>
      <c r="M56" s="281"/>
      <c r="N56" s="281"/>
      <c r="O56" s="281"/>
      <c r="P56" s="281"/>
      <c r="Q56" s="281"/>
      <c r="R56" s="381"/>
      <c r="S56"/>
      <c r="T56"/>
    </row>
    <row r="57" spans="1:21" ht="15">
      <c r="A57" s="503"/>
      <c r="B57" s="505"/>
      <c r="C57" s="505"/>
      <c r="D57" s="283" t="s">
        <v>308</v>
      </c>
      <c r="E57" s="283" t="s">
        <v>305</v>
      </c>
      <c r="F57" s="283">
        <v>2022</v>
      </c>
      <c r="G57" s="283" t="s">
        <v>309</v>
      </c>
      <c r="H57" s="418" t="s">
        <v>307</v>
      </c>
      <c r="I57" s="283" t="s">
        <v>180</v>
      </c>
      <c r="J57" s="371"/>
      <c r="K57" s="281"/>
      <c r="L57" s="281"/>
      <c r="M57" s="281"/>
      <c r="N57" s="281"/>
      <c r="O57" s="281"/>
      <c r="P57" s="281"/>
      <c r="Q57" s="281"/>
      <c r="R57" s="381"/>
      <c r="S57"/>
      <c r="T57"/>
    </row>
    <row r="58" spans="1:21" ht="15">
      <c r="A58" s="503"/>
      <c r="B58" s="505"/>
      <c r="C58" s="505"/>
      <c r="D58" s="283" t="s">
        <v>310</v>
      </c>
      <c r="E58" s="283"/>
      <c r="F58" s="283"/>
      <c r="G58" s="283"/>
      <c r="H58" s="271" t="s">
        <v>311</v>
      </c>
      <c r="I58" s="283" t="s">
        <v>180</v>
      </c>
      <c r="J58" s="371"/>
      <c r="K58" s="281"/>
      <c r="L58" s="281"/>
      <c r="M58" s="281"/>
      <c r="N58" s="281"/>
      <c r="O58" s="281"/>
      <c r="P58" s="281"/>
      <c r="Q58" s="281"/>
      <c r="R58" s="381"/>
      <c r="S58"/>
      <c r="T58"/>
    </row>
    <row r="59" spans="1:21" ht="15">
      <c r="A59" s="495"/>
      <c r="B59" s="496"/>
      <c r="C59" s="496"/>
      <c r="D59" s="271" t="s">
        <v>312</v>
      </c>
      <c r="E59" s="271" t="s">
        <v>313</v>
      </c>
      <c r="F59" s="271">
        <v>2023</v>
      </c>
      <c r="G59" s="271" t="s">
        <v>314</v>
      </c>
      <c r="H59" s="271" t="s">
        <v>315</v>
      </c>
      <c r="I59" s="271" t="s">
        <v>180</v>
      </c>
      <c r="J59" s="61" t="s">
        <v>180</v>
      </c>
      <c r="K59" s="61"/>
      <c r="L59" s="61"/>
      <c r="M59" s="61" t="s">
        <v>181</v>
      </c>
      <c r="N59" s="61"/>
      <c r="O59" s="61"/>
      <c r="P59" s="61"/>
      <c r="Q59" s="61" t="s">
        <v>181</v>
      </c>
      <c r="R59" s="379" t="s">
        <v>181</v>
      </c>
      <c r="S59"/>
      <c r="T59"/>
    </row>
    <row r="60" spans="1:21" ht="15">
      <c r="A60" s="489">
        <v>10.199999999999999</v>
      </c>
      <c r="B60" s="491" t="s">
        <v>295</v>
      </c>
      <c r="C60" s="493" t="s">
        <v>316</v>
      </c>
      <c r="D60" s="271" t="s">
        <v>317</v>
      </c>
      <c r="E60" s="271" t="s">
        <v>318</v>
      </c>
      <c r="F60" s="271">
        <v>2023</v>
      </c>
      <c r="G60" s="271" t="s">
        <v>319</v>
      </c>
      <c r="H60" s="419" t="s">
        <v>320</v>
      </c>
      <c r="I60" s="271" t="s">
        <v>180</v>
      </c>
      <c r="J60" s="61"/>
      <c r="K60" s="61"/>
      <c r="L60" s="61"/>
      <c r="M60" s="61"/>
      <c r="N60" s="61"/>
      <c r="O60" s="61"/>
      <c r="P60" s="61"/>
      <c r="Q60" s="61"/>
      <c r="R60" s="379"/>
      <c r="S60"/>
      <c r="T60"/>
    </row>
    <row r="61" spans="1:21" ht="15">
      <c r="A61" s="495"/>
      <c r="B61" s="496"/>
      <c r="C61" s="497"/>
      <c r="D61" s="270" t="s">
        <v>321</v>
      </c>
      <c r="E61" s="270" t="s">
        <v>318</v>
      </c>
      <c r="F61" s="270">
        <v>2023</v>
      </c>
      <c r="G61" s="270" t="s">
        <v>322</v>
      </c>
      <c r="H61" s="271" t="s">
        <v>315</v>
      </c>
      <c r="I61" s="270" t="s">
        <v>180</v>
      </c>
      <c r="J61" s="44" t="s">
        <v>180</v>
      </c>
      <c r="K61" s="44"/>
      <c r="L61" s="44"/>
      <c r="M61" s="44" t="s">
        <v>181</v>
      </c>
      <c r="N61" s="44"/>
      <c r="O61" s="44"/>
      <c r="P61" s="44"/>
      <c r="Q61" s="44" t="s">
        <v>181</v>
      </c>
      <c r="R61" s="44" t="s">
        <v>181</v>
      </c>
      <c r="S61"/>
      <c r="T61"/>
    </row>
    <row r="62" spans="1:21" ht="15">
      <c r="A62" s="489">
        <v>10.3</v>
      </c>
      <c r="B62" s="491" t="s">
        <v>295</v>
      </c>
      <c r="C62" s="493" t="s">
        <v>316</v>
      </c>
      <c r="D62" s="270" t="s">
        <v>323</v>
      </c>
      <c r="E62" s="270" t="s">
        <v>324</v>
      </c>
      <c r="F62" s="270">
        <v>2024</v>
      </c>
      <c r="G62" s="270" t="s">
        <v>325</v>
      </c>
      <c r="H62" s="104" t="s">
        <v>326</v>
      </c>
      <c r="I62" s="270" t="s">
        <v>180</v>
      </c>
      <c r="J62" s="44" t="s">
        <v>180</v>
      </c>
      <c r="K62" s="44"/>
      <c r="L62" s="44"/>
      <c r="M62" s="44" t="s">
        <v>181</v>
      </c>
      <c r="N62" s="44"/>
      <c r="O62" s="44"/>
      <c r="P62" s="44"/>
      <c r="Q62" s="44" t="s">
        <v>181</v>
      </c>
      <c r="R62" s="44" t="s">
        <v>181</v>
      </c>
      <c r="S62"/>
      <c r="T62"/>
    </row>
    <row r="63" spans="1:21" ht="15">
      <c r="A63" s="495"/>
      <c r="B63" s="496"/>
      <c r="C63" s="497"/>
      <c r="D63" s="270" t="s">
        <v>327</v>
      </c>
      <c r="E63" s="270" t="s">
        <v>315</v>
      </c>
      <c r="F63" s="270">
        <v>2024</v>
      </c>
      <c r="G63" s="270" t="s">
        <v>328</v>
      </c>
      <c r="H63" s="270" t="s">
        <v>315</v>
      </c>
      <c r="I63" s="270" t="s">
        <v>329</v>
      </c>
      <c r="J63" s="50"/>
      <c r="K63" s="50"/>
      <c r="L63" s="50"/>
      <c r="M63" s="50"/>
      <c r="N63" s="50"/>
      <c r="O63" s="50"/>
      <c r="P63" s="50"/>
      <c r="Q63" s="50"/>
      <c r="R63" s="50"/>
      <c r="S63"/>
      <c r="T63"/>
    </row>
    <row r="64" spans="1:21" ht="15">
      <c r="A64" s="44">
        <v>10.4</v>
      </c>
      <c r="B64" s="105" t="s">
        <v>295</v>
      </c>
      <c r="C64" s="40" t="s">
        <v>316</v>
      </c>
      <c r="D64" s="270" t="s">
        <v>330</v>
      </c>
      <c r="E64" s="270" t="s">
        <v>324</v>
      </c>
      <c r="F64" s="270">
        <v>2023</v>
      </c>
      <c r="G64" s="270" t="s">
        <v>331</v>
      </c>
      <c r="H64" s="421" t="s">
        <v>326</v>
      </c>
      <c r="I64" s="270" t="s">
        <v>180</v>
      </c>
      <c r="J64" s="44" t="s">
        <v>180</v>
      </c>
      <c r="K64" s="44"/>
      <c r="L64" s="44"/>
      <c r="M64" s="44" t="s">
        <v>181</v>
      </c>
      <c r="N64" s="44"/>
      <c r="O64" s="44"/>
      <c r="P64" s="44"/>
      <c r="Q64" s="44" t="s">
        <v>181</v>
      </c>
      <c r="R64" s="44" t="s">
        <v>181</v>
      </c>
      <c r="S64"/>
      <c r="T64"/>
    </row>
    <row r="65" spans="1:20" ht="15">
      <c r="A65" s="44">
        <v>10.5</v>
      </c>
      <c r="B65" s="105" t="s">
        <v>295</v>
      </c>
      <c r="C65" s="40" t="s">
        <v>316</v>
      </c>
      <c r="D65" s="270" t="s">
        <v>332</v>
      </c>
      <c r="E65" s="270" t="s">
        <v>333</v>
      </c>
      <c r="F65" s="270">
        <v>2022</v>
      </c>
      <c r="G65" s="270" t="s">
        <v>334</v>
      </c>
      <c r="H65" s="270" t="s">
        <v>335</v>
      </c>
      <c r="I65" s="270" t="s">
        <v>180</v>
      </c>
      <c r="J65" s="44" t="s">
        <v>180</v>
      </c>
      <c r="K65" s="44"/>
      <c r="L65" s="44"/>
      <c r="M65" s="44" t="s">
        <v>181</v>
      </c>
      <c r="N65" s="44"/>
      <c r="O65" s="44"/>
      <c r="P65" s="44"/>
      <c r="Q65" s="44" t="s">
        <v>181</v>
      </c>
      <c r="R65" s="44" t="s">
        <v>181</v>
      </c>
      <c r="S65"/>
      <c r="T65"/>
    </row>
    <row r="66" spans="1:20" s="247" customFormat="1" ht="15" thickBot="1">
      <c r="A66" s="275">
        <v>10.6</v>
      </c>
      <c r="B66" s="276" t="s">
        <v>295</v>
      </c>
      <c r="C66" s="279" t="s">
        <v>316</v>
      </c>
      <c r="D66" s="278" t="s">
        <v>336</v>
      </c>
      <c r="E66" s="278" t="s">
        <v>337</v>
      </c>
      <c r="F66" s="278">
        <v>2024</v>
      </c>
      <c r="G66" s="278" t="s">
        <v>328</v>
      </c>
      <c r="H66" s="280" t="s">
        <v>338</v>
      </c>
      <c r="I66" s="278" t="s">
        <v>180</v>
      </c>
      <c r="J66" s="275" t="s">
        <v>180</v>
      </c>
      <c r="K66" s="275"/>
      <c r="L66" s="275"/>
      <c r="M66" s="275" t="s">
        <v>181</v>
      </c>
      <c r="N66" s="275"/>
      <c r="O66" s="275"/>
      <c r="P66" s="275"/>
      <c r="Q66" s="275" t="s">
        <v>181</v>
      </c>
      <c r="R66" s="275" t="s">
        <v>181</v>
      </c>
      <c r="S66"/>
      <c r="T66"/>
    </row>
    <row r="67" spans="1:20" ht="15">
      <c r="A67" s="498">
        <v>11.1</v>
      </c>
      <c r="B67" s="499" t="s">
        <v>295</v>
      </c>
      <c r="C67" s="499" t="s">
        <v>35</v>
      </c>
      <c r="D67" s="271" t="s">
        <v>339</v>
      </c>
      <c r="E67" s="271" t="s">
        <v>340</v>
      </c>
      <c r="F67" s="271">
        <v>2024</v>
      </c>
      <c r="G67" s="271" t="s">
        <v>341</v>
      </c>
      <c r="H67" s="396" t="s">
        <v>342</v>
      </c>
      <c r="I67" s="271" t="s">
        <v>343</v>
      </c>
      <c r="J67" s="61" t="s">
        <v>180</v>
      </c>
      <c r="K67" s="61"/>
      <c r="L67" s="61"/>
      <c r="M67" s="61"/>
      <c r="N67" s="61" t="s">
        <v>181</v>
      </c>
      <c r="O67" s="61" t="s">
        <v>181</v>
      </c>
      <c r="P67" s="61" t="s">
        <v>181</v>
      </c>
      <c r="Q67" s="61"/>
      <c r="R67" s="61"/>
      <c r="S67"/>
      <c r="T67"/>
    </row>
    <row r="68" spans="1:20" ht="15">
      <c r="A68" s="495"/>
      <c r="B68" s="496"/>
      <c r="C68" s="496"/>
      <c r="D68" s="270" t="s">
        <v>344</v>
      </c>
      <c r="E68" s="270" t="s">
        <v>340</v>
      </c>
      <c r="F68" s="270">
        <v>2024</v>
      </c>
      <c r="G68" s="270" t="s">
        <v>341</v>
      </c>
      <c r="H68" s="396" t="s">
        <v>342</v>
      </c>
      <c r="I68" s="270" t="s">
        <v>343</v>
      </c>
      <c r="J68" s="44" t="s">
        <v>180</v>
      </c>
      <c r="K68" s="44"/>
      <c r="L68" s="44"/>
      <c r="M68" s="44"/>
      <c r="N68" s="44" t="s">
        <v>181</v>
      </c>
      <c r="O68" s="44" t="s">
        <v>181</v>
      </c>
      <c r="P68" s="44" t="s">
        <v>181</v>
      </c>
      <c r="Q68" s="44"/>
      <c r="R68" s="44"/>
      <c r="S68"/>
      <c r="T68"/>
    </row>
    <row r="69" spans="1:20" ht="15">
      <c r="A69" s="489">
        <v>11.2</v>
      </c>
      <c r="B69" s="491" t="s">
        <v>295</v>
      </c>
      <c r="C69" s="491" t="s">
        <v>35</v>
      </c>
      <c r="D69" s="270" t="s">
        <v>345</v>
      </c>
      <c r="E69" s="270" t="s">
        <v>340</v>
      </c>
      <c r="F69" s="270">
        <v>2024</v>
      </c>
      <c r="G69" s="270" t="s">
        <v>341</v>
      </c>
      <c r="H69" s="396" t="s">
        <v>346</v>
      </c>
      <c r="I69" s="270" t="s">
        <v>343</v>
      </c>
      <c r="J69" s="44" t="s">
        <v>180</v>
      </c>
      <c r="K69" s="44"/>
      <c r="L69" s="44"/>
      <c r="M69" s="44"/>
      <c r="N69" s="44" t="s">
        <v>181</v>
      </c>
      <c r="O69" s="44" t="s">
        <v>181</v>
      </c>
      <c r="P69" s="44" t="s">
        <v>181</v>
      </c>
      <c r="Q69" s="44"/>
      <c r="R69" s="44"/>
      <c r="S69"/>
      <c r="T69"/>
    </row>
    <row r="70" spans="1:20" ht="15">
      <c r="A70" s="495"/>
      <c r="B70" s="496"/>
      <c r="C70" s="496"/>
      <c r="D70" s="270" t="s">
        <v>347</v>
      </c>
      <c r="E70" s="270" t="s">
        <v>340</v>
      </c>
      <c r="F70" s="270">
        <v>2024</v>
      </c>
      <c r="G70" s="270" t="s">
        <v>341</v>
      </c>
      <c r="H70" s="396" t="s">
        <v>346</v>
      </c>
      <c r="I70" s="270" t="s">
        <v>343</v>
      </c>
      <c r="J70" s="44" t="s">
        <v>180</v>
      </c>
      <c r="K70" s="44"/>
      <c r="L70" s="44"/>
      <c r="M70" s="44"/>
      <c r="N70" s="44" t="s">
        <v>181</v>
      </c>
      <c r="O70" s="44" t="s">
        <v>181</v>
      </c>
      <c r="P70" s="44" t="s">
        <v>181</v>
      </c>
      <c r="Q70" s="44"/>
      <c r="R70" s="44"/>
      <c r="S70"/>
      <c r="T70"/>
    </row>
    <row r="71" spans="1:20" ht="15">
      <c r="A71" s="489">
        <v>11.3</v>
      </c>
      <c r="B71" s="491" t="s">
        <v>295</v>
      </c>
      <c r="C71" s="491" t="s">
        <v>35</v>
      </c>
      <c r="D71" s="270" t="s">
        <v>348</v>
      </c>
      <c r="E71" s="270" t="s">
        <v>340</v>
      </c>
      <c r="F71" s="270">
        <v>2024</v>
      </c>
      <c r="G71" s="270" t="s">
        <v>341</v>
      </c>
      <c r="H71" s="396" t="s">
        <v>349</v>
      </c>
      <c r="I71" s="270" t="s">
        <v>343</v>
      </c>
      <c r="J71" s="44" t="s">
        <v>180</v>
      </c>
      <c r="K71" s="44"/>
      <c r="L71" s="44"/>
      <c r="M71" s="44"/>
      <c r="N71" s="44" t="s">
        <v>181</v>
      </c>
      <c r="O71" s="44" t="s">
        <v>181</v>
      </c>
      <c r="P71" s="44" t="s">
        <v>181</v>
      </c>
      <c r="Q71" s="44"/>
      <c r="R71" s="44"/>
      <c r="S71"/>
      <c r="T71"/>
    </row>
    <row r="72" spans="1:20" s="247" customFormat="1" ht="15" thickBot="1">
      <c r="A72" s="510"/>
      <c r="B72" s="492"/>
      <c r="C72" s="492"/>
      <c r="D72" s="278" t="s">
        <v>350</v>
      </c>
      <c r="E72" s="278" t="s">
        <v>340</v>
      </c>
      <c r="F72" s="278">
        <v>2024</v>
      </c>
      <c r="G72" s="278" t="s">
        <v>341</v>
      </c>
      <c r="H72" s="396" t="s">
        <v>349</v>
      </c>
      <c r="I72" s="278" t="s">
        <v>343</v>
      </c>
      <c r="J72" s="275" t="s">
        <v>180</v>
      </c>
      <c r="K72" s="275"/>
      <c r="L72" s="275"/>
      <c r="M72" s="275"/>
      <c r="N72" s="275" t="s">
        <v>181</v>
      </c>
      <c r="O72" s="275" t="s">
        <v>181</v>
      </c>
      <c r="P72" s="275" t="s">
        <v>181</v>
      </c>
      <c r="Q72" s="275"/>
      <c r="R72" s="275"/>
      <c r="S72"/>
      <c r="T72"/>
    </row>
    <row r="79" spans="1:20" ht="15">
      <c r="A79" s="44">
        <v>12.1</v>
      </c>
      <c r="B79" s="105" t="s">
        <v>295</v>
      </c>
      <c r="C79" s="40" t="s">
        <v>351</v>
      </c>
      <c r="D79" s="270" t="s">
        <v>352</v>
      </c>
      <c r="E79" s="270" t="s">
        <v>353</v>
      </c>
      <c r="F79" s="270">
        <v>2024</v>
      </c>
      <c r="G79" s="270" t="s">
        <v>354</v>
      </c>
      <c r="H79" s="104" t="s">
        <v>355</v>
      </c>
      <c r="I79" s="270" t="s">
        <v>180</v>
      </c>
      <c r="J79" s="44" t="s">
        <v>180</v>
      </c>
      <c r="K79" s="44"/>
      <c r="L79" s="44"/>
      <c r="M79" s="44" t="s">
        <v>181</v>
      </c>
      <c r="N79" s="44"/>
      <c r="O79" s="44"/>
      <c r="P79" s="44"/>
      <c r="Q79" s="44" t="s">
        <v>181</v>
      </c>
      <c r="R79" s="44" t="s">
        <v>181</v>
      </c>
      <c r="S79"/>
      <c r="T79"/>
    </row>
    <row r="80" spans="1:20" ht="15">
      <c r="A80" s="44">
        <v>12.2</v>
      </c>
      <c r="B80" s="105" t="s">
        <v>295</v>
      </c>
      <c r="C80" s="40" t="s">
        <v>351</v>
      </c>
      <c r="D80" s="270" t="s">
        <v>356</v>
      </c>
      <c r="E80" s="270" t="s">
        <v>357</v>
      </c>
      <c r="F80" s="270">
        <v>2023</v>
      </c>
      <c r="G80" s="270" t="s">
        <v>358</v>
      </c>
      <c r="H80" s="104" t="s">
        <v>227</v>
      </c>
      <c r="I80" s="270" t="s">
        <v>180</v>
      </c>
      <c r="J80" s="44"/>
      <c r="K80" s="44"/>
      <c r="L80" s="44"/>
      <c r="M80" s="44" t="s">
        <v>181</v>
      </c>
      <c r="N80" s="44"/>
      <c r="O80" s="44"/>
      <c r="P80" s="44"/>
      <c r="Q80" s="44" t="s">
        <v>181</v>
      </c>
      <c r="R80" s="44" t="s">
        <v>181</v>
      </c>
      <c r="S80"/>
      <c r="T80"/>
    </row>
    <row r="81" spans="1:20" s="247" customFormat="1" ht="15" thickBot="1">
      <c r="A81" s="275">
        <v>12.3</v>
      </c>
      <c r="B81" s="276" t="s">
        <v>295</v>
      </c>
      <c r="C81" s="279" t="s">
        <v>351</v>
      </c>
      <c r="D81" s="278" t="s">
        <v>359</v>
      </c>
      <c r="E81" s="278" t="s">
        <v>297</v>
      </c>
      <c r="F81" s="278">
        <v>2022</v>
      </c>
      <c r="G81" s="278" t="s">
        <v>360</v>
      </c>
      <c r="H81" s="278" t="s">
        <v>299</v>
      </c>
      <c r="I81" s="278" t="s">
        <v>180</v>
      </c>
      <c r="J81" s="275"/>
      <c r="K81" s="275"/>
      <c r="L81" s="275"/>
      <c r="M81" s="275" t="s">
        <v>181</v>
      </c>
      <c r="N81" s="275"/>
      <c r="O81" s="275"/>
      <c r="P81" s="275"/>
      <c r="Q81" s="275" t="s">
        <v>181</v>
      </c>
      <c r="R81" s="275" t="s">
        <v>181</v>
      </c>
      <c r="S81"/>
      <c r="T81"/>
    </row>
    <row r="82" spans="1:20" ht="15">
      <c r="A82" s="61">
        <v>13.1</v>
      </c>
      <c r="B82" s="259" t="s">
        <v>235</v>
      </c>
      <c r="C82" s="272" t="s">
        <v>361</v>
      </c>
      <c r="D82" s="271" t="s">
        <v>362</v>
      </c>
      <c r="E82" s="271" t="s">
        <v>363</v>
      </c>
      <c r="F82" s="271">
        <v>2018</v>
      </c>
      <c r="G82" s="271" t="s">
        <v>364</v>
      </c>
      <c r="H82" s="273" t="s">
        <v>365</v>
      </c>
      <c r="I82" s="271" t="s">
        <v>366</v>
      </c>
      <c r="J82" s="61"/>
      <c r="K82" s="61"/>
      <c r="L82" s="61"/>
      <c r="M82" s="61" t="s">
        <v>181</v>
      </c>
      <c r="N82" s="61"/>
      <c r="O82" s="61"/>
      <c r="P82" s="61"/>
      <c r="Q82" s="61" t="s">
        <v>181</v>
      </c>
      <c r="R82" s="61" t="s">
        <v>181</v>
      </c>
      <c r="S82"/>
      <c r="T82"/>
    </row>
    <row r="83" spans="1:20" ht="15">
      <c r="A83" s="44">
        <v>13.2</v>
      </c>
      <c r="B83" s="105" t="s">
        <v>235</v>
      </c>
      <c r="C83" s="40" t="s">
        <v>361</v>
      </c>
      <c r="D83" s="270" t="s">
        <v>367</v>
      </c>
      <c r="E83" s="270" t="s">
        <v>368</v>
      </c>
      <c r="F83" s="270">
        <v>2018</v>
      </c>
      <c r="G83" s="270" t="s">
        <v>369</v>
      </c>
      <c r="H83" s="104" t="s">
        <v>370</v>
      </c>
      <c r="I83" s="270" t="s">
        <v>371</v>
      </c>
      <c r="J83" s="44" t="s">
        <v>180</v>
      </c>
      <c r="K83" s="44"/>
      <c r="L83" s="44"/>
      <c r="M83" s="44" t="s">
        <v>181</v>
      </c>
      <c r="N83" s="44"/>
      <c r="O83" s="44"/>
      <c r="P83" s="44"/>
      <c r="Q83" s="44" t="s">
        <v>181</v>
      </c>
      <c r="R83" s="44" t="s">
        <v>181</v>
      </c>
      <c r="S83"/>
      <c r="T83"/>
    </row>
    <row r="84" spans="1:20" s="247" customFormat="1" ht="15" thickBot="1">
      <c r="A84" s="275">
        <v>13.3</v>
      </c>
      <c r="B84" s="354" t="s">
        <v>235</v>
      </c>
      <c r="C84" s="293" t="s">
        <v>361</v>
      </c>
      <c r="D84" s="278" t="s">
        <v>372</v>
      </c>
      <c r="E84" s="278" t="s">
        <v>368</v>
      </c>
      <c r="F84" s="278">
        <v>2018</v>
      </c>
      <c r="G84" s="278" t="s">
        <v>369</v>
      </c>
      <c r="H84" s="280" t="s">
        <v>370</v>
      </c>
      <c r="I84" s="278" t="s">
        <v>371</v>
      </c>
      <c r="J84" s="275" t="s">
        <v>180</v>
      </c>
      <c r="K84" s="275"/>
      <c r="L84" s="275"/>
      <c r="M84" s="275" t="s">
        <v>181</v>
      </c>
      <c r="N84" s="275"/>
      <c r="O84" s="275"/>
      <c r="P84" s="275"/>
      <c r="Q84" s="275" t="s">
        <v>181</v>
      </c>
      <c r="R84" s="275" t="s">
        <v>181</v>
      </c>
      <c r="S84"/>
      <c r="T84"/>
    </row>
    <row r="85" spans="1:20" ht="30">
      <c r="A85" s="61">
        <v>14.1</v>
      </c>
      <c r="B85" s="259" t="s">
        <v>295</v>
      </c>
      <c r="C85" s="272" t="s">
        <v>373</v>
      </c>
      <c r="D85" s="271" t="s">
        <v>374</v>
      </c>
      <c r="E85" s="271" t="s">
        <v>340</v>
      </c>
      <c r="F85" s="271">
        <v>2022</v>
      </c>
      <c r="G85" s="271" t="s">
        <v>375</v>
      </c>
      <c r="H85" s="273" t="s">
        <v>376</v>
      </c>
      <c r="I85" s="271" t="s">
        <v>180</v>
      </c>
      <c r="J85" s="61"/>
      <c r="K85" s="61"/>
      <c r="L85" s="61"/>
      <c r="M85" s="61"/>
      <c r="N85" s="61" t="s">
        <v>181</v>
      </c>
      <c r="O85" s="61"/>
      <c r="P85" s="61"/>
      <c r="Q85" s="61"/>
      <c r="R85" s="61"/>
      <c r="S85"/>
      <c r="T85"/>
    </row>
    <row r="86" spans="1:20" ht="30">
      <c r="A86" s="61">
        <v>14.2</v>
      </c>
      <c r="B86" s="259" t="s">
        <v>295</v>
      </c>
      <c r="C86" s="272" t="s">
        <v>373</v>
      </c>
      <c r="D86" s="271" t="s">
        <v>377</v>
      </c>
      <c r="E86" s="271" t="s">
        <v>378</v>
      </c>
      <c r="F86" s="271">
        <v>2022</v>
      </c>
      <c r="G86" s="389" t="s">
        <v>379</v>
      </c>
      <c r="H86" s="411" t="s">
        <v>380</v>
      </c>
      <c r="I86" s="390" t="s">
        <v>180</v>
      </c>
      <c r="J86" s="61"/>
      <c r="K86" s="61"/>
      <c r="L86" s="61"/>
      <c r="M86" s="61"/>
      <c r="N86" s="61"/>
      <c r="O86" s="61"/>
      <c r="P86" s="61"/>
      <c r="Q86" s="61"/>
      <c r="R86" s="61"/>
      <c r="S86"/>
      <c r="T86"/>
    </row>
    <row r="87" spans="1:20" ht="15">
      <c r="A87" s="489">
        <v>14.3</v>
      </c>
      <c r="B87" s="491" t="s">
        <v>295</v>
      </c>
      <c r="C87" s="493" t="s">
        <v>381</v>
      </c>
      <c r="D87" s="270" t="s">
        <v>382</v>
      </c>
      <c r="E87" s="270" t="s">
        <v>383</v>
      </c>
      <c r="F87" s="270">
        <v>2020</v>
      </c>
      <c r="G87" s="270" t="s">
        <v>384</v>
      </c>
      <c r="H87" s="271" t="s">
        <v>385</v>
      </c>
      <c r="I87" s="270" t="s">
        <v>180</v>
      </c>
      <c r="J87" s="44"/>
      <c r="K87" s="44"/>
      <c r="L87" s="44"/>
      <c r="M87" s="44"/>
      <c r="N87" s="44"/>
      <c r="O87" s="44"/>
      <c r="P87" s="44"/>
      <c r="Q87" s="44" t="s">
        <v>181</v>
      </c>
      <c r="R87" s="44"/>
      <c r="S87"/>
      <c r="T87"/>
    </row>
    <row r="88" spans="1:20" s="247" customFormat="1" ht="15" thickBot="1">
      <c r="A88" s="490"/>
      <c r="B88" s="492"/>
      <c r="C88" s="494"/>
      <c r="D88" s="278" t="s">
        <v>386</v>
      </c>
      <c r="E88" s="278" t="s">
        <v>378</v>
      </c>
      <c r="F88" s="278">
        <v>2022</v>
      </c>
      <c r="G88" s="291" t="s">
        <v>354</v>
      </c>
      <c r="H88" s="290" t="s">
        <v>380</v>
      </c>
      <c r="I88" s="278" t="s">
        <v>180</v>
      </c>
      <c r="J88" s="275"/>
      <c r="K88" s="275"/>
      <c r="L88" s="275"/>
      <c r="M88" s="275"/>
      <c r="N88" s="275"/>
      <c r="O88" s="275"/>
      <c r="P88" s="275"/>
      <c r="Q88" s="275" t="s">
        <v>181</v>
      </c>
      <c r="R88" s="275"/>
      <c r="S88"/>
      <c r="T88"/>
    </row>
    <row r="89" spans="1:20" s="247" customFormat="1" ht="15" thickBot="1">
      <c r="A89" s="289">
        <v>15</v>
      </c>
      <c r="B89" s="276" t="s">
        <v>295</v>
      </c>
      <c r="C89" s="279" t="s">
        <v>387</v>
      </c>
      <c r="D89" s="278" t="s">
        <v>388</v>
      </c>
      <c r="E89" s="278" t="s">
        <v>389</v>
      </c>
      <c r="F89" s="278">
        <v>2023</v>
      </c>
      <c r="G89" s="278" t="s">
        <v>390</v>
      </c>
      <c r="H89" s="288" t="s">
        <v>391</v>
      </c>
      <c r="I89" s="278" t="s">
        <v>180</v>
      </c>
      <c r="J89" s="275" t="s">
        <v>181</v>
      </c>
      <c r="K89" s="275" t="s">
        <v>181</v>
      </c>
      <c r="L89" s="275" t="s">
        <v>181</v>
      </c>
      <c r="M89" s="275" t="s">
        <v>181</v>
      </c>
      <c r="N89" s="275" t="s">
        <v>181</v>
      </c>
      <c r="O89" s="275" t="s">
        <v>181</v>
      </c>
      <c r="P89" s="275" t="s">
        <v>181</v>
      </c>
      <c r="Q89" s="275" t="s">
        <v>181</v>
      </c>
      <c r="R89" s="275" t="s">
        <v>181</v>
      </c>
      <c r="S89"/>
      <c r="T89"/>
    </row>
    <row r="90" spans="1:20" s="288" customFormat="1" ht="15" thickBot="1">
      <c r="A90" s="290">
        <v>16</v>
      </c>
      <c r="B90" s="292" t="s">
        <v>295</v>
      </c>
      <c r="C90" s="293" t="s">
        <v>392</v>
      </c>
      <c r="D90" s="294" t="s">
        <v>41</v>
      </c>
      <c r="E90" s="294" t="s">
        <v>393</v>
      </c>
      <c r="F90" s="294">
        <v>2024</v>
      </c>
      <c r="G90" s="294" t="s">
        <v>394</v>
      </c>
      <c r="H90" s="294" t="s">
        <v>395</v>
      </c>
      <c r="I90" s="412" t="s">
        <v>180</v>
      </c>
      <c r="J90" s="290" t="s">
        <v>181</v>
      </c>
      <c r="K90" s="290" t="s">
        <v>181</v>
      </c>
      <c r="L90" s="290" t="s">
        <v>181</v>
      </c>
      <c r="M90" s="290" t="s">
        <v>181</v>
      </c>
      <c r="N90" s="290" t="s">
        <v>181</v>
      </c>
      <c r="O90" s="290" t="s">
        <v>181</v>
      </c>
      <c r="P90" s="290" t="s">
        <v>181</v>
      </c>
      <c r="Q90" s="290" t="s">
        <v>181</v>
      </c>
      <c r="R90" s="290" t="s">
        <v>181</v>
      </c>
      <c r="S90"/>
      <c r="T90"/>
    </row>
    <row r="91" spans="1:20" ht="15">
      <c r="B91" s="10"/>
      <c r="C91" s="12"/>
      <c r="D91" s="11"/>
      <c r="E91" s="11"/>
      <c r="F91" s="11"/>
      <c r="G91" s="11"/>
      <c r="H91" s="248"/>
      <c r="I91" s="11" t="s">
        <v>180</v>
      </c>
      <c r="S91"/>
      <c r="T91"/>
    </row>
    <row r="92" spans="1:20" ht="15">
      <c r="B92" s="10"/>
      <c r="C92" s="12"/>
      <c r="D92" s="11"/>
      <c r="F92" s="11"/>
      <c r="G92" s="11"/>
      <c r="H92" s="11"/>
      <c r="I92" s="11"/>
      <c r="S92"/>
      <c r="T92"/>
    </row>
    <row r="93" spans="1:20" customFormat="1" ht="15"/>
    <row r="94" spans="1:20" customFormat="1" ht="15"/>
    <row r="95" spans="1:20" customFormat="1" ht="15"/>
    <row r="96" spans="1:20" customFormat="1" ht="15"/>
    <row r="97" customFormat="1" ht="15"/>
    <row r="98" customFormat="1" ht="15"/>
    <row r="99" customFormat="1" ht="15"/>
    <row r="100" customFormat="1" ht="15"/>
    <row r="101" customFormat="1" ht="15"/>
    <row r="102" customFormat="1" ht="15"/>
    <row r="103" customFormat="1" ht="15"/>
    <row r="104" customFormat="1" ht="15"/>
    <row r="105" customFormat="1" ht="15"/>
    <row r="106" customFormat="1" ht="15"/>
    <row r="107" customFormat="1" ht="15"/>
    <row r="108" customFormat="1" ht="15"/>
    <row r="109" customFormat="1" ht="15"/>
    <row r="110" customFormat="1" ht="15"/>
    <row r="111" customFormat="1" ht="15"/>
    <row r="112" customFormat="1" ht="15"/>
    <row r="113" customFormat="1" ht="15"/>
    <row r="114" customFormat="1" ht="15"/>
    <row r="115" customFormat="1" ht="15"/>
    <row r="116" customFormat="1" ht="15"/>
    <row r="117" customFormat="1" ht="15"/>
    <row r="118" customFormat="1" ht="15"/>
    <row r="119" customFormat="1" ht="15"/>
    <row r="120" customFormat="1" ht="15"/>
    <row r="121" customFormat="1" ht="15"/>
    <row r="122" customFormat="1" ht="15"/>
    <row r="123" customFormat="1" ht="15"/>
    <row r="124" customFormat="1" ht="15"/>
    <row r="125" customFormat="1" ht="15"/>
    <row r="126" customFormat="1" ht="15"/>
    <row r="127" customFormat="1" ht="15"/>
    <row r="128" customFormat="1" ht="15"/>
    <row r="129" customFormat="1" ht="15"/>
    <row r="130" customFormat="1" ht="15"/>
  </sheetData>
  <autoFilter ref="A4:R91" xr:uid="{2C656499-7720-5048-BFAA-38041C9397AA}"/>
  <mergeCells count="35">
    <mergeCell ref="A69:A70"/>
    <mergeCell ref="A71:A72"/>
    <mergeCell ref="A18:A19"/>
    <mergeCell ref="C18:C19"/>
    <mergeCell ref="B18:B19"/>
    <mergeCell ref="A56:A59"/>
    <mergeCell ref="B56:B59"/>
    <mergeCell ref="C56:C59"/>
    <mergeCell ref="A21:A22"/>
    <mergeCell ref="B21:B22"/>
    <mergeCell ref="C21:C22"/>
    <mergeCell ref="G18:G19"/>
    <mergeCell ref="A34:A38"/>
    <mergeCell ref="B34:B38"/>
    <mergeCell ref="C34:C38"/>
    <mergeCell ref="A48:A51"/>
    <mergeCell ref="B48:B51"/>
    <mergeCell ref="C48:C51"/>
    <mergeCell ref="G21:G22"/>
    <mergeCell ref="A87:A88"/>
    <mergeCell ref="B87:B88"/>
    <mergeCell ref="C87:C88"/>
    <mergeCell ref="A60:A61"/>
    <mergeCell ref="B60:B61"/>
    <mergeCell ref="C60:C61"/>
    <mergeCell ref="A62:A63"/>
    <mergeCell ref="B62:B63"/>
    <mergeCell ref="C62:C63"/>
    <mergeCell ref="A67:A68"/>
    <mergeCell ref="B67:B68"/>
    <mergeCell ref="C67:C68"/>
    <mergeCell ref="B69:B70"/>
    <mergeCell ref="B71:B72"/>
    <mergeCell ref="C69:C70"/>
    <mergeCell ref="C71:C72"/>
  </mergeCells>
  <phoneticPr fontId="4" type="noConversion"/>
  <conditionalFormatting sqref="J1:R14 J16:R72 J79:R92 J131:R1048576">
    <cfRule type="beginsWith" dxfId="3" priority="10" operator="beginsWith" text="Y">
      <formula>LEFT(J1,LEN("Y"))="Y"</formula>
    </cfRule>
  </conditionalFormatting>
  <conditionalFormatting sqref="J6:R14 J5 J16:R72 J79:R92">
    <cfRule type="colorScale" priority="23">
      <colorScale>
        <cfvo type="formula" val="&quot;&quot;&quot;N&quot;&quot;&quot;"/>
        <cfvo type="formula" val="&quot;&quot;&quot;M&quot;&quot;&quot;"/>
        <cfvo type="formula" val="&quot;&quot;&quot;Y&quot;&quot;&quot;"/>
        <color rgb="FFFF0000"/>
        <color rgb="FFFFFF00"/>
        <color rgb="FF00B050"/>
      </colorScale>
    </cfRule>
  </conditionalFormatting>
  <hyperlinks>
    <hyperlink ref="H40" r:id="rId1" xr:uid="{7C1C2014-6624-4147-8A5B-9662FEFE4706}"/>
    <hyperlink ref="H20" r:id="rId2" xr:uid="{32FA9A4F-0F2F-4A23-B058-CA09DA057A19}"/>
    <hyperlink ref="H21" r:id="rId3" xr:uid="{BE5F263A-05E4-4F93-B3C6-E823E045A14E}"/>
    <hyperlink ref="H22" r:id="rId4" xr:uid="{ADF63FB2-965F-4239-9337-DDCD41EEAB94}"/>
    <hyperlink ref="H23" r:id="rId5" xr:uid="{E4F2D2E0-5C02-4B98-9D9C-8874881E08F0}"/>
    <hyperlink ref="H24" r:id="rId6" xr:uid="{E1D538F4-3A4C-4100-8D8D-A7AE64E2143F}"/>
    <hyperlink ref="H25" r:id="rId7" xr:uid="{7537F85F-B1C0-427E-B2AF-353D43898CED}"/>
    <hyperlink ref="H26" r:id="rId8" xr:uid="{4CD955F4-4200-4105-98C4-E2C6A81BF00C}"/>
    <hyperlink ref="H27" r:id="rId9" xr:uid="{E452B88D-C98C-4469-BF6C-83A311A0E226}"/>
    <hyperlink ref="H28" r:id="rId10" location="completed" xr:uid="{7A33C7C7-4E49-4997-B90D-E71B1A2093A4}"/>
    <hyperlink ref="H29" r:id="rId11" xr:uid="{1176D540-57D7-4EAA-8321-064339D61943}"/>
    <hyperlink ref="H30" r:id="rId12" xr:uid="{9208A6F1-8638-4C30-BB09-A29358154EE4}"/>
    <hyperlink ref="H31" r:id="rId13" xr:uid="{CF9AC7AC-8B0C-4452-AE0D-47F8C42E3B6B}"/>
    <hyperlink ref="H32" r:id="rId14" location="completed" xr:uid="{E80E7790-6EB1-4E32-9738-72611BAAEB51}"/>
    <hyperlink ref="H33" r:id="rId15" location="completed" xr:uid="{6795C789-07E8-4E6F-8094-536F1F0137B9}"/>
    <hyperlink ref="H45" r:id="rId16" display="https://bioenergykdf.ornl.gov/bt23-agricultural-download?f%5B0%5D=bt23_agricultural_scenario_facet%3Amature-market%20medium&amp;f%5B1%5D=bt23_agricultural_subclass_facet%3AEnergy%20crops%2C%20herbaceous&amp;f%5B2%5D=bt23_agricultural_subclass_facet%3AEnergy%20crops%2C%20woody" xr:uid="{368EDF47-D2D0-4828-88BC-8B60A3C92183}"/>
    <hyperlink ref="H42" r:id="rId17" display="https://bioenergykdf.ornl.gov/bt23-forestry-download?f%5B0%5D=bt23_forestry_scenario_name%3Anear-term&amp;f%5B1%5D=subclass%3AFire%20reduction%20thinnings&amp;f%5B2%5D=subclass%3AForest%20processing%20waste&amp;f%5B3%5D=subclass%3ALogging%20residues&amp;f%5B4%5D=subclass%3AOther%20forest%20waste" xr:uid="{C3664EA9-2B63-449C-973B-84DB515AC835}"/>
    <hyperlink ref="H43" r:id="rId18" xr:uid="{71EDACEC-FE28-43A3-AFB2-0BD6518365CC}"/>
    <hyperlink ref="H41" r:id="rId19" display="https://bioenergykdf.ornl.gov/bt23-wastes-download?f%5B0%5D=bt23_subclass_facet%3AFOG&amp;f%5B1%5D=bt23_subclass_facet%3AOther%20solid%20waste&amp;f%5B2%5D=bt23_subclass_facet%3AOther%20wet%20waste&amp;f%5B3%5D=bt23_subclass_facet%3APaper&amp;f%5B4%5D=bt23_wastes_scenario_name%3Anear-term" xr:uid="{7C698A27-2A34-4853-81D7-71C4A86AD39A}"/>
    <hyperlink ref="H47" r:id="rId20" xr:uid="{BF6BFE52-88DB-435D-B379-3D3A4BBA02C4}"/>
    <hyperlink ref="H48" r:id="rId21" xr:uid="{7A53F6C6-790A-4E4E-876E-9D280C94BEB2}"/>
    <hyperlink ref="H51" r:id="rId22" xr:uid="{438DC872-2F4A-4BBA-85DE-86C2DB8819FE}"/>
    <hyperlink ref="H53" r:id="rId23" xr:uid="{ECAEC7FE-13C8-466A-96B8-D9DEB276E062}"/>
    <hyperlink ref="H54" r:id="rId24" xr:uid="{F341AAD8-9F4C-4CBA-8D05-0E81D7F05EB0}"/>
    <hyperlink ref="H66" r:id="rId25" xr:uid="{D1B48AC2-4A1E-4A4F-83B4-D9CB8ABC9195}"/>
    <hyperlink ref="H80" r:id="rId26" xr:uid="{43799DD7-D901-42BD-9F54-DE8B0CA28A19}"/>
    <hyperlink ref="H79" r:id="rId27" xr:uid="{A1E4FF21-1BA6-4AE1-A078-FBA58DD305D4}"/>
    <hyperlink ref="I90" r:id="rId28" display="https://oceanvisions.org/mcdr-field-trials/" xr:uid="{BAC28A9D-BF56-4072-99FE-3CAF91957E0F}"/>
    <hyperlink ref="I49" r:id="rId29" display="Definitions of different water types included here" xr:uid="{1BA6614E-9BF4-C84C-BC1C-548F6807EECA}"/>
    <hyperlink ref="H37" r:id="rId30" xr:uid="{701E370B-E407-40D8-B60E-92CBA7945598}"/>
    <hyperlink ref="H35" r:id="rId31" xr:uid="{EC1C3CA3-70F2-468D-8499-FAF01967E194}"/>
    <hyperlink ref="H44" r:id="rId32" xr:uid="{657F7BE5-B2B6-4B88-B594-E7B302EB9AFD}"/>
    <hyperlink ref="H49" r:id="rId33" xr:uid="{DAB1DB3B-330E-40C2-86E9-5B9680FFC6DE}"/>
    <hyperlink ref="H5" r:id="rId34" xr:uid="{3A9FF5A9-F7C3-42CB-A22B-20381EB95CC1}"/>
    <hyperlink ref="H62" r:id="rId35" xr:uid="{0714474C-DC64-45BB-BF86-E490A9A68581}"/>
    <hyperlink ref="H67" r:id="rId36" display="../../../../../../:x:/s/ClimateAlignedIndustries/Ebnyla-Ntg9PgDPEOUkWcSsBczUkCcOPBCNXzUmXsCbsjw?e=Scbk2q" xr:uid="{32AFB841-6E5B-4807-AAEA-23239940495D}"/>
    <hyperlink ref="H68" r:id="rId37" display="../../../../../../:x:/s/ClimateAlignedIndustries/Ebnyla-Ntg9PgDPEOUkWcSsBczUkCcOPBCNXzUmXsCbsjw?e=Scbk2q" xr:uid="{B0E401C3-8707-4054-AE76-5F035F10F799}"/>
    <hyperlink ref="H71" r:id="rId38" display="../../../../../../:x:/s/ClimateAlignedIndustries/EcGk-q0XQm9IqLFlVFtcAj8BvBhKSMasDZBdnIALyXCDew?e=wmnhSb" xr:uid="{CA2BB2FD-F081-411B-A90E-DA401CAD4144}"/>
    <hyperlink ref="H72" r:id="rId39" display="../../../../../../:x:/s/ClimateAlignedIndustries/EcGk-q0XQm9IqLFlVFtcAj8BvBhKSMasDZBdnIALyXCDew?e=wmnhSb" xr:uid="{744ADE19-0143-41CD-B941-A23B2BF7EE7A}"/>
    <hyperlink ref="H69" r:id="rId40" display="../../../../../../:x:/s/ClimateAlignedIndustries/EfZXLdJF5axAhYq9KYZBpyQBykOk8SFuaeTGyG0p6w6Aww?e=OAGKVa" xr:uid="{79C2BF49-04DE-4D9F-8635-27B208B12828}"/>
    <hyperlink ref="H70" r:id="rId41" display="../../../../../../:x:/s/ClimateAlignedIndustries/EfZXLdJF5axAhYq9KYZBpyQBykOk8SFuaeTGyG0p6w6Aww?e=OAGKVa" xr:uid="{ABDC8335-57DF-4B99-97E6-F220EDFD86E3}"/>
    <hyperlink ref="H56" r:id="rId42" xr:uid="{C0825C32-A8B2-4DA3-81CA-6E809409DC5E}"/>
    <hyperlink ref="H57" r:id="rId43" xr:uid="{81CDB446-D561-41B2-8463-E80B6D7BD5BB}"/>
    <hyperlink ref="H60" r:id="rId44" location="/topic/0?agg=1,0,2&amp;fuel=02&amp;geo=vvvvvvvvvvvvo&amp;sec=o3g&amp;linechart=ELEC.GEN.AOR-US-99.M~ELEC.GEN.AOR-US-1.M~ELEC.GEN.AOR-US-94.M~ELEC.GEN.AOR-US-96.M~ELEC.GEN.AOR-US-97.M&amp;columnchart=ELEC.GEN.AOR-US-99.M~ELEC.GEN.AOR-US-1.M~ELEC.GEN.AOR-US-94.M~ELEC.GEN.AOR-US-96.M~ELEC.GEN.AOR-US-97.M&amp;map=ELEC.GEN.AOR-US-99.M&amp;freq=M&amp;start=200101&amp;end=202407&amp;ctype=linechart&amp;ltype=pin&amp;rtype=s&amp;maptype=0&amp;rse=0&amp;pin=" display="https://www.eia.gov/electricity/data/browser/#/topic/0?agg=1,0,2&amp;fuel=02&amp;geo=vvvvvvvvvvvvo&amp;sec=o3g&amp;linechart=ELEC.GEN.AOR-US-99.M~ELEC.GEN.AOR-US-1.M~ELEC.GEN.AOR-US-94.M~ELEC.GEN.AOR-US-96.M~ELEC.GEN.AOR-US-97.M&amp;columnchart=ELEC.GEN.AOR-US-99.M~ELEC.GEN.AOR-US-1.M~ELEC.GEN.AOR-US-94.M~ELEC.GEN.AOR-US-96.M~ELEC.GEN.AOR-US-97.M&amp;map=ELEC.GEN.AOR-US-99.M&amp;freq=M&amp;start=200101&amp;end=202407&amp;ctype=linechart&amp;ltype=pin&amp;rtype=s&amp;maptype=0&amp;rse=0&amp;pin=" xr:uid="{21B59415-9374-4400-90DA-EC72FCAC93F6}"/>
    <hyperlink ref="H64" r:id="rId45" xr:uid="{28FA2ADC-2F38-4FD6-8579-9BE3A28DD0FE}"/>
  </hyperlinks>
  <pageMargins left="0.7" right="0.7" top="0.75" bottom="0.75" header="0.3" footer="0.3"/>
  <pageSetup orientation="portrait" horizontalDpi="0" verticalDpi="0"/>
  <drawing r:id="rId4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FD9AC-ED32-B546-BA26-61CDC52AE4BB}">
  <sheetPr>
    <tabColor rgb="FF0989B1"/>
  </sheetPr>
  <dimension ref="A1:IM64"/>
  <sheetViews>
    <sheetView zoomScale="70" zoomScaleNormal="70" workbookViewId="0">
      <pane xSplit="1" ySplit="7" topLeftCell="B8" activePane="bottomRight" state="frozen"/>
      <selection pane="bottomRight" activeCell="C1" sqref="C1"/>
      <selection pane="bottomLeft" activeCell="A8" sqref="A8"/>
      <selection pane="topRight" activeCell="B1" sqref="B1"/>
    </sheetView>
  </sheetViews>
  <sheetFormatPr defaultColWidth="0" defaultRowHeight="0" customHeight="1" zeroHeight="1"/>
  <cols>
    <col min="1" max="1" width="24.42578125" customWidth="1"/>
    <col min="2" max="2" width="21.85546875" customWidth="1"/>
    <col min="3" max="3" width="11.7109375" customWidth="1"/>
    <col min="4" max="4" width="52.140625" bestFit="1" customWidth="1"/>
    <col min="5" max="7" width="11.7109375" customWidth="1"/>
    <col min="8" max="8" width="20" customWidth="1"/>
    <col min="9" max="9" width="8.140625" bestFit="1" customWidth="1"/>
    <col min="10" max="10" width="20" customWidth="1"/>
    <col min="11" max="11" width="8.140625" bestFit="1" customWidth="1"/>
    <col min="12" max="12" width="13" customWidth="1"/>
    <col min="13" max="13" width="19" customWidth="1"/>
    <col min="14" max="14" width="8.140625" bestFit="1" customWidth="1"/>
    <col min="15" max="15" width="19" customWidth="1"/>
    <col min="16" max="16" width="8.140625" bestFit="1" customWidth="1"/>
    <col min="17" max="17" width="19" customWidth="1"/>
    <col min="18" max="18" width="8.140625" bestFit="1" customWidth="1"/>
    <col min="19" max="19" width="19" customWidth="1"/>
    <col min="20" max="20" width="8.140625" bestFit="1" customWidth="1"/>
    <col min="21" max="21" width="19" customWidth="1"/>
    <col min="22" max="22" width="8.140625" bestFit="1" customWidth="1"/>
    <col min="23" max="23" width="18.7109375" customWidth="1"/>
    <col min="24" max="24" width="7.85546875" bestFit="1" customWidth="1"/>
    <col min="25" max="25" width="19" customWidth="1"/>
    <col min="26" max="26" width="7.85546875" bestFit="1" customWidth="1"/>
    <col min="27" max="27" width="19" customWidth="1"/>
    <col min="28" max="28" width="58" customWidth="1"/>
    <col min="29" max="34" width="19" customWidth="1"/>
    <col min="35" max="35" width="8.140625" bestFit="1" customWidth="1"/>
    <col min="36" max="36" width="19" customWidth="1"/>
    <col min="37" max="37" width="11.42578125" customWidth="1"/>
    <col min="38" max="38" width="11" customWidth="1"/>
    <col min="39" max="40" width="11.42578125" customWidth="1"/>
    <col min="41" max="41" width="21.7109375" bestFit="1" customWidth="1"/>
    <col min="42" max="42" width="9.42578125" customWidth="1"/>
    <col min="43" max="43" width="12.85546875" customWidth="1"/>
    <col min="44" max="45" width="11.7109375" customWidth="1"/>
    <col min="46" max="46" width="11.42578125" customWidth="1"/>
    <col min="47" max="48" width="11.7109375" customWidth="1"/>
    <col min="49" max="50" width="11.42578125" customWidth="1"/>
    <col min="51" max="52" width="15.7109375" customWidth="1"/>
    <col min="53" max="53" width="19.85546875" customWidth="1"/>
    <col min="54" max="54" width="15.7109375" customWidth="1"/>
    <col min="55" max="55" width="17.28515625" customWidth="1"/>
    <col min="56" max="57" width="15.7109375" customWidth="1"/>
    <col min="58" max="59" width="11.42578125" hidden="1" customWidth="1"/>
    <col min="60" max="60" width="19" hidden="1" customWidth="1"/>
    <col min="61" max="61" width="16.85546875" hidden="1" customWidth="1"/>
    <col min="62" max="62" width="17.85546875" hidden="1" customWidth="1"/>
    <col min="63" max="63" width="7.28515625" hidden="1" customWidth="1"/>
    <col min="64" max="64" width="16" bestFit="1" customWidth="1"/>
    <col min="65" max="69" width="16" customWidth="1"/>
    <col min="70" max="112" width="19" customWidth="1"/>
    <col min="113" max="114" width="15.85546875" customWidth="1"/>
    <col min="115" max="121" width="11.42578125" customWidth="1"/>
    <col min="122" max="122" width="14.42578125" customWidth="1"/>
    <col min="123" max="125" width="11.42578125" customWidth="1"/>
    <col min="126" max="126" width="19.140625" customWidth="1"/>
    <col min="127" max="127" width="15.140625" customWidth="1"/>
    <col min="128" max="128" width="15.42578125" customWidth="1"/>
    <col min="129" max="129" width="15.140625" customWidth="1"/>
    <col min="130" max="130" width="13.42578125" customWidth="1"/>
    <col min="131" max="133" width="0" hidden="1" customWidth="1"/>
    <col min="134" max="144" width="11.42578125" customWidth="1"/>
    <col min="145" max="147" width="12.28515625" customWidth="1"/>
    <col min="148" max="154" width="12.42578125" customWidth="1"/>
    <col min="155" max="155" width="18.28515625" bestFit="1" customWidth="1"/>
    <col min="156" max="156" width="12.42578125" customWidth="1"/>
    <col min="157" max="157" width="19.28515625" bestFit="1" customWidth="1"/>
    <col min="158" max="159" width="12.42578125" customWidth="1"/>
    <col min="160" max="169" width="12.28515625" customWidth="1"/>
    <col min="170" max="247" width="0" hidden="1" customWidth="1"/>
    <col min="248" max="16384" width="11.42578125" hidden="1"/>
  </cols>
  <sheetData>
    <row r="1" spans="1:169" s="4" customFormat="1" ht="27" customHeight="1">
      <c r="A1" s="9"/>
      <c r="B1" s="2" t="s">
        <v>0</v>
      </c>
      <c r="C1" s="2"/>
    </row>
    <row r="2" spans="1:169" s="5" customFormat="1" ht="27" customHeight="1" thickBot="1">
      <c r="A2" s="43"/>
      <c r="B2" s="3" t="s">
        <v>396</v>
      </c>
      <c r="C2" s="3"/>
    </row>
    <row r="3" spans="1:169" s="6" customFormat="1" ht="23.45" hidden="1" thickTop="1">
      <c r="A3" s="8"/>
      <c r="B3" s="7"/>
      <c r="N3"/>
    </row>
    <row r="4" spans="1:169" ht="23.1" customHeight="1" thickTop="1">
      <c r="A4" s="110" t="s">
        <v>12</v>
      </c>
      <c r="B4" s="554" t="s">
        <v>397</v>
      </c>
      <c r="C4" s="555"/>
      <c r="D4" s="555"/>
      <c r="E4" s="555"/>
      <c r="F4" s="555"/>
      <c r="G4" s="555"/>
      <c r="H4" s="555"/>
      <c r="I4" s="555"/>
      <c r="J4" s="555"/>
      <c r="K4" s="555"/>
      <c r="L4" s="556"/>
      <c r="M4" s="522" t="s">
        <v>398</v>
      </c>
      <c r="N4" s="523"/>
      <c r="O4" s="523"/>
      <c r="P4" s="523"/>
      <c r="Q4" s="523"/>
      <c r="R4" s="523"/>
      <c r="S4" s="523"/>
      <c r="T4" s="523"/>
      <c r="U4" s="523"/>
      <c r="V4" s="523"/>
      <c r="W4" s="523"/>
      <c r="X4" s="523"/>
      <c r="Y4" s="523"/>
      <c r="Z4" s="523"/>
      <c r="AA4" s="524"/>
      <c r="AB4" s="564" t="s">
        <v>399</v>
      </c>
      <c r="AC4" s="564"/>
      <c r="AD4" s="564"/>
      <c r="AE4" s="564"/>
      <c r="AF4" s="564"/>
      <c r="AG4" s="564"/>
      <c r="AH4" s="564"/>
      <c r="AI4" s="564"/>
      <c r="AJ4" s="564"/>
      <c r="AK4" s="569" t="s">
        <v>400</v>
      </c>
      <c r="AL4" s="570"/>
      <c r="AM4" s="570"/>
      <c r="AN4" s="570"/>
      <c r="AO4" s="570"/>
      <c r="AP4" s="570"/>
      <c r="AQ4" s="570"/>
      <c r="AR4" s="570"/>
      <c r="AS4" s="570"/>
      <c r="AT4" s="570"/>
      <c r="AU4" s="570"/>
      <c r="AV4" s="570"/>
      <c r="AW4" s="570"/>
      <c r="AX4" s="570"/>
      <c r="AY4" s="570"/>
      <c r="AZ4" s="570"/>
      <c r="BA4" s="570"/>
      <c r="BB4" s="570"/>
      <c r="BC4" s="570"/>
      <c r="BD4" s="570"/>
      <c r="BE4" s="570"/>
      <c r="BF4" s="570"/>
      <c r="BG4" s="570"/>
      <c r="BH4" s="570"/>
      <c r="BI4" s="570"/>
      <c r="BJ4" s="570"/>
      <c r="BK4" s="570"/>
      <c r="BL4" s="571"/>
      <c r="BM4" s="537" t="s">
        <v>401</v>
      </c>
      <c r="BN4" s="537"/>
      <c r="BO4" s="537"/>
      <c r="BP4" s="537"/>
      <c r="BQ4" s="537"/>
      <c r="BR4" s="531" t="s">
        <v>402</v>
      </c>
      <c r="BS4" s="532"/>
      <c r="BT4" s="532"/>
      <c r="BU4" s="532"/>
      <c r="BV4" s="532"/>
      <c r="BW4" s="532"/>
      <c r="BX4" s="532"/>
      <c r="BY4" s="532"/>
      <c r="BZ4" s="532"/>
      <c r="CA4" s="532"/>
      <c r="CB4" s="533"/>
      <c r="CC4" s="537" t="s">
        <v>403</v>
      </c>
      <c r="CD4" s="537"/>
      <c r="CE4" s="537"/>
      <c r="CF4" s="537"/>
      <c r="CG4" s="537"/>
      <c r="CH4" s="537"/>
      <c r="CI4" s="537"/>
      <c r="CJ4" s="537"/>
      <c r="CK4" s="537"/>
      <c r="CL4" s="537"/>
      <c r="CM4" s="537"/>
      <c r="CN4" s="537"/>
      <c r="CO4" s="537"/>
      <c r="CP4" s="537"/>
      <c r="CQ4" s="537"/>
      <c r="CR4" s="537"/>
      <c r="CS4" s="537"/>
      <c r="CT4" s="542" t="s">
        <v>404</v>
      </c>
      <c r="CU4" s="542"/>
      <c r="CV4" s="542"/>
      <c r="CW4" s="542"/>
      <c r="CX4" s="542"/>
      <c r="CY4" s="542"/>
      <c r="CZ4" s="542"/>
      <c r="DA4" s="542"/>
      <c r="DB4" s="517" t="s">
        <v>405</v>
      </c>
      <c r="DC4" s="517"/>
      <c r="DD4" s="517"/>
      <c r="DE4" s="517"/>
      <c r="DF4" s="517"/>
      <c r="DG4" s="517"/>
      <c r="DH4" s="517"/>
      <c r="DI4" s="534" t="s">
        <v>406</v>
      </c>
      <c r="DJ4" s="535"/>
      <c r="DK4" s="535"/>
      <c r="DL4" s="535"/>
      <c r="DM4" s="535"/>
      <c r="DN4" s="535"/>
      <c r="DO4" s="535"/>
      <c r="DP4" s="535"/>
      <c r="DQ4" s="535"/>
      <c r="DR4" s="535"/>
      <c r="DS4" s="535"/>
      <c r="DT4" s="535"/>
      <c r="DU4" s="535"/>
      <c r="DV4" s="535"/>
      <c r="DW4" s="535"/>
      <c r="DX4" s="535"/>
      <c r="DY4" s="535"/>
      <c r="DZ4" s="536"/>
      <c r="EA4" s="111"/>
      <c r="EB4" s="111"/>
      <c r="EC4" s="111"/>
      <c r="ED4" s="517" t="s">
        <v>407</v>
      </c>
      <c r="EE4" s="517"/>
      <c r="EF4" s="517"/>
      <c r="EG4" s="517"/>
      <c r="EH4" s="517"/>
      <c r="EI4" s="517"/>
      <c r="EJ4" s="517"/>
      <c r="EK4" s="517"/>
      <c r="EL4" s="517"/>
      <c r="EM4" s="517"/>
      <c r="EN4" s="517"/>
      <c r="EO4" s="517"/>
      <c r="EP4" s="531" t="s">
        <v>408</v>
      </c>
      <c r="EQ4" s="532"/>
      <c r="ER4" s="532"/>
      <c r="ES4" s="532"/>
      <c r="ET4" s="532"/>
      <c r="EU4" s="532"/>
      <c r="EV4" s="533"/>
      <c r="EW4" s="522" t="s">
        <v>409</v>
      </c>
      <c r="EX4" s="523"/>
      <c r="EY4" s="523"/>
      <c r="EZ4" s="523"/>
      <c r="FA4" s="523"/>
      <c r="FB4" s="523"/>
      <c r="FC4" s="524"/>
      <c r="FD4" s="518" t="s">
        <v>410</v>
      </c>
      <c r="FE4" s="518"/>
      <c r="FF4" s="518"/>
      <c r="FG4" s="518"/>
      <c r="FH4" s="518"/>
      <c r="FI4" s="516" t="s">
        <v>411</v>
      </c>
      <c r="FJ4" s="516"/>
      <c r="FK4" s="516"/>
      <c r="FL4" s="516"/>
      <c r="FM4" s="516"/>
    </row>
    <row r="5" spans="1:169" ht="23.1" customHeight="1">
      <c r="A5" s="112" t="s">
        <v>412</v>
      </c>
      <c r="B5" s="558" t="s">
        <v>413</v>
      </c>
      <c r="C5" s="558"/>
      <c r="D5" s="558"/>
      <c r="E5" s="558"/>
      <c r="F5" s="353"/>
      <c r="G5" s="353"/>
      <c r="H5" s="559" t="s">
        <v>414</v>
      </c>
      <c r="I5" s="559"/>
      <c r="J5" s="559"/>
      <c r="K5" s="559"/>
      <c r="L5" s="113"/>
      <c r="M5" s="566" t="s">
        <v>415</v>
      </c>
      <c r="N5" s="567"/>
      <c r="O5" s="567"/>
      <c r="P5" s="568"/>
      <c r="Q5" s="511" t="s">
        <v>416</v>
      </c>
      <c r="R5" s="550"/>
      <c r="S5" s="550"/>
      <c r="T5" s="550"/>
      <c r="U5" s="550"/>
      <c r="V5" s="550"/>
      <c r="W5" s="550"/>
      <c r="X5" s="550"/>
      <c r="Y5" s="550"/>
      <c r="Z5" s="512"/>
      <c r="AA5" s="116"/>
      <c r="AB5" s="562" t="s">
        <v>417</v>
      </c>
      <c r="AC5" s="562"/>
      <c r="AD5" s="562"/>
      <c r="AE5" s="563" t="s">
        <v>418</v>
      </c>
      <c r="AF5" s="563"/>
      <c r="AG5" s="563"/>
      <c r="AH5" s="563"/>
      <c r="AI5" s="117"/>
      <c r="AJ5" s="118"/>
      <c r="AK5" s="565" t="s">
        <v>419</v>
      </c>
      <c r="AL5" s="565"/>
      <c r="AM5" s="565"/>
      <c r="AN5" s="565"/>
      <c r="AO5" s="565"/>
      <c r="AP5" s="565"/>
      <c r="AQ5" s="565"/>
      <c r="AR5" s="560" t="s">
        <v>420</v>
      </c>
      <c r="AS5" s="560"/>
      <c r="AT5" s="560"/>
      <c r="AU5" s="560"/>
      <c r="AV5" s="560"/>
      <c r="AW5" s="561" t="s">
        <v>421</v>
      </c>
      <c r="AX5" s="561"/>
      <c r="AY5" s="553" t="s">
        <v>356</v>
      </c>
      <c r="AZ5" s="553"/>
      <c r="BA5" s="553"/>
      <c r="BB5" s="553"/>
      <c r="BC5" s="553"/>
      <c r="BD5" s="553"/>
      <c r="BE5" s="553"/>
      <c r="BF5" s="553"/>
      <c r="BG5" s="553"/>
      <c r="BH5" s="549" t="s">
        <v>422</v>
      </c>
      <c r="BI5" s="549"/>
      <c r="BJ5" s="549"/>
      <c r="BK5" s="549"/>
      <c r="BL5" s="119"/>
      <c r="BM5" s="538" t="s">
        <v>423</v>
      </c>
      <c r="BN5" s="538"/>
      <c r="BO5" s="538"/>
      <c r="BP5" s="538"/>
      <c r="BQ5" s="116"/>
      <c r="BR5" s="552" t="s">
        <v>424</v>
      </c>
      <c r="BS5" s="552"/>
      <c r="BT5" s="552"/>
      <c r="BU5" s="552"/>
      <c r="BV5" s="552"/>
      <c r="BW5" s="552"/>
      <c r="BX5" s="551" t="s">
        <v>425</v>
      </c>
      <c r="BY5" s="551"/>
      <c r="BZ5" s="545" t="s">
        <v>426</v>
      </c>
      <c r="CA5" s="545"/>
      <c r="CB5" s="121"/>
      <c r="CC5" s="538" t="s">
        <v>427</v>
      </c>
      <c r="CD5" s="538"/>
      <c r="CE5" s="538"/>
      <c r="CF5" s="538"/>
      <c r="CG5" s="538"/>
      <c r="CH5" s="115"/>
      <c r="CI5" s="115"/>
      <c r="CJ5" s="115"/>
      <c r="CK5" s="122"/>
      <c r="CL5" s="543"/>
      <c r="CM5" s="544"/>
      <c r="CN5" s="122"/>
      <c r="CO5" s="541" t="s">
        <v>428</v>
      </c>
      <c r="CP5" s="541"/>
      <c r="CQ5" s="541"/>
      <c r="CR5" s="123"/>
      <c r="CS5" s="122"/>
      <c r="CT5" s="540" t="s">
        <v>429</v>
      </c>
      <c r="CU5" s="540"/>
      <c r="CV5" s="540"/>
      <c r="CW5" s="540"/>
      <c r="CX5" s="124"/>
      <c r="CY5" s="124"/>
      <c r="CZ5" s="124"/>
      <c r="DA5" s="120"/>
      <c r="DB5" s="530" t="s">
        <v>430</v>
      </c>
      <c r="DC5" s="530"/>
      <c r="DD5" s="539" t="s">
        <v>431</v>
      </c>
      <c r="DE5" s="539"/>
      <c r="DF5" s="546" t="s">
        <v>301</v>
      </c>
      <c r="DG5" s="547"/>
      <c r="DH5" s="125"/>
      <c r="DI5" s="541" t="s">
        <v>432</v>
      </c>
      <c r="DJ5" s="541"/>
      <c r="DK5" s="541"/>
      <c r="DL5" s="541"/>
      <c r="DM5" s="541"/>
      <c r="DN5" s="541"/>
      <c r="DO5" s="541"/>
      <c r="DP5" s="541"/>
      <c r="DQ5" s="541"/>
      <c r="DR5" s="541"/>
      <c r="DS5" s="541"/>
      <c r="DT5" s="541"/>
      <c r="DU5" s="541"/>
      <c r="DV5" s="541"/>
      <c r="DW5" s="541"/>
      <c r="DX5" s="541"/>
      <c r="DY5" s="541"/>
      <c r="DZ5" s="114"/>
      <c r="EA5" s="126"/>
      <c r="EB5" s="126"/>
      <c r="EC5" s="126"/>
      <c r="ED5" s="530" t="s">
        <v>433</v>
      </c>
      <c r="EE5" s="530"/>
      <c r="EF5" s="530"/>
      <c r="EG5" s="530"/>
      <c r="EH5" s="539" t="s">
        <v>434</v>
      </c>
      <c r="EI5" s="539"/>
      <c r="EJ5" s="539"/>
      <c r="EK5" s="539"/>
      <c r="EL5" s="527" t="s">
        <v>435</v>
      </c>
      <c r="EM5" s="528"/>
      <c r="EN5" s="529"/>
      <c r="EO5" s="127"/>
      <c r="EP5" s="519" t="s">
        <v>436</v>
      </c>
      <c r="EQ5" s="520"/>
      <c r="ER5" s="520"/>
      <c r="ES5" s="520"/>
      <c r="ET5" s="520"/>
      <c r="EU5" s="521"/>
      <c r="EV5" s="121"/>
      <c r="EW5" s="511" t="s">
        <v>437</v>
      </c>
      <c r="EX5" s="512"/>
      <c r="EY5" s="513" t="s">
        <v>438</v>
      </c>
      <c r="EZ5" s="514"/>
      <c r="FA5" s="514"/>
      <c r="FB5" s="515"/>
      <c r="FC5" s="122"/>
      <c r="FD5" s="128" t="s">
        <v>439</v>
      </c>
      <c r="FE5" s="128"/>
      <c r="FF5" s="525" t="s">
        <v>377</v>
      </c>
      <c r="FG5" s="526"/>
      <c r="FH5" s="129"/>
      <c r="FI5" s="117"/>
      <c r="FJ5" s="117"/>
      <c r="FK5" s="117"/>
      <c r="FL5" s="117"/>
      <c r="FM5" s="130"/>
    </row>
    <row r="6" spans="1:169" ht="23.1" customHeight="1">
      <c r="A6" s="131" t="s">
        <v>440</v>
      </c>
      <c r="B6" s="132">
        <v>0</v>
      </c>
      <c r="C6" s="132">
        <v>0.3</v>
      </c>
      <c r="D6" s="132">
        <v>0</v>
      </c>
      <c r="E6" s="132">
        <v>0.15</v>
      </c>
      <c r="F6" s="132">
        <v>0</v>
      </c>
      <c r="G6" s="132">
        <v>0.1</v>
      </c>
      <c r="H6" s="133">
        <v>0</v>
      </c>
      <c r="I6" s="133">
        <v>0.25</v>
      </c>
      <c r="J6" s="133">
        <v>0</v>
      </c>
      <c r="K6" s="133">
        <v>0.2</v>
      </c>
      <c r="L6" s="134">
        <f>SUM(B6:K6)</f>
        <v>1</v>
      </c>
      <c r="M6" s="135">
        <v>0</v>
      </c>
      <c r="N6" s="136">
        <v>0.2</v>
      </c>
      <c r="O6" s="135">
        <v>0</v>
      </c>
      <c r="P6" s="136">
        <v>0.15</v>
      </c>
      <c r="Q6" s="137">
        <v>0</v>
      </c>
      <c r="R6" s="138">
        <v>0.1</v>
      </c>
      <c r="S6" s="137">
        <v>0</v>
      </c>
      <c r="T6" s="138">
        <v>0.2</v>
      </c>
      <c r="U6" s="137">
        <v>0</v>
      </c>
      <c r="V6" s="138">
        <v>0.2</v>
      </c>
      <c r="W6" s="137">
        <v>0</v>
      </c>
      <c r="X6" s="138">
        <v>7.4999999999999997E-2</v>
      </c>
      <c r="Y6" s="139">
        <v>0</v>
      </c>
      <c r="Z6" s="138">
        <v>7.4999999999999997E-2</v>
      </c>
      <c r="AA6" s="140">
        <f>SUM(M6:Z6)</f>
        <v>0.99999999999999978</v>
      </c>
      <c r="AB6" s="141">
        <v>0</v>
      </c>
      <c r="AC6" s="141">
        <v>0</v>
      </c>
      <c r="AD6" s="141">
        <v>0.6</v>
      </c>
      <c r="AE6" s="142">
        <v>0</v>
      </c>
      <c r="AF6" s="142">
        <v>0.2</v>
      </c>
      <c r="AG6" s="142">
        <v>0</v>
      </c>
      <c r="AH6" s="142">
        <v>0</v>
      </c>
      <c r="AI6" s="142">
        <v>0.2</v>
      </c>
      <c r="AJ6" s="143">
        <f>SUM(AB6:AI6)</f>
        <v>1</v>
      </c>
      <c r="AK6" s="144"/>
      <c r="AL6" s="145">
        <v>0.1</v>
      </c>
      <c r="AM6" s="144"/>
      <c r="AN6" s="145">
        <v>0.1</v>
      </c>
      <c r="AO6" s="144"/>
      <c r="AP6" s="145">
        <v>0.1</v>
      </c>
      <c r="AQ6" s="146"/>
      <c r="AR6" s="147"/>
      <c r="AS6" s="148">
        <v>0.1</v>
      </c>
      <c r="AT6" s="147"/>
      <c r="AU6" s="148">
        <v>0.1</v>
      </c>
      <c r="AV6" s="147"/>
      <c r="AW6" s="557">
        <v>0.2</v>
      </c>
      <c r="AX6" s="557"/>
      <c r="AY6" s="148"/>
      <c r="AZ6" s="148">
        <v>0.1</v>
      </c>
      <c r="BA6" s="148"/>
      <c r="BB6" s="148">
        <v>0.1</v>
      </c>
      <c r="BC6" s="148"/>
      <c r="BD6" s="148">
        <v>0.1</v>
      </c>
      <c r="BE6" s="148"/>
      <c r="BF6" s="148"/>
      <c r="BG6" s="148"/>
      <c r="BH6" s="149"/>
      <c r="BI6" s="149"/>
      <c r="BJ6" s="149"/>
      <c r="BK6" s="149"/>
      <c r="BL6" s="150">
        <f>SUM(AL6:BD6)</f>
        <v>0.99999999999999989</v>
      </c>
      <c r="BM6" s="151">
        <v>0</v>
      </c>
      <c r="BN6" s="151">
        <v>0.25</v>
      </c>
      <c r="BO6" s="139">
        <v>0</v>
      </c>
      <c r="BP6" s="139">
        <v>0.75</v>
      </c>
      <c r="BQ6" s="152">
        <f>SUM(BM6:BP6)</f>
        <v>1</v>
      </c>
      <c r="BR6" s="154">
        <v>0</v>
      </c>
      <c r="BS6" s="154">
        <v>0</v>
      </c>
      <c r="BT6" s="154">
        <v>0</v>
      </c>
      <c r="BU6" s="154">
        <v>0</v>
      </c>
      <c r="BV6" s="154">
        <v>0</v>
      </c>
      <c r="BW6" s="154">
        <v>0.4</v>
      </c>
      <c r="BX6" s="155">
        <v>0</v>
      </c>
      <c r="BY6" s="155">
        <v>0.25</v>
      </c>
      <c r="BZ6" s="156">
        <v>0</v>
      </c>
      <c r="CA6" s="156">
        <v>0.35</v>
      </c>
      <c r="CB6" s="157">
        <f>SUM(BR6:CA6)</f>
        <v>1</v>
      </c>
      <c r="CC6" s="158">
        <v>0</v>
      </c>
      <c r="CD6" s="158">
        <v>0.2</v>
      </c>
      <c r="CE6" s="158">
        <v>0</v>
      </c>
      <c r="CF6" s="158">
        <v>0.2</v>
      </c>
      <c r="CG6" s="158">
        <v>0</v>
      </c>
      <c r="CH6" s="158">
        <v>0.35</v>
      </c>
      <c r="CI6" s="158">
        <v>0</v>
      </c>
      <c r="CJ6" s="158">
        <v>0.25</v>
      </c>
      <c r="CK6" s="159">
        <f>SUM(CC6:CJ6)</f>
        <v>1</v>
      </c>
      <c r="CL6" s="160">
        <v>0</v>
      </c>
      <c r="CM6" s="161">
        <v>1</v>
      </c>
      <c r="CN6" s="159">
        <f>SUM(CL6:CM6)</f>
        <v>1</v>
      </c>
      <c r="CO6" s="162">
        <v>0</v>
      </c>
      <c r="CP6" s="163" t="s">
        <v>441</v>
      </c>
      <c r="CQ6" s="162">
        <v>0</v>
      </c>
      <c r="CR6" s="163" t="s">
        <v>442</v>
      </c>
      <c r="CS6" s="159"/>
      <c r="CT6" s="164">
        <v>0</v>
      </c>
      <c r="CU6" s="164">
        <v>0</v>
      </c>
      <c r="CV6" s="164">
        <v>0</v>
      </c>
      <c r="CW6" s="164">
        <v>0</v>
      </c>
      <c r="CX6" s="165">
        <v>0.75</v>
      </c>
      <c r="CY6" s="165">
        <v>0</v>
      </c>
      <c r="CZ6" s="165">
        <v>0.25</v>
      </c>
      <c r="DA6" s="153">
        <f>SUM(CT6:CZ6)</f>
        <v>1</v>
      </c>
      <c r="DB6" s="166">
        <v>0</v>
      </c>
      <c r="DC6" s="166">
        <f>(0.333333333333333*100)%</f>
        <v>0.33333333333333298</v>
      </c>
      <c r="DD6" s="167">
        <v>0</v>
      </c>
      <c r="DE6" s="167">
        <f>(0.333333333333333*100)%</f>
        <v>0.33333333333333298</v>
      </c>
      <c r="DF6" s="366">
        <v>0</v>
      </c>
      <c r="DG6" s="366">
        <f>(0.333333333333333*100)%</f>
        <v>0.33333333333333298</v>
      </c>
      <c r="DH6" s="168">
        <f>SUM(DB6:DG6)</f>
        <v>0.99999999999999889</v>
      </c>
      <c r="DI6" s="162">
        <v>0</v>
      </c>
      <c r="DJ6" s="162">
        <v>0</v>
      </c>
      <c r="DK6" s="170">
        <v>0</v>
      </c>
      <c r="DL6" s="170">
        <v>0</v>
      </c>
      <c r="DM6" s="170">
        <v>0.3</v>
      </c>
      <c r="DN6" s="170">
        <v>0</v>
      </c>
      <c r="DO6" s="170">
        <v>0</v>
      </c>
      <c r="DP6" s="170">
        <v>0.3</v>
      </c>
      <c r="DQ6" s="170">
        <v>0</v>
      </c>
      <c r="DR6" s="170">
        <v>0</v>
      </c>
      <c r="DS6" s="170">
        <v>0.1</v>
      </c>
      <c r="DT6" s="170">
        <v>0</v>
      </c>
      <c r="DU6" s="170">
        <v>0.1</v>
      </c>
      <c r="DV6" s="170">
        <v>0</v>
      </c>
      <c r="DW6" s="170">
        <v>0.1</v>
      </c>
      <c r="DX6" s="170">
        <v>0</v>
      </c>
      <c r="DY6" s="170">
        <v>0.1</v>
      </c>
      <c r="DZ6" s="171">
        <f>SUM(DK6:DY6)</f>
        <v>0.99999999999999989</v>
      </c>
      <c r="EA6" s="169"/>
      <c r="EB6" s="169"/>
      <c r="EC6" s="169"/>
      <c r="ED6" s="166">
        <v>0</v>
      </c>
      <c r="EE6" s="166">
        <v>0</v>
      </c>
      <c r="EF6" s="166">
        <v>0</v>
      </c>
      <c r="EG6" s="166">
        <f>1/3</f>
        <v>0.33333333333333331</v>
      </c>
      <c r="EH6" s="167">
        <v>0</v>
      </c>
      <c r="EI6" s="167">
        <v>0</v>
      </c>
      <c r="EJ6" s="167">
        <v>0</v>
      </c>
      <c r="EK6" s="167">
        <f>1/3</f>
        <v>0.33333333333333331</v>
      </c>
      <c r="EL6" s="172">
        <v>0</v>
      </c>
      <c r="EM6" s="172">
        <v>0</v>
      </c>
      <c r="EN6" s="172">
        <f>1/3</f>
        <v>0.33333333333333331</v>
      </c>
      <c r="EO6" s="173">
        <f>SUM(ED6:EN6)</f>
        <v>1</v>
      </c>
      <c r="EP6" s="179">
        <v>0</v>
      </c>
      <c r="EQ6" s="179">
        <v>0.2</v>
      </c>
      <c r="ER6" s="179">
        <v>0</v>
      </c>
      <c r="ES6" s="179">
        <v>0.4</v>
      </c>
      <c r="ET6" s="179">
        <v>0</v>
      </c>
      <c r="EU6" s="179">
        <v>0.4</v>
      </c>
      <c r="EV6" s="157">
        <f>SUM(EP6:EU6)</f>
        <v>1</v>
      </c>
      <c r="EW6" s="161">
        <v>0</v>
      </c>
      <c r="EX6" s="161">
        <v>0.5</v>
      </c>
      <c r="EY6" s="295">
        <v>0</v>
      </c>
      <c r="EZ6" s="295">
        <v>0.25</v>
      </c>
      <c r="FA6" s="295">
        <v>0</v>
      </c>
      <c r="FB6" s="295">
        <v>0.25</v>
      </c>
      <c r="FC6" s="159">
        <f>SUM(EW6:FB6)</f>
        <v>1</v>
      </c>
      <c r="FD6" s="174">
        <v>0</v>
      </c>
      <c r="FE6" s="174">
        <v>0.6</v>
      </c>
      <c r="FF6" s="175">
        <v>0</v>
      </c>
      <c r="FG6" s="175">
        <v>0.4</v>
      </c>
      <c r="FH6" s="176">
        <f>SUM(FD6:FG6)</f>
        <v>1</v>
      </c>
      <c r="FI6" s="177">
        <v>0</v>
      </c>
      <c r="FJ6" s="177">
        <v>0</v>
      </c>
      <c r="FK6" s="177">
        <v>0</v>
      </c>
      <c r="FL6" s="177">
        <v>1</v>
      </c>
      <c r="FM6" s="178">
        <f>SUM(FI6:FL6)</f>
        <v>1</v>
      </c>
    </row>
    <row r="7" spans="1:169" ht="126.95" customHeight="1">
      <c r="A7" s="224" t="s">
        <v>75</v>
      </c>
      <c r="B7" s="224" t="s">
        <v>443</v>
      </c>
      <c r="C7" s="224" t="s">
        <v>80</v>
      </c>
      <c r="D7" s="224" t="s">
        <v>444</v>
      </c>
      <c r="E7" s="224" t="s">
        <v>80</v>
      </c>
      <c r="F7" s="224" t="s">
        <v>445</v>
      </c>
      <c r="G7" s="224" t="s">
        <v>80</v>
      </c>
      <c r="H7" s="224" t="s">
        <v>446</v>
      </c>
      <c r="I7" s="224" t="s">
        <v>80</v>
      </c>
      <c r="J7" s="224" t="s">
        <v>447</v>
      </c>
      <c r="K7" s="224" t="s">
        <v>80</v>
      </c>
      <c r="L7" s="225" t="s">
        <v>448</v>
      </c>
      <c r="M7" s="224" t="s">
        <v>449</v>
      </c>
      <c r="N7" s="224" t="s">
        <v>80</v>
      </c>
      <c r="O7" s="224" t="s">
        <v>450</v>
      </c>
      <c r="P7" s="224" t="s">
        <v>80</v>
      </c>
      <c r="Q7" s="224" t="s">
        <v>451</v>
      </c>
      <c r="R7" s="224" t="s">
        <v>80</v>
      </c>
      <c r="S7" s="224" t="s">
        <v>452</v>
      </c>
      <c r="T7" s="224" t="s">
        <v>80</v>
      </c>
      <c r="U7" s="224" t="s">
        <v>453</v>
      </c>
      <c r="V7" s="224" t="s">
        <v>80</v>
      </c>
      <c r="W7" s="224" t="s">
        <v>454</v>
      </c>
      <c r="X7" s="224" t="s">
        <v>80</v>
      </c>
      <c r="Y7" s="224" t="s">
        <v>455</v>
      </c>
      <c r="Z7" s="224" t="s">
        <v>456</v>
      </c>
      <c r="AA7" s="226" t="s">
        <v>84</v>
      </c>
      <c r="AB7" s="227" t="s">
        <v>457</v>
      </c>
      <c r="AC7" s="227" t="s">
        <v>458</v>
      </c>
      <c r="AD7" s="227" t="s">
        <v>80</v>
      </c>
      <c r="AE7" s="227" t="s">
        <v>459</v>
      </c>
      <c r="AF7" s="227" t="s">
        <v>80</v>
      </c>
      <c r="AG7" s="227" t="s">
        <v>460</v>
      </c>
      <c r="AH7" s="227" t="s">
        <v>461</v>
      </c>
      <c r="AI7" s="227" t="s">
        <v>80</v>
      </c>
      <c r="AJ7" s="228" t="s">
        <v>86</v>
      </c>
      <c r="AK7" s="224" t="s">
        <v>462</v>
      </c>
      <c r="AL7" s="224" t="s">
        <v>463</v>
      </c>
      <c r="AM7" s="224" t="s">
        <v>464</v>
      </c>
      <c r="AN7" s="224" t="s">
        <v>463</v>
      </c>
      <c r="AO7" s="224" t="s">
        <v>465</v>
      </c>
      <c r="AP7" s="224" t="s">
        <v>463</v>
      </c>
      <c r="AQ7" s="229" t="s">
        <v>466</v>
      </c>
      <c r="AR7" s="224" t="s">
        <v>467</v>
      </c>
      <c r="AS7" s="224" t="s">
        <v>468</v>
      </c>
      <c r="AT7" s="224" t="s">
        <v>469</v>
      </c>
      <c r="AU7" s="224" t="s">
        <v>468</v>
      </c>
      <c r="AV7" s="231" t="s">
        <v>466</v>
      </c>
      <c r="AW7" s="224" t="s">
        <v>470</v>
      </c>
      <c r="AX7" s="231" t="s">
        <v>466</v>
      </c>
      <c r="AY7" s="224" t="s">
        <v>471</v>
      </c>
      <c r="AZ7" s="224" t="s">
        <v>468</v>
      </c>
      <c r="BA7" s="249" t="s">
        <v>472</v>
      </c>
      <c r="BB7" s="249" t="s">
        <v>468</v>
      </c>
      <c r="BC7" s="249" t="s">
        <v>473</v>
      </c>
      <c r="BD7" s="224" t="s">
        <v>468</v>
      </c>
      <c r="BE7" s="231" t="s">
        <v>466</v>
      </c>
      <c r="BF7" s="230"/>
      <c r="BG7" s="230"/>
      <c r="BH7" s="224"/>
      <c r="BI7" s="224"/>
      <c r="BJ7" s="224"/>
      <c r="BK7" s="224"/>
      <c r="BL7" s="232" t="s">
        <v>474</v>
      </c>
      <c r="BM7" s="233" t="s">
        <v>475</v>
      </c>
      <c r="BN7" s="233" t="s">
        <v>80</v>
      </c>
      <c r="BO7" s="233" t="s">
        <v>476</v>
      </c>
      <c r="BP7" s="233" t="s">
        <v>80</v>
      </c>
      <c r="BQ7" s="234" t="s">
        <v>92</v>
      </c>
      <c r="BR7" s="224" t="s">
        <v>477</v>
      </c>
      <c r="BS7" s="224" t="s">
        <v>478</v>
      </c>
      <c r="BT7" s="224" t="s">
        <v>479</v>
      </c>
      <c r="BU7" s="236" t="s">
        <v>480</v>
      </c>
      <c r="BV7" s="224" t="s">
        <v>481</v>
      </c>
      <c r="BW7" s="224" t="s">
        <v>482</v>
      </c>
      <c r="BX7" s="224" t="s">
        <v>483</v>
      </c>
      <c r="BY7" s="224" t="s">
        <v>484</v>
      </c>
      <c r="BZ7" s="224" t="s">
        <v>485</v>
      </c>
      <c r="CA7" s="224" t="s">
        <v>80</v>
      </c>
      <c r="CB7" s="237" t="s">
        <v>94</v>
      </c>
      <c r="CC7" s="224" t="s">
        <v>486</v>
      </c>
      <c r="CD7" s="224" t="s">
        <v>487</v>
      </c>
      <c r="CE7" s="224" t="s">
        <v>488</v>
      </c>
      <c r="CF7" s="224" t="s">
        <v>489</v>
      </c>
      <c r="CG7" s="224" t="s">
        <v>490</v>
      </c>
      <c r="CH7" s="224" t="s">
        <v>491</v>
      </c>
      <c r="CI7" s="224" t="s">
        <v>492</v>
      </c>
      <c r="CJ7" s="224" t="s">
        <v>80</v>
      </c>
      <c r="CK7" s="226" t="s">
        <v>96</v>
      </c>
      <c r="CL7" s="224" t="s">
        <v>493</v>
      </c>
      <c r="CM7" s="238" t="s">
        <v>80</v>
      </c>
      <c r="CN7" s="226" t="s">
        <v>99</v>
      </c>
      <c r="CO7" s="224" t="s">
        <v>494</v>
      </c>
      <c r="CP7" s="224" t="s">
        <v>80</v>
      </c>
      <c r="CQ7" s="224" t="s">
        <v>495</v>
      </c>
      <c r="CR7" s="224" t="s">
        <v>80</v>
      </c>
      <c r="CS7" s="226" t="s">
        <v>102</v>
      </c>
      <c r="CT7" s="224" t="s">
        <v>496</v>
      </c>
      <c r="CU7" s="224" t="s">
        <v>497</v>
      </c>
      <c r="CV7" s="239" t="s">
        <v>498</v>
      </c>
      <c r="CW7" s="224" t="s">
        <v>499</v>
      </c>
      <c r="CX7" s="238" t="s">
        <v>80</v>
      </c>
      <c r="CY7" s="238" t="s">
        <v>500</v>
      </c>
      <c r="CZ7" s="238" t="s">
        <v>501</v>
      </c>
      <c r="DA7" s="235" t="s">
        <v>105</v>
      </c>
      <c r="DB7" s="224" t="s">
        <v>502</v>
      </c>
      <c r="DC7" s="224" t="s">
        <v>80</v>
      </c>
      <c r="DD7" s="224" t="s">
        <v>503</v>
      </c>
      <c r="DE7" s="224" t="s">
        <v>80</v>
      </c>
      <c r="DF7" s="224" t="s">
        <v>504</v>
      </c>
      <c r="DG7" s="224" t="s">
        <v>80</v>
      </c>
      <c r="DH7" s="240" t="s">
        <v>505</v>
      </c>
      <c r="DI7" s="238" t="s">
        <v>506</v>
      </c>
      <c r="DJ7" s="238" t="s">
        <v>507</v>
      </c>
      <c r="DK7" s="224" t="s">
        <v>508</v>
      </c>
      <c r="DL7" s="224" t="s">
        <v>509</v>
      </c>
      <c r="DM7" s="224" t="s">
        <v>463</v>
      </c>
      <c r="DN7" s="224" t="s">
        <v>510</v>
      </c>
      <c r="DO7" s="224" t="s">
        <v>511</v>
      </c>
      <c r="DP7" s="224" t="s">
        <v>463</v>
      </c>
      <c r="DQ7" s="224" t="s">
        <v>512</v>
      </c>
      <c r="DR7" s="224" t="s">
        <v>513</v>
      </c>
      <c r="DS7" s="224" t="s">
        <v>463</v>
      </c>
      <c r="DT7" s="224" t="s">
        <v>514</v>
      </c>
      <c r="DU7" s="224" t="s">
        <v>463</v>
      </c>
      <c r="DV7" s="224" t="s">
        <v>515</v>
      </c>
      <c r="DW7" s="224" t="s">
        <v>463</v>
      </c>
      <c r="DX7" s="224" t="s">
        <v>516</v>
      </c>
      <c r="DY7" s="224" t="s">
        <v>463</v>
      </c>
      <c r="DZ7" s="241" t="s">
        <v>109</v>
      </c>
      <c r="EA7" s="224" t="s">
        <v>517</v>
      </c>
      <c r="EB7" s="227" t="s">
        <v>518</v>
      </c>
      <c r="EC7" s="227" t="s">
        <v>519</v>
      </c>
      <c r="ED7" s="227" t="s">
        <v>520</v>
      </c>
      <c r="EE7" s="227" t="s">
        <v>521</v>
      </c>
      <c r="EF7" s="227" t="s">
        <v>522</v>
      </c>
      <c r="EG7" s="227" t="s">
        <v>523</v>
      </c>
      <c r="EH7" s="227" t="s">
        <v>524</v>
      </c>
      <c r="EI7" s="227" t="s">
        <v>525</v>
      </c>
      <c r="EJ7" s="227" t="s">
        <v>526</v>
      </c>
      <c r="EK7" s="227" t="s">
        <v>527</v>
      </c>
      <c r="EL7" s="227" t="s">
        <v>528</v>
      </c>
      <c r="EM7" s="227" t="s">
        <v>529</v>
      </c>
      <c r="EN7" s="227" t="s">
        <v>80</v>
      </c>
      <c r="EO7" s="240" t="s">
        <v>111</v>
      </c>
      <c r="EP7" s="242" t="s">
        <v>530</v>
      </c>
      <c r="EQ7" s="242" t="s">
        <v>80</v>
      </c>
      <c r="ER7" s="242" t="s">
        <v>531</v>
      </c>
      <c r="ES7" s="242" t="s">
        <v>80</v>
      </c>
      <c r="ET7" s="246" t="s">
        <v>532</v>
      </c>
      <c r="EU7" s="246" t="s">
        <v>80</v>
      </c>
      <c r="EV7" s="237" t="s">
        <v>113</v>
      </c>
      <c r="EW7" s="244" t="s">
        <v>533</v>
      </c>
      <c r="EX7" s="244" t="s">
        <v>80</v>
      </c>
      <c r="EY7" s="251" t="s">
        <v>534</v>
      </c>
      <c r="EZ7" s="251" t="s">
        <v>80</v>
      </c>
      <c r="FA7" s="251" t="s">
        <v>535</v>
      </c>
      <c r="FB7" s="244" t="s">
        <v>80</v>
      </c>
      <c r="FC7" s="226" t="s">
        <v>116</v>
      </c>
      <c r="FD7" s="242" t="s">
        <v>536</v>
      </c>
      <c r="FE7" s="242" t="s">
        <v>80</v>
      </c>
      <c r="FF7" s="242" t="s">
        <v>537</v>
      </c>
      <c r="FG7" s="242" t="s">
        <v>80</v>
      </c>
      <c r="FH7" s="243" t="s">
        <v>119</v>
      </c>
      <c r="FI7" s="244" t="s">
        <v>538</v>
      </c>
      <c r="FJ7" s="244" t="s">
        <v>539</v>
      </c>
      <c r="FK7" s="244" t="s">
        <v>540</v>
      </c>
      <c r="FL7" s="244" t="s">
        <v>80</v>
      </c>
      <c r="FM7" s="245" t="s">
        <v>122</v>
      </c>
    </row>
    <row r="8" spans="1:169" ht="20.100000000000001" customHeight="1">
      <c r="A8" s="192" t="s">
        <v>81</v>
      </c>
      <c r="B8" s="61" t="s">
        <v>541</v>
      </c>
      <c r="C8" s="61">
        <v>1</v>
      </c>
      <c r="D8" s="61" t="s">
        <v>542</v>
      </c>
      <c r="E8" s="61">
        <v>1</v>
      </c>
      <c r="F8" s="61" t="s">
        <v>543</v>
      </c>
      <c r="G8" s="61" cm="1">
        <f t="array" ref="G8">_xlfn.IFS(F8= "Yes", 3, F8 &lt;&gt; "Yes", 1)</f>
        <v>1</v>
      </c>
      <c r="H8" s="61" t="s">
        <v>543</v>
      </c>
      <c r="I8" s="61">
        <v>1</v>
      </c>
      <c r="J8" s="61" t="s">
        <v>543</v>
      </c>
      <c r="K8" s="61">
        <v>1</v>
      </c>
      <c r="L8" s="193">
        <f>C8*$C$6+E8*$E$6+I8*$I$6+K8*$K$6+$G$6*G8</f>
        <v>0.99999999999999989</v>
      </c>
      <c r="M8" s="61" t="s">
        <v>543</v>
      </c>
      <c r="N8" s="61">
        <v>1</v>
      </c>
      <c r="O8" s="61" t="s">
        <v>543</v>
      </c>
      <c r="P8" s="61">
        <v>1</v>
      </c>
      <c r="Q8" s="61" t="s">
        <v>543</v>
      </c>
      <c r="R8" s="61">
        <v>1</v>
      </c>
      <c r="S8" s="66" t="s">
        <v>543</v>
      </c>
      <c r="T8" s="61">
        <v>1</v>
      </c>
      <c r="U8" s="61" t="s">
        <v>543</v>
      </c>
      <c r="V8" s="61">
        <v>1</v>
      </c>
      <c r="W8" s="61" t="s">
        <v>543</v>
      </c>
      <c r="X8" s="61">
        <v>1</v>
      </c>
      <c r="Y8" s="65" t="s">
        <v>543</v>
      </c>
      <c r="Z8" s="61">
        <v>1</v>
      </c>
      <c r="AA8" s="194">
        <f>N8*$N$6+P8*$P$6+R8*$R$6+T8*$T$6+V8*$V$6+X8*$X$6+Z8*$Z$6</f>
        <v>0.99999999999999978</v>
      </c>
      <c r="AB8" s="65" t="s">
        <v>543</v>
      </c>
      <c r="AC8" s="61" t="s">
        <v>542</v>
      </c>
      <c r="AD8" s="61">
        <v>1</v>
      </c>
      <c r="AE8" s="61" t="s">
        <v>543</v>
      </c>
      <c r="AF8" s="61" cm="1">
        <f t="array" ref="AF8">_xlfn.IFS(AE8="NA", 1, AE8="No", 1, AE8="Yes, implicit", 2, AE8="Yes, explicit", 3)</f>
        <v>1</v>
      </c>
      <c r="AG8" s="61" t="s">
        <v>543</v>
      </c>
      <c r="AH8" s="61" t="s">
        <v>543</v>
      </c>
      <c r="AI8" s="61">
        <v>1</v>
      </c>
      <c r="AJ8" s="73">
        <f t="shared" ref="AJ8:AJ38" si="0">SUMPRODUCT($AB$6:$AI$6, AB8:AI8)</f>
        <v>1</v>
      </c>
      <c r="AK8" s="195" t="s">
        <v>544</v>
      </c>
      <c r="AL8" s="195">
        <f>IF(AK8="Undecided",1,3)</f>
        <v>1</v>
      </c>
      <c r="AM8" s="195" t="s">
        <v>545</v>
      </c>
      <c r="AN8" s="195">
        <f>IF(AM8="Y",3,1)</f>
        <v>1</v>
      </c>
      <c r="AO8" s="195" t="s">
        <v>545</v>
      </c>
      <c r="AP8" s="195">
        <f>IF(AO8="Y",3,1)</f>
        <v>1</v>
      </c>
      <c r="AQ8" s="196">
        <f>AL8*$AL$6+AN8*$AN$6+AP8*$AP$6</f>
        <v>0.30000000000000004</v>
      </c>
      <c r="AR8" s="195" t="s">
        <v>545</v>
      </c>
      <c r="AS8" s="195">
        <f>IF(AR8="Y",3,1)</f>
        <v>1</v>
      </c>
      <c r="AT8" s="195" t="s">
        <v>545</v>
      </c>
      <c r="AU8" s="195">
        <f>IF(AT8="Y",3,1)</f>
        <v>1</v>
      </c>
      <c r="AV8" s="195">
        <f>AS8*$AS$6+AU8*$AU$6</f>
        <v>0.2</v>
      </c>
      <c r="AW8" s="197" t="s">
        <v>545</v>
      </c>
      <c r="AX8" s="195">
        <f t="shared" ref="AX8:AX38" si="1">IF(AW8="Y",3,IF(AW8="In Process",2.5,2))*$AW$6</f>
        <v>0.4</v>
      </c>
      <c r="AY8" s="197" t="s">
        <v>546</v>
      </c>
      <c r="AZ8" s="197">
        <f>IF(AY8="Certification",3,1)</f>
        <v>3</v>
      </c>
      <c r="BA8" s="197" t="s">
        <v>545</v>
      </c>
      <c r="BB8" s="195">
        <f>IF(BA8="Y",3,IF(BA8="N",1,2))</f>
        <v>1</v>
      </c>
      <c r="BC8" s="197" t="s">
        <v>545</v>
      </c>
      <c r="BD8" s="195">
        <f>IF(BC8="Y",3,1)</f>
        <v>1</v>
      </c>
      <c r="BE8" s="197">
        <f>AZ8*$AZ$6+BB8*$BB$6+BD8*$BD$6</f>
        <v>0.5</v>
      </c>
      <c r="BF8" s="197"/>
      <c r="BG8" s="197"/>
      <c r="BH8" s="198"/>
      <c r="BI8" s="198"/>
      <c r="BJ8" s="198"/>
      <c r="BK8" s="198"/>
      <c r="BL8" s="199">
        <f>BE8+AX8+AV8+AQ8</f>
        <v>1.4000000000000001</v>
      </c>
      <c r="BM8" s="197" t="s">
        <v>181</v>
      </c>
      <c r="BN8" s="197" cm="1">
        <f t="array" ref="BN8">_xlfn.IFS(BM8="Y", 3, BM8="N", 2)</f>
        <v>3</v>
      </c>
      <c r="BO8" s="197" t="s">
        <v>181</v>
      </c>
      <c r="BP8" s="197" cm="1">
        <f t="array" ref="BP8">_xlfn.IFS(BO8="Y", 3, BO8="N", 2)</f>
        <v>3</v>
      </c>
      <c r="BQ8" s="200">
        <f>SUMPRODUCT($BM$6:$BP$6, BM8:BP8)</f>
        <v>3</v>
      </c>
      <c r="BR8" s="61">
        <v>8200</v>
      </c>
      <c r="BS8" s="61">
        <f>BR8*1000</f>
        <v>8200000</v>
      </c>
      <c r="BT8" s="61">
        <f>BS8/640</f>
        <v>12812.5</v>
      </c>
      <c r="BU8" s="202">
        <v>50645</v>
      </c>
      <c r="BV8" s="203">
        <f>BT8/BU8*100</f>
        <v>25.298647447921809</v>
      </c>
      <c r="BW8" s="204" cm="1">
        <f t="array" ref="BW8">_xlfn.IFS(BV8&gt;44, 3, BV8&lt;26, 1, 44&gt;BV8&gt;26, 2)</f>
        <v>1</v>
      </c>
      <c r="BX8" s="204">
        <v>9016147</v>
      </c>
      <c r="BY8" s="204" cm="1">
        <f t="array" ref="BY8">_xlfn.IFS(BX8&gt;12000000, 3, BX8&lt;4000000, 1, 4000000&gt;BX8&gt;12000000, 2)</f>
        <v>2</v>
      </c>
      <c r="BZ8" s="202">
        <v>5.1133057349812168</v>
      </c>
      <c r="CA8" s="204" cm="1">
        <f t="array" ref="CA8">_xlfn.IFS(BZ8&gt;$BZ$60, 1, BZ8&lt;$BZ$59, 3, BZ8&gt;$BZ$59, 2, BZ8=$BZ$59, 2)</f>
        <v>3</v>
      </c>
      <c r="CB8" s="414">
        <f>SUMPRODUCT($BR$6:$CA$6, BR8:CA8)</f>
        <v>1.9499999999999997</v>
      </c>
      <c r="CC8" s="61">
        <v>2789674</v>
      </c>
      <c r="CD8" s="61" cm="1">
        <f t="array" ref="CD8">_xlfn.IFS(CC8&gt;4200000, 3, CC8&lt;1700000, 1, 4200000&gt;CC8&gt;1700000, 2)</f>
        <v>2</v>
      </c>
      <c r="CE8" s="61">
        <v>1807358.2500000005</v>
      </c>
      <c r="CF8" s="61" cm="1">
        <f t="array" ref="CF8">_xlfn.IFS(CE8&lt;120000, 1, CE8&gt;620000, 3, 620000&gt;CE8&gt;120000, 2)</f>
        <v>3</v>
      </c>
      <c r="CG8" s="61">
        <v>356706.70000000013</v>
      </c>
      <c r="CH8" s="61" cm="1">
        <f t="array" ref="CH8">_xlfn.IFS(CG8&lt;300000, 1, CG8&gt;1700000, 3, 300000&gt;CG8&gt;170000, 2)</f>
        <v>2</v>
      </c>
      <c r="CI8" s="61">
        <v>31.966029519999999</v>
      </c>
      <c r="CJ8" s="61" cm="1">
        <f t="array" ref="CJ8">_xlfn.IFS(CI8&lt;$CI$60, 1, CI8&gt;$CI$61, 3, CI8&lt;$CI$61, 2)</f>
        <v>1</v>
      </c>
      <c r="CK8" s="205">
        <f>SUMPRODUCT($CC$6:$CJ$6, CC8:CJ8)</f>
        <v>1.95</v>
      </c>
      <c r="CL8" s="61">
        <v>8284546</v>
      </c>
      <c r="CM8" s="66" cm="1">
        <f t="array" ref="CM8">_xlfn.IFS(CL8&gt;4600000, 3, CL8&lt;430000, 1, 4600000&gt;CL8&gt;430000, 2)</f>
        <v>3</v>
      </c>
      <c r="CN8" s="194">
        <f t="shared" ref="CN8:CN38" si="2">SUMPRODUCT($CL$6:$CM$6, CL8:CM8)</f>
        <v>3</v>
      </c>
      <c r="CO8" s="65">
        <v>0</v>
      </c>
      <c r="CP8" s="65" cm="1">
        <f t="array" ref="CP8">_xlfn.IFS(CO8=0, 1, CO8="active", 3, CO8="permitted", 2)</f>
        <v>1</v>
      </c>
      <c r="CQ8" s="65">
        <v>0</v>
      </c>
      <c r="CR8" s="65" cm="1">
        <f t="array" ref="CR8">_xlfn.IFS(CQ8=0, 1, CQ8&lt;&gt;0, 3)</f>
        <v>1</v>
      </c>
      <c r="CS8" s="205">
        <v>1</v>
      </c>
      <c r="CT8" s="61" t="s">
        <v>181</v>
      </c>
      <c r="CU8" s="65">
        <v>716</v>
      </c>
      <c r="CV8" s="206">
        <v>52420</v>
      </c>
      <c r="CW8" s="65">
        <f>CU8/CV8</f>
        <v>1.3658908813429989E-2</v>
      </c>
      <c r="CX8" s="207" cm="1">
        <f t="array" ref="CX8">_xlfn.IFS(CT8="N", 0, CW8&lt;$CW$61, 2, CW8 = $CW$61, 2, CW8&gt;$CW$61, 3)</f>
        <v>2</v>
      </c>
      <c r="CY8" s="207">
        <v>1</v>
      </c>
      <c r="CZ8" s="207" cm="1">
        <f t="array" ref="CZ8">_xlfn.IFS(CY8="NA", "NA", CY8=0, 1, CY8=1, 2, CY8&gt;1, 3)</f>
        <v>2</v>
      </c>
      <c r="DA8" s="201">
        <f>SUMPRODUCT($CT$6:$CZ$6, CT8:CZ8)</f>
        <v>2</v>
      </c>
      <c r="DB8" s="208">
        <v>246</v>
      </c>
      <c r="DC8" s="61" cm="1">
        <f t="array" ref="DC8">_xlfn.IFS(DB8&gt;$DB$61, 3, DB8=0, 1, DB8&lt;$DB$61, 2, DB8=$DB$61, 2)</f>
        <v>3</v>
      </c>
      <c r="DD8" s="209">
        <v>1768</v>
      </c>
      <c r="DE8" s="61" cm="1">
        <f t="array" ref="DE8">_xlfn.IFS(DD8&gt;$DD$62, 3, DD8&lt;$DD$60, 1, DD8&gt;$DD$60, 2, DD8=$DD$60, 2)</f>
        <v>1</v>
      </c>
      <c r="DF8" s="61">
        <v>21</v>
      </c>
      <c r="DG8" s="61" cm="1">
        <f t="array" ref="DG8">_xlfn.IFS(DF8=0, 1, DF8&lt;$DF$61, 2, DF8&gt;$DF$61, 3)</f>
        <v>2</v>
      </c>
      <c r="DH8" s="415">
        <f>SUMPRODUCT($DB$6:$DG$6, DB8:DG8)</f>
        <v>1.9999999999999978</v>
      </c>
      <c r="DI8" s="204">
        <v>557530784</v>
      </c>
      <c r="DJ8" s="204">
        <f>DI8/8760</f>
        <v>63645.066666666666</v>
      </c>
      <c r="DK8" s="210">
        <v>10277.099999999999</v>
      </c>
      <c r="DL8" s="211">
        <f>DK8/DJ8</f>
        <v>0.16147520205808041</v>
      </c>
      <c r="DM8" s="210" cm="1">
        <f t="array" ref="DM8">_xlfn.IFS(DL8&gt;$DL$60,3,(AND(DL8&lt;$DL$60,DL8&gt;$DL$59)),2,DL8&lt;$DL$59,1)</f>
        <v>2</v>
      </c>
      <c r="DN8" s="210">
        <v>14205</v>
      </c>
      <c r="DO8" s="212">
        <f>(DN8*1000)/DI8</f>
        <v>2.5478413762351104E-2</v>
      </c>
      <c r="DP8" s="210" cm="1">
        <f t="array" ref="DP8">_xlfn.IFS(DO8&gt;DO$60,3,(AND(DO8&lt;DO$60,DO8&gt;DO$59)),2,DO8&lt;DO$59,1)</f>
        <v>2</v>
      </c>
      <c r="DQ8" s="213">
        <v>17197</v>
      </c>
      <c r="DR8" s="214">
        <f>((DQ8+DK8)/(DJ8+DQ8))-DL8</f>
        <v>0.17837385342540962</v>
      </c>
      <c r="DS8" s="210" cm="1">
        <f t="array" ref="DS8">_xlfn.IFS(DR8&gt;DR$60,3,(AND(DR8&lt;DR$60,DR8&gt;DR$59)),2,DR8&lt;DR$59,1)</f>
        <v>1</v>
      </c>
      <c r="DT8" s="213" t="s">
        <v>547</v>
      </c>
      <c r="DU8" s="213" cm="1">
        <f t="array" ref="DU8">_xlfn.IFS(DT8="no data","",DT8="40-45", 1, DT8= "45-50", 1, DT8="50-55", 1, DT8 ="30-35", 2, DT8="25-30", 2, DT8="35-40", 2, DT8="20-25", 3, DT8="15-20", 3)</f>
        <v>2</v>
      </c>
      <c r="DV8" s="210">
        <v>4691950454.7731552</v>
      </c>
      <c r="DW8" s="210" cm="1">
        <f t="array" ref="DW8">_xlfn.IFS(DV8&gt;DV$60,3,(AND(DV8&lt;DV$60,DV8&gt;DV$59)),2,DV8&lt;DV$59,1)</f>
        <v>2</v>
      </c>
      <c r="DX8" s="215">
        <v>7</v>
      </c>
      <c r="DY8" s="210" cm="1">
        <f t="array" ref="DY8">_xlfn.IFS(DX8&gt;6.99,1,AND(DX8 &gt; 3, DX8 &lt; 7),2,DX8&lt;3.99,3)</f>
        <v>1</v>
      </c>
      <c r="DZ8" s="216">
        <f t="shared" ref="DZ8:DZ38" si="3">SUMPRODUCT($DK$6:$DY$6,DK8:DY8)</f>
        <v>1.8</v>
      </c>
      <c r="EA8" s="217">
        <v>416400</v>
      </c>
      <c r="EB8" s="217">
        <v>430000</v>
      </c>
      <c r="EC8" s="204">
        <v>3165</v>
      </c>
      <c r="ED8" s="204">
        <v>0</v>
      </c>
      <c r="EE8" s="204">
        <v>0</v>
      </c>
      <c r="EF8" s="204">
        <f>ED8+EE8</f>
        <v>0</v>
      </c>
      <c r="EG8" s="204" cm="1">
        <f t="array" ref="EG8">_xlfn.IFS(EF8=0, 1, EF8&gt;2, 3, 0&gt;EF8&gt;3,2)</f>
        <v>1</v>
      </c>
      <c r="EH8" s="204">
        <v>0</v>
      </c>
      <c r="EI8" s="204">
        <v>0</v>
      </c>
      <c r="EJ8" s="204">
        <f>EH8+EI8</f>
        <v>0</v>
      </c>
      <c r="EK8" s="204" cm="1">
        <f t="array" ref="EK8">_xlfn.IFS(EH8+EI8=0, 1, EH8+EI8&gt;5, 3, EH8+EI8=5, 2, 0&gt;EH8+EI8&gt;5, 2)</f>
        <v>1</v>
      </c>
      <c r="EL8" s="204">
        <v>0</v>
      </c>
      <c r="EM8" s="204">
        <v>0</v>
      </c>
      <c r="EN8" s="204" cm="1">
        <f t="array" ref="EN8">_xlfn.IFS(EL8+EM8=0, 1, EL8+EM8&gt;10, 3, EL8+EM8 = 10, 2, 0&gt;EL8+EM8&gt;10, 2)</f>
        <v>1</v>
      </c>
      <c r="EO8" s="218">
        <f t="shared" ref="EO8:EO38" si="4">SUMPRODUCT($ED$6:$EN$6, ED8:EN8)</f>
        <v>1</v>
      </c>
      <c r="EP8" s="61">
        <v>4.5</v>
      </c>
      <c r="EQ8" s="61" cm="1">
        <f t="array" ref="EQ8">_xlfn.IFS(EP8=0, 1, EP8&gt;$EP$60, 3, EP8&lt;$EP$60, 2)</f>
        <v>3</v>
      </c>
      <c r="ER8" s="223">
        <v>0</v>
      </c>
      <c r="ES8" s="223" cm="1">
        <f t="array" ref="ES8">_xlfn.IFS(ER8=0, 1, ER8&gt;$ER$59, 3, ER8&lt;$ER$59, 2)</f>
        <v>1</v>
      </c>
      <c r="ET8" s="61">
        <v>0</v>
      </c>
      <c r="EU8" s="61" cm="1">
        <f t="array" ref="EU8">_xlfn.IFS(ET8=0, 1, ET8=1, 2, ET8&gt;1, 3)</f>
        <v>1</v>
      </c>
      <c r="EV8" s="414">
        <f>SUMPRODUCT($EP$6:$EU$6, EP8:EU8)</f>
        <v>1.4</v>
      </c>
      <c r="EW8" s="204">
        <v>310.41000000000003</v>
      </c>
      <c r="EX8" s="210" cm="1">
        <f t="array" ref="EX8">_xlfn.IFS(EW8&gt;EX$60,3,(AND(EW8&lt;EX$60,EW8&gt;EX$59)),2,EW8&lt;EX$59,1)</f>
        <v>3</v>
      </c>
      <c r="EY8" s="82">
        <v>0</v>
      </c>
      <c r="EZ8" s="210" cm="1">
        <f t="array" ref="EZ8">_xlfn.IFS(EY8&gt;EZ$60,3,(AND(EY8&lt;EZ$60,EY8&gt;EZ$59)),2,EY8&lt;EZ$59,1)</f>
        <v>1</v>
      </c>
      <c r="FA8" s="252">
        <v>979612934250</v>
      </c>
      <c r="FB8" s="210" cm="1">
        <f t="array" ref="FB8">_xlfn.IFS(FA8&gt;FB$60,3,(AND(FA8&lt;FB$60,FA8&gt;FB$59)),2,FA8&lt;FB$59,1)</f>
        <v>2</v>
      </c>
      <c r="FC8" s="416">
        <f t="shared" ref="FC8:FC38" si="5">SUMPRODUCT($EX$6:$FB$6,EX8:FB8)</f>
        <v>2.25</v>
      </c>
      <c r="FD8" s="203">
        <v>1.96</v>
      </c>
      <c r="FE8" s="203" cm="1">
        <f t="array" ref="FE8">_xlfn.IFS(FD8&gt;$FD$60, 3, FD8&lt;$FD$59, 1, FD8&gt;$FD$59, 2)</f>
        <v>3</v>
      </c>
      <c r="FF8" s="61">
        <v>0</v>
      </c>
      <c r="FG8" s="61" cm="1">
        <f t="array" ref="FG8">_xlfn.IFS(FF8&lt;$FF$59, 1, FF8&gt;$FF$60, 3, FF8 = $FF$60, 3, FF8&lt;$FF$60, 2)</f>
        <v>1</v>
      </c>
      <c r="FH8" s="219">
        <f t="shared" ref="FH8:FH38" si="6">SUMPRODUCT($FD$6:$FG$6, FD8:FG8)</f>
        <v>2.1999999999999997</v>
      </c>
      <c r="FI8" s="220">
        <v>1</v>
      </c>
      <c r="FJ8" s="61">
        <v>0</v>
      </c>
      <c r="FK8" s="221">
        <f t="shared" ref="FK8:FK38" si="7">SUM(FI8:FJ8)</f>
        <v>1</v>
      </c>
      <c r="FL8" s="221" cm="1">
        <f t="array" ref="FL8">_xlfn.IFS(FK8&gt;$FK$60, 3, FK8&lt;$FK$59, 1, FK8&gt;$FK$59, 2, FK8=$FK$59, 2)</f>
        <v>1</v>
      </c>
      <c r="FM8" s="222">
        <f t="shared" ref="FM8:FM38" si="8">SUMPRODUCT($FI$6:$FL$6, FI8:FL8)</f>
        <v>1</v>
      </c>
    </row>
    <row r="9" spans="1:169" ht="20.100000000000001" customHeight="1">
      <c r="A9" s="38" t="s">
        <v>83</v>
      </c>
      <c r="B9" s="44" t="s">
        <v>541</v>
      </c>
      <c r="C9" s="44">
        <v>1</v>
      </c>
      <c r="D9" s="44" t="s">
        <v>542</v>
      </c>
      <c r="E9" s="44">
        <v>1</v>
      </c>
      <c r="F9" s="61" t="s">
        <v>543</v>
      </c>
      <c r="G9" s="61" cm="1">
        <f t="array" ref="G9">_xlfn.IFS(F9= "Yes", 3, F9 &lt;&gt; "Yes", 1)</f>
        <v>1</v>
      </c>
      <c r="H9" s="44" t="s">
        <v>543</v>
      </c>
      <c r="I9" s="44">
        <v>1</v>
      </c>
      <c r="J9" s="44" t="s">
        <v>543</v>
      </c>
      <c r="K9" s="44">
        <v>1</v>
      </c>
      <c r="L9" s="193">
        <f>C9*$C$6+E9*$E$6+I9*$I$6+K9*$K$6+$G$6*G9</f>
        <v>0.99999999999999989</v>
      </c>
      <c r="M9" s="44" t="s">
        <v>543</v>
      </c>
      <c r="N9" s="44">
        <v>1</v>
      </c>
      <c r="O9" s="44" t="s">
        <v>543</v>
      </c>
      <c r="P9" s="44">
        <v>1</v>
      </c>
      <c r="Q9" s="44" t="s">
        <v>543</v>
      </c>
      <c r="R9" s="44">
        <v>1</v>
      </c>
      <c r="S9" s="48" t="s">
        <v>543</v>
      </c>
      <c r="T9" s="44">
        <v>1</v>
      </c>
      <c r="U9" s="44" t="s">
        <v>543</v>
      </c>
      <c r="V9" s="44">
        <v>1</v>
      </c>
      <c r="W9" s="44" t="s">
        <v>543</v>
      </c>
      <c r="X9" s="44">
        <v>1</v>
      </c>
      <c r="Y9" s="39" t="s">
        <v>543</v>
      </c>
      <c r="Z9" s="44">
        <v>1</v>
      </c>
      <c r="AA9" s="72">
        <f t="shared" ref="AA9:AA38" si="9">N9*$N$6+P9*$P$6+R9*$R$6+T9*$T$6+V9*$V$6+X9*$X$6+Z9*$Z$6</f>
        <v>0.99999999999999978</v>
      </c>
      <c r="AB9" s="39" t="s">
        <v>543</v>
      </c>
      <c r="AC9" s="44" t="s">
        <v>542</v>
      </c>
      <c r="AD9" s="44">
        <v>1</v>
      </c>
      <c r="AE9" s="44" t="s">
        <v>543</v>
      </c>
      <c r="AF9" s="44" cm="1">
        <f t="array" ref="AF9">_xlfn.IFS(AE9="NA", 1, AE9="No", 1, AE9="Yes, implicit", 2, AE9="Yes, explicit", 3)</f>
        <v>1</v>
      </c>
      <c r="AG9" s="44" t="s">
        <v>543</v>
      </c>
      <c r="AH9" s="44" t="s">
        <v>543</v>
      </c>
      <c r="AI9" s="44">
        <v>1</v>
      </c>
      <c r="AJ9" s="73">
        <f t="shared" si="0"/>
        <v>1</v>
      </c>
      <c r="AK9" s="74" t="s">
        <v>544</v>
      </c>
      <c r="AL9" s="74">
        <f t="shared" ref="AL9:AL57" si="10">IF(AK9="Undecided",1,3)</f>
        <v>1</v>
      </c>
      <c r="AM9" s="74" t="s">
        <v>545</v>
      </c>
      <c r="AN9" s="74">
        <f t="shared" ref="AN9:AN57" si="11">IF(AM9="Y",3,1)</f>
        <v>1</v>
      </c>
      <c r="AO9" s="74" t="s">
        <v>545</v>
      </c>
      <c r="AP9" s="74">
        <f t="shared" ref="AP9:AP57" si="12">IF(AO9="Y",3,1)</f>
        <v>1</v>
      </c>
      <c r="AQ9" s="75">
        <f t="shared" ref="AQ9:AQ38" si="13">AL9*$AL$6+AN9*$AN$6+AP9*$AP$6</f>
        <v>0.30000000000000004</v>
      </c>
      <c r="AR9" s="74" t="s">
        <v>545</v>
      </c>
      <c r="AS9" s="74">
        <f t="shared" ref="AS9:AS57" si="14">IF(AR9="Y",3,1)</f>
        <v>1</v>
      </c>
      <c r="AT9" s="74" t="s">
        <v>545</v>
      </c>
      <c r="AU9" s="74">
        <f t="shared" ref="AU9:AU57" si="15">IF(AT9="Y",3,1)</f>
        <v>1</v>
      </c>
      <c r="AV9" s="74">
        <f t="shared" ref="AV9:AV38" si="16">AS9*$AS$6+AU9*$AU$6</f>
        <v>0.2</v>
      </c>
      <c r="AW9" s="76" t="s">
        <v>548</v>
      </c>
      <c r="AX9" s="195">
        <f t="shared" si="1"/>
        <v>0.5</v>
      </c>
      <c r="AY9" s="76" t="s">
        <v>545</v>
      </c>
      <c r="AZ9" s="76">
        <f t="shared" ref="AZ9:AZ38" si="17">IF(AY9="Certification",3,1)</f>
        <v>1</v>
      </c>
      <c r="BA9" s="76" t="s">
        <v>545</v>
      </c>
      <c r="BB9" s="74">
        <f t="shared" ref="BB9:BB57" si="18">IF(BA9="Y",3,IF(BA9="N",1,2))</f>
        <v>1</v>
      </c>
      <c r="BC9" s="76" t="s">
        <v>181</v>
      </c>
      <c r="BD9" s="74">
        <f t="shared" ref="BD9:BD38" si="19">IF(BC9="Y",3,1)</f>
        <v>3</v>
      </c>
      <c r="BE9" s="76">
        <f t="shared" ref="BE9:BE38" si="20">AZ9*$AZ$6+BB9*$BB$6+BD9*$BD$6</f>
        <v>0.5</v>
      </c>
      <c r="BF9" s="76"/>
      <c r="BG9" s="76"/>
      <c r="BH9" s="77"/>
      <c r="BI9" s="77"/>
      <c r="BJ9" s="77"/>
      <c r="BK9" s="77"/>
      <c r="BL9" s="78">
        <f t="shared" ref="BL9:BL38" si="21">BE9+AX9+AV9+AQ9</f>
        <v>1.5</v>
      </c>
      <c r="BM9" s="76" t="s">
        <v>181</v>
      </c>
      <c r="BN9" s="197" cm="1">
        <f t="array" ref="BN9">_xlfn.IFS(BM9="Y", 3, BM9="N", 2)</f>
        <v>3</v>
      </c>
      <c r="BO9" s="76" t="s">
        <v>545</v>
      </c>
      <c r="BP9" s="197" cm="1">
        <f t="array" ref="BP9">_xlfn.IFS(BO9="Y", 3, BO9="N", 2)</f>
        <v>2</v>
      </c>
      <c r="BQ9" s="79">
        <f t="shared" ref="BQ9:BQ29" si="22">SUMPRODUCT($BM$6:$BP$6, BM9:BP9)</f>
        <v>2.25</v>
      </c>
      <c r="BR9" s="44">
        <v>850</v>
      </c>
      <c r="BS9" s="44">
        <f t="shared" ref="BS9:BS57" si="23">BR9*1000</f>
        <v>850000</v>
      </c>
      <c r="BT9" s="44">
        <f t="shared" ref="BT9:BT57" si="24">BS9/640</f>
        <v>1328.125</v>
      </c>
      <c r="BU9" s="80">
        <v>570641</v>
      </c>
      <c r="BV9" s="81">
        <f t="shared" ref="BV9:BV57" si="25">BT9/BU9*100</f>
        <v>0.23274265256089205</v>
      </c>
      <c r="BW9" s="82" cm="1">
        <f t="array" ref="BW9">_xlfn.IFS(BV9&gt;44, 3, BV9&lt;26, 1, 44&gt;BV9&gt;26, 2)</f>
        <v>1</v>
      </c>
      <c r="BX9" s="82">
        <v>48258</v>
      </c>
      <c r="BY9" s="82" cm="1">
        <f t="array" ref="BY9">_xlfn.IFS(BX9&gt;12000000, 3, BX9&lt;4000000, 1, 4000000&gt;BX9&gt;12000000, 2)</f>
        <v>1</v>
      </c>
      <c r="BZ9" s="80" t="s">
        <v>542</v>
      </c>
      <c r="CA9" s="82" cm="1">
        <f t="array" ref="CA9">_xlfn.IFS(BZ9&gt;$BZ$60, 1, BZ9&lt;$BZ$59, 3, BZ9&gt;$BZ$59, 2, BZ9=$BZ$59, 2)</f>
        <v>1</v>
      </c>
      <c r="CB9" s="413">
        <f t="shared" ref="CB9:CB38" si="26">SUMPRODUCT($BR$6:$CA$6, BR9:CA9)</f>
        <v>1</v>
      </c>
      <c r="CC9" s="44">
        <v>469470</v>
      </c>
      <c r="CD9" s="44" cm="1">
        <f t="array" ref="CD9">_xlfn.IFS(CC9&gt;4200000, 3, CC9&lt;1700000, 1, 4200000&gt;CC9&gt;1700000, 2)</f>
        <v>1</v>
      </c>
      <c r="CE9" s="44">
        <v>1454.4</v>
      </c>
      <c r="CF9" s="44" cm="1">
        <f t="array" ref="CF9">_xlfn.IFS(CE9&lt;120000, 1, CE9&gt;620000, 3, 620000&gt;CE9&gt;120000, 2)</f>
        <v>1</v>
      </c>
      <c r="CG9" s="44">
        <v>0</v>
      </c>
      <c r="CH9" s="44" cm="1">
        <f t="array" ref="CH9">_xlfn.IFS(CG9&lt;300000, 1, CG9&gt;1700000, 3, 300000&gt;CG9&gt;170000, 2)</f>
        <v>1</v>
      </c>
      <c r="CI9" s="44">
        <v>36.149114429999997</v>
      </c>
      <c r="CJ9" s="61" cm="1">
        <f t="array" ref="CJ9">_xlfn.IFS(CI9&lt;$CI$60, 1, CI9&gt;$CI$61, 3, CI9&lt;$CI$61, 2)</f>
        <v>1</v>
      </c>
      <c r="CK9" s="205">
        <f t="shared" ref="CK9:CK57" si="27">SUMPRODUCT($CC$6:$CJ$6, CC9:CJ9)</f>
        <v>1</v>
      </c>
      <c r="CL9" s="44">
        <v>0</v>
      </c>
      <c r="CM9" s="48" cm="1">
        <f t="array" ref="CM9">_xlfn.IFS(CL9&gt;4600000, 3, CL9&lt;430000, 1, 4600000&gt;CL9&gt;430000, 2)</f>
        <v>1</v>
      </c>
      <c r="CN9" s="72">
        <f t="shared" si="2"/>
        <v>1</v>
      </c>
      <c r="CO9" s="39" t="s">
        <v>549</v>
      </c>
      <c r="CP9" s="65" cm="1">
        <f t="array" ref="CP9">_xlfn.IFS(CO9=0, 1, CO9="active", 3, CO9="permitted", 2)</f>
        <v>3</v>
      </c>
      <c r="CQ9" s="39">
        <v>0</v>
      </c>
      <c r="CR9" s="39" cm="1">
        <f t="array" ref="CR9">_xlfn.IFS(CQ9=0, 1, CQ9&lt;&gt;0, 3)</f>
        <v>1</v>
      </c>
      <c r="CS9" s="83">
        <v>3</v>
      </c>
      <c r="CT9" s="44" t="s">
        <v>181</v>
      </c>
      <c r="CU9" s="82">
        <v>75439</v>
      </c>
      <c r="CV9" s="82">
        <v>665384</v>
      </c>
      <c r="CW9" s="39">
        <f>CU9/CV9</f>
        <v>0.11337663664891251</v>
      </c>
      <c r="CX9" s="207" cm="1">
        <f t="array" ref="CX9">_xlfn.IFS(CT9="N", 0, CW9&lt;$CW$61, 2, CW9 = $CW$61, 2, CW9&gt;$CW$61, 3)</f>
        <v>3</v>
      </c>
      <c r="CY9" s="207">
        <v>1</v>
      </c>
      <c r="CZ9" s="207" cm="1">
        <f t="array" ref="CZ9">_xlfn.IFS(CY9="NA", "NA", CY9=0, 1, CY9=1, 2, CY9&gt;1, 3)</f>
        <v>2</v>
      </c>
      <c r="DA9" s="201">
        <f t="shared" ref="DA9:DA57" si="28">SUMPRODUCT($CT$6:$CZ$6, CT9:CZ9)</f>
        <v>2.75</v>
      </c>
      <c r="DB9" s="101">
        <v>1620</v>
      </c>
      <c r="DC9" s="61" cm="1">
        <f t="array" ref="DC9">_xlfn.IFS(DB9&gt;$DB$61, 3, DB9=0, 1, DB9&lt;$DB$61, 2, DB9=$DB$61, 2)</f>
        <v>3</v>
      </c>
      <c r="DD9" s="87">
        <v>2015</v>
      </c>
      <c r="DE9" s="44" cm="1">
        <f t="array" ref="DE9">_xlfn.IFS(DD9&gt;$DD$62, 3, DD9&lt;$DD$60, 1, DD9&gt;$DD$60, 2, DD9=$DD$60, 2)</f>
        <v>1</v>
      </c>
      <c r="DF9" s="44">
        <v>12</v>
      </c>
      <c r="DG9" s="61" cm="1">
        <f t="array" ref="DG9">_xlfn.IFS(DF9=0, 1, DF9&lt;$DF$61, 2, DF9&gt;$DF$61, 3)</f>
        <v>2</v>
      </c>
      <c r="DH9" s="415">
        <f t="shared" ref="DH9:DH57" si="29">SUMPRODUCT($DB$6:$DG$6, DB9:DG9)</f>
        <v>1.9999999999999978</v>
      </c>
      <c r="DI9" s="82">
        <v>212200746</v>
      </c>
      <c r="DJ9" s="82">
        <f t="shared" ref="DJ9:DJ57" si="30">DI9/8760</f>
        <v>24223.829452054793</v>
      </c>
      <c r="DK9" s="88">
        <v>596.39999999999986</v>
      </c>
      <c r="DL9" s="89">
        <f t="shared" ref="DL9:DL57" si="31">DK9/DJ9</f>
        <v>2.4620384699307319E-2</v>
      </c>
      <c r="DM9" s="88" cm="1">
        <f t="array" ref="DM9">_xlfn.IFS(DL9&gt;$DL$60,3,(AND(DL9&lt;$DL$60,DL9&gt;$DL$59)),2,DL9&lt;$DL$59,1)</f>
        <v>1</v>
      </c>
      <c r="DN9" s="88">
        <v>1530</v>
      </c>
      <c r="DO9" s="90">
        <f t="shared" ref="DO9:DO57" si="32">(DN9*1000)/DI9</f>
        <v>7.2101537286772778E-3</v>
      </c>
      <c r="DP9" s="88" cm="1">
        <f t="array" ref="DP9">_xlfn.IFS(DO9&gt;DO$60,3,(AND(DO9&lt;DO$60,DO9&gt;DO$59)),2,DO9&lt;DO$59,1)</f>
        <v>1</v>
      </c>
      <c r="DQ9" s="44"/>
      <c r="DR9" s="92">
        <f t="shared" ref="DR9:DR57" si="33">((DQ9+DK9)/(DJ9+DQ9))-DL9</f>
        <v>0</v>
      </c>
      <c r="DS9" s="88" cm="1">
        <f t="array" ref="DS9">_xlfn.IFS(DR9&gt;DR$60,3,(AND(DR9&lt;DR$60,DR9&gt;DR$59)),2,DR9&lt;DR$59,1)</f>
        <v>1</v>
      </c>
      <c r="DT9" s="44" t="s">
        <v>550</v>
      </c>
      <c r="DU9" s="213">
        <v>1</v>
      </c>
      <c r="DV9" s="44"/>
      <c r="DW9" s="88" cm="1">
        <f t="array" ref="DW9">_xlfn.IFS(DV9&gt;DV$60,3,(AND(DV9&lt;DV$60,DV9&gt;DV$59)),2,DV9&lt;DV$59,1)</f>
        <v>1</v>
      </c>
      <c r="DX9" s="93">
        <v>7</v>
      </c>
      <c r="DY9" s="88" cm="1">
        <f t="array" ref="DY9">_xlfn.IFS(DX9&gt;6.99,1,AND(DX9 &gt; 3, DX9 &lt; 7),2,DX9&lt;3.99,3)</f>
        <v>1</v>
      </c>
      <c r="DZ9" s="94">
        <f t="shared" si="3"/>
        <v>0.99999999999999989</v>
      </c>
      <c r="EA9" s="102" t="s">
        <v>551</v>
      </c>
      <c r="EB9" s="95" t="s">
        <v>551</v>
      </c>
      <c r="EC9" s="44">
        <v>506</v>
      </c>
      <c r="ED9" s="44">
        <v>0</v>
      </c>
      <c r="EE9" s="44">
        <v>0</v>
      </c>
      <c r="EF9" s="82">
        <f t="shared" ref="EF9:EF57" si="34">ED9+EE9</f>
        <v>0</v>
      </c>
      <c r="EG9" s="204" cm="1">
        <f t="array" ref="EG9">_xlfn.IFS(EF9=0, 1, EF9&gt;2, 3, 0&gt;EF9&gt;3,2)</f>
        <v>1</v>
      </c>
      <c r="EH9" s="44">
        <v>10</v>
      </c>
      <c r="EI9" s="44">
        <v>4</v>
      </c>
      <c r="EJ9" s="82">
        <f t="shared" ref="EJ9:EJ57" si="35">EH9+EI9</f>
        <v>14</v>
      </c>
      <c r="EK9" s="82" cm="1">
        <f t="array" ref="EK9">_xlfn.IFS(EH9+EI9=0, 1, EH9+EI9&gt;5, 3, EH9+EI9=5, 2, 0&gt;EH9+EI9&gt;5, 2)</f>
        <v>3</v>
      </c>
      <c r="EL9" s="44">
        <v>33</v>
      </c>
      <c r="EM9" s="44">
        <v>16</v>
      </c>
      <c r="EN9" s="82" cm="1">
        <f t="array" ref="EN9">_xlfn.IFS(EL9+EM9=0, 1, EL9+EM9&gt;10, 3, EL9+EM9 = 10, 2, 0&gt;EL9+EM9&gt;10, 2)</f>
        <v>3</v>
      </c>
      <c r="EO9" s="96">
        <f t="shared" si="4"/>
        <v>2.333333333333333</v>
      </c>
      <c r="EP9" s="44">
        <v>0</v>
      </c>
      <c r="EQ9" s="61" cm="1">
        <f t="array" ref="EQ9">_xlfn.IFS(EP9=0, 1, EP9&gt;$EP$60, 3, EP9&lt;$EP$60, 2)</f>
        <v>1</v>
      </c>
      <c r="ER9" s="100">
        <v>0</v>
      </c>
      <c r="ES9" s="100" cm="1">
        <f t="array" ref="ES9">_xlfn.IFS(ER9=0, 1, ER9&gt;$ER$59, 3, ER9&lt;$ER$59, 2)</f>
        <v>1</v>
      </c>
      <c r="ET9" s="44">
        <v>0</v>
      </c>
      <c r="EU9" s="44" cm="1">
        <f t="array" ref="EU9">_xlfn.IFS(ET9=0, 1, ET9=1, 2, ET9&gt;1, 3)</f>
        <v>1</v>
      </c>
      <c r="EV9" s="413">
        <f t="shared" ref="EV9:EV38" si="36">SUMPRODUCT($EP$6:$EU$6, EP9:EU9)</f>
        <v>1</v>
      </c>
      <c r="EW9" s="44">
        <v>13.44</v>
      </c>
      <c r="EX9" s="210" cm="1">
        <f t="array" ref="EX9">_xlfn.IFS(EW9&gt;EX$60,3,(AND(EW9&lt;EX$60,EW9&gt;EX$59)),2,EW9&lt;EX$59,1)</f>
        <v>2</v>
      </c>
      <c r="EY9" s="253">
        <v>8770335039297.5</v>
      </c>
      <c r="EZ9" s="210" cm="1">
        <f t="array" ref="EZ9">_xlfn.IFS(EY9&gt;EZ$60,3,(AND(EY9&lt;EZ$60,EY9&gt;EZ$59)),2,EY9&lt;EZ$59,1)</f>
        <v>3</v>
      </c>
      <c r="FA9" s="44">
        <v>182319359781185</v>
      </c>
      <c r="FB9" s="210" cm="1">
        <f t="array" ref="FB9">_xlfn.IFS(FA9&gt;FB$60,3,(AND(FA9&lt;FB$60,FA9&gt;FB$59)),2,FA9&lt;FB$59,1)</f>
        <v>3</v>
      </c>
      <c r="FC9" s="416">
        <f t="shared" si="5"/>
        <v>2.5</v>
      </c>
      <c r="FD9" s="81">
        <v>4.59</v>
      </c>
      <c r="FE9" s="81" cm="1">
        <f t="array" ref="FE9">_xlfn.IFS(FD9&gt;$FD$60, 3, FD9&lt;$FD$59, 1, FD9&gt;$FD$59, 2)</f>
        <v>3</v>
      </c>
      <c r="FF9" s="44">
        <v>5</v>
      </c>
      <c r="FG9" s="61" cm="1">
        <f t="array" ref="FG9">_xlfn.IFS(FF9&lt;$FF$59, 1, FF9&gt;$FF$60, 3, FF9 = $FF$60, 3, FF9&lt;$FF$60, 2)</f>
        <v>3</v>
      </c>
      <c r="FH9" s="97">
        <f t="shared" si="6"/>
        <v>3</v>
      </c>
      <c r="FI9" s="102">
        <v>2</v>
      </c>
      <c r="FJ9" s="44">
        <v>4</v>
      </c>
      <c r="FK9" s="98">
        <f t="shared" si="7"/>
        <v>6</v>
      </c>
      <c r="FL9" s="98" cm="1">
        <f t="array" ref="FL9">_xlfn.IFS(FK9&gt;$FK$60, 3, FK9&lt;$FK$59, 1, FK9&gt;$FK$59, 2, FK9=$FK$59, 2)</f>
        <v>2</v>
      </c>
      <c r="FM9" s="99">
        <f t="shared" si="8"/>
        <v>2</v>
      </c>
    </row>
    <row r="10" spans="1:169" ht="20.100000000000001" customHeight="1">
      <c r="A10" s="38" t="s">
        <v>74</v>
      </c>
      <c r="B10" s="44" t="s">
        <v>541</v>
      </c>
      <c r="C10" s="44">
        <v>1</v>
      </c>
      <c r="D10" s="44" t="s">
        <v>542</v>
      </c>
      <c r="E10" s="44">
        <v>1</v>
      </c>
      <c r="F10" s="61" t="s">
        <v>543</v>
      </c>
      <c r="G10" s="61" cm="1">
        <f t="array" ref="G10">_xlfn.IFS(F10= "Yes", 3, F10 &lt;&gt; "Yes", 1)</f>
        <v>1</v>
      </c>
      <c r="H10" s="44" t="s">
        <v>552</v>
      </c>
      <c r="I10" s="44">
        <v>2</v>
      </c>
      <c r="J10" s="44" t="s">
        <v>543</v>
      </c>
      <c r="K10" s="44">
        <v>1</v>
      </c>
      <c r="L10" s="193">
        <f>C10*$C$6+E10*$E$6+I10*$I$6+K10*$K$6+$G$6*G10</f>
        <v>1.25</v>
      </c>
      <c r="M10" s="44" t="s">
        <v>543</v>
      </c>
      <c r="N10" s="44">
        <v>1</v>
      </c>
      <c r="O10" s="44" t="s">
        <v>543</v>
      </c>
      <c r="P10" s="44">
        <v>1</v>
      </c>
      <c r="Q10" s="44" t="s">
        <v>543</v>
      </c>
      <c r="R10" s="44">
        <v>1</v>
      </c>
      <c r="S10" s="48" t="s">
        <v>543</v>
      </c>
      <c r="T10" s="44">
        <v>1</v>
      </c>
      <c r="U10" s="44" t="s">
        <v>543</v>
      </c>
      <c r="V10" s="44">
        <v>1</v>
      </c>
      <c r="W10" s="44" t="s">
        <v>543</v>
      </c>
      <c r="X10" s="44">
        <v>1</v>
      </c>
      <c r="Y10" s="39" t="s">
        <v>543</v>
      </c>
      <c r="Z10" s="44">
        <v>1</v>
      </c>
      <c r="AA10" s="72">
        <f t="shared" si="9"/>
        <v>0.99999999999999978</v>
      </c>
      <c r="AB10" s="39" t="s">
        <v>543</v>
      </c>
      <c r="AC10" s="44" t="s">
        <v>542</v>
      </c>
      <c r="AD10" s="44">
        <v>1</v>
      </c>
      <c r="AE10" s="44" t="s">
        <v>543</v>
      </c>
      <c r="AF10" s="44" cm="1">
        <f t="array" ref="AF10">_xlfn.IFS(AE10="NA", 1, AE10="No", 1, AE10="Yes, implicit", 2, AE10="Yes, explicit", 3)</f>
        <v>1</v>
      </c>
      <c r="AG10" s="44" t="s">
        <v>543</v>
      </c>
      <c r="AH10" s="44" t="s">
        <v>543</v>
      </c>
      <c r="AI10" s="44">
        <v>1</v>
      </c>
      <c r="AJ10" s="73">
        <f t="shared" si="0"/>
        <v>1</v>
      </c>
      <c r="AK10" s="74" t="s">
        <v>544</v>
      </c>
      <c r="AL10" s="74">
        <f t="shared" si="10"/>
        <v>1</v>
      </c>
      <c r="AM10" s="74" t="s">
        <v>545</v>
      </c>
      <c r="AN10" s="74">
        <f t="shared" si="11"/>
        <v>1</v>
      </c>
      <c r="AO10" s="74" t="s">
        <v>545</v>
      </c>
      <c r="AP10" s="74">
        <f t="shared" si="12"/>
        <v>1</v>
      </c>
      <c r="AQ10" s="75">
        <f t="shared" si="13"/>
        <v>0.30000000000000004</v>
      </c>
      <c r="AR10" s="74" t="s">
        <v>545</v>
      </c>
      <c r="AS10" s="74">
        <f t="shared" si="14"/>
        <v>1</v>
      </c>
      <c r="AT10" s="74" t="s">
        <v>545</v>
      </c>
      <c r="AU10" s="74">
        <f t="shared" si="15"/>
        <v>1</v>
      </c>
      <c r="AV10" s="74">
        <f t="shared" si="16"/>
        <v>0.2</v>
      </c>
      <c r="AW10" s="76" t="s">
        <v>548</v>
      </c>
      <c r="AX10" s="195">
        <f t="shared" si="1"/>
        <v>0.5</v>
      </c>
      <c r="AY10" s="76" t="s">
        <v>546</v>
      </c>
      <c r="AZ10" s="76">
        <f t="shared" si="17"/>
        <v>3</v>
      </c>
      <c r="BA10" s="76" t="s">
        <v>545</v>
      </c>
      <c r="BB10" s="74">
        <f t="shared" si="18"/>
        <v>1</v>
      </c>
      <c r="BC10" s="76" t="s">
        <v>545</v>
      </c>
      <c r="BD10" s="74">
        <f t="shared" si="19"/>
        <v>1</v>
      </c>
      <c r="BE10" s="76">
        <f t="shared" si="20"/>
        <v>0.5</v>
      </c>
      <c r="BF10" s="76"/>
      <c r="BG10" s="76"/>
      <c r="BH10" s="77"/>
      <c r="BI10" s="77"/>
      <c r="BJ10" s="77"/>
      <c r="BK10" s="77"/>
      <c r="BL10" s="78">
        <f t="shared" si="21"/>
        <v>1.5</v>
      </c>
      <c r="BM10" s="76" t="s">
        <v>545</v>
      </c>
      <c r="BN10" s="197" cm="1">
        <f t="array" ref="BN10">_xlfn.IFS(BM10="Y", 3, BM10="N", 2)</f>
        <v>2</v>
      </c>
      <c r="BO10" s="76" t="s">
        <v>545</v>
      </c>
      <c r="BP10" s="197" cm="1">
        <f t="array" ref="BP10">_xlfn.IFS(BO10="Y", 3, BO10="N", 2)</f>
        <v>2</v>
      </c>
      <c r="BQ10" s="79">
        <f t="shared" si="22"/>
        <v>2</v>
      </c>
      <c r="BR10" s="82">
        <v>26200</v>
      </c>
      <c r="BS10" s="44">
        <f t="shared" si="23"/>
        <v>26200000</v>
      </c>
      <c r="BT10" s="44">
        <f t="shared" si="24"/>
        <v>40937.5</v>
      </c>
      <c r="BU10" s="80">
        <v>113594</v>
      </c>
      <c r="BV10" s="81">
        <f t="shared" si="25"/>
        <v>36.038435128615944</v>
      </c>
      <c r="BW10" s="82" cm="1">
        <f t="array" ref="BW10">_xlfn.IFS(BV10&gt;44, 3, BV10&lt;26, 1, 44&gt;BV10&gt;26, 2)</f>
        <v>2</v>
      </c>
      <c r="BX10" s="82">
        <v>5547604</v>
      </c>
      <c r="BY10" s="82" cm="1">
        <f t="array" ref="BY10">_xlfn.IFS(BX10&gt;12000000, 3, BX10&lt;4000000, 1, 4000000&gt;BX10&gt;12000000, 2)</f>
        <v>2</v>
      </c>
      <c r="BZ10" s="80">
        <v>7.8509912220346925</v>
      </c>
      <c r="CA10" s="82" cm="1">
        <f t="array" ref="CA10">_xlfn.IFS(BZ10&gt;$BZ$60, 1, BZ10&lt;$BZ$59, 3, BZ10&gt;$BZ$59, 2, BZ10=$BZ$59, 2)</f>
        <v>1</v>
      </c>
      <c r="CB10" s="413">
        <f t="shared" si="26"/>
        <v>1.65</v>
      </c>
      <c r="CC10" s="44">
        <v>3605111</v>
      </c>
      <c r="CD10" s="44" cm="1">
        <f t="array" ref="CD10">_xlfn.IFS(CC10&gt;4200000, 3, CC10&lt;1700000, 1, 4200000&gt;CC10&gt;1700000, 2)</f>
        <v>2</v>
      </c>
      <c r="CE10" s="44">
        <v>211597.14</v>
      </c>
      <c r="CF10" s="44" cm="1">
        <f t="array" ref="CF10">_xlfn.IFS(CE10&lt;120000, 1, CE10&gt;620000, 3, 620000&gt;CE10&gt;120000, 2)</f>
        <v>2</v>
      </c>
      <c r="CG10" s="44">
        <v>64194.5</v>
      </c>
      <c r="CH10" s="44" cm="1">
        <f t="array" ref="CH10">_xlfn.IFS(CG10&lt;300000, 1, CG10&gt;1700000, 3, 300000&gt;CG10&gt;170000, 2)</f>
        <v>1</v>
      </c>
      <c r="CI10" s="44">
        <v>86.505461870000005</v>
      </c>
      <c r="CJ10" s="61" cm="1">
        <f t="array" ref="CJ10">_xlfn.IFS(CI10&lt;$CI$60, 1, CI10&gt;$CI$61, 3, CI10&lt;$CI$61, 2)</f>
        <v>3</v>
      </c>
      <c r="CK10" s="205">
        <f t="shared" si="27"/>
        <v>1.9</v>
      </c>
      <c r="CL10" s="44">
        <v>1893202</v>
      </c>
      <c r="CM10" s="48" cm="1">
        <f t="array" ref="CM10">_xlfn.IFS(CL10&gt;4600000, 3, CL10&lt;430000, 1, 4600000&gt;CL10&gt;430000, 2)</f>
        <v>2</v>
      </c>
      <c r="CN10" s="72">
        <f t="shared" si="2"/>
        <v>2</v>
      </c>
      <c r="CO10" s="39">
        <v>0</v>
      </c>
      <c r="CP10" s="65" cm="1">
        <f t="array" ref="CP10">_xlfn.IFS(CO10=0, 1, CO10="active", 3, CO10="permitted", 2)</f>
        <v>1</v>
      </c>
      <c r="CQ10" s="39">
        <v>9690000</v>
      </c>
      <c r="CR10" s="39" cm="1">
        <f t="array" ref="CR10">_xlfn.IFS(CQ10=0, 1, CQ10&lt;&gt;0, 3)</f>
        <v>3</v>
      </c>
      <c r="CS10" s="83">
        <v>3</v>
      </c>
      <c r="CT10" s="44" t="s">
        <v>545</v>
      </c>
      <c r="CU10" s="82">
        <v>0</v>
      </c>
      <c r="CV10" s="82">
        <v>113990</v>
      </c>
      <c r="CW10" s="39" t="s">
        <v>542</v>
      </c>
      <c r="CX10" s="207" cm="1">
        <f t="array" ref="CX10">_xlfn.IFS(CT10="N", 0, CW10&lt;$CW$61, 2, CW10 = $CW$61, 2, CW10&gt;$CW$61, 3)</f>
        <v>0</v>
      </c>
      <c r="CY10" s="207" t="s">
        <v>542</v>
      </c>
      <c r="CZ10" s="207" t="str" cm="1">
        <f t="array" ref="CZ10">_xlfn.IFS(CY10="NA", "NA", CY10=0, 1, CY10=1, 2, CY10&gt;1, 3)</f>
        <v>NA</v>
      </c>
      <c r="DA10" s="201">
        <f t="shared" si="28"/>
        <v>0</v>
      </c>
      <c r="DB10" s="86">
        <v>0</v>
      </c>
      <c r="DC10" s="61" cm="1">
        <f t="array" ref="DC10">_xlfn.IFS(DB10&gt;$DB$61, 3, DB10=0, 1, DB10&lt;$DB$61, 2, DB10=$DB$61, 2)</f>
        <v>1</v>
      </c>
      <c r="DD10" s="87">
        <v>60537</v>
      </c>
      <c r="DE10" s="44" cm="1">
        <f t="array" ref="DE10">_xlfn.IFS(DD10&gt;$DD$62, 3, DD10&lt;$DD$60, 1, DD10&gt;$DD$60, 2, DD10=$DD$60, 2)</f>
        <v>3</v>
      </c>
      <c r="DF10" s="44">
        <v>263</v>
      </c>
      <c r="DG10" s="61" cm="1">
        <f t="array" ref="DG10">_xlfn.IFS(DF10=0, 1, DF10&lt;$DF$61, 2, DF10&gt;$DF$61, 3)</f>
        <v>2</v>
      </c>
      <c r="DH10" s="415">
        <f t="shared" si="29"/>
        <v>1.9999999999999978</v>
      </c>
      <c r="DI10" s="82">
        <v>447484942</v>
      </c>
      <c r="DJ10" s="82">
        <f t="shared" si="30"/>
        <v>51082.755936073059</v>
      </c>
      <c r="DK10" s="88">
        <v>11861.800000000001</v>
      </c>
      <c r="DL10" s="89">
        <f t="shared" si="31"/>
        <v>0.23220751861634711</v>
      </c>
      <c r="DM10" s="88" cm="1">
        <f t="array" ref="DM10">_xlfn.IFS(DL10&gt;$DL$60,3,(AND(DL10&lt;$DL$60,DL10&gt;$DL$59)),2,DL10&lt;$DL$59,1)</f>
        <v>3</v>
      </c>
      <c r="DN10" s="88">
        <v>15210</v>
      </c>
      <c r="DO10" s="90">
        <f t="shared" si="32"/>
        <v>3.3989970549668236E-2</v>
      </c>
      <c r="DP10" s="88" cm="1">
        <f t="array" ref="DP10">_xlfn.IFS(DO10&gt;DO$60,3,(AND(DO10&lt;DO$60,DO10&gt;DO$59)),2,DO10&lt;DO$59,1)</f>
        <v>2</v>
      </c>
      <c r="DQ10" s="91">
        <v>149820</v>
      </c>
      <c r="DR10" s="92">
        <f t="shared" si="33"/>
        <v>0.57256889794733046</v>
      </c>
      <c r="DS10" s="88" cm="1">
        <f t="array" ref="DS10">_xlfn.IFS(DR10&gt;DR$60,3,(AND(DR10&lt;DR$60,DR10&gt;DR$59)),2,DR10&lt;DR$59,1)</f>
        <v>3</v>
      </c>
      <c r="DT10" s="91" t="s">
        <v>547</v>
      </c>
      <c r="DU10" s="213" cm="1">
        <f t="array" ref="DU10">_xlfn.IFS(DT10="no data","",DT10="40-45", 1, DT10= "45-50", 1, DT10="50-55", 1, DT10 ="30-35", 2, DT10="25-30", 2, DT10="35-40", 2, DT10="20-25", 3, DT10="15-20", 3)</f>
        <v>2</v>
      </c>
      <c r="DV10" s="88">
        <v>23414066482.312748</v>
      </c>
      <c r="DW10" s="88" cm="1">
        <f t="array" ref="DW10">_xlfn.IFS(DV10&gt;DV$60,3,(AND(DV10&lt;DV$60,DV10&gt;DV$59)),2,DV10&lt;DV$59,1)</f>
        <v>3</v>
      </c>
      <c r="DX10" s="93">
        <v>5</v>
      </c>
      <c r="DY10" s="88" cm="1">
        <f t="array" ref="DY10">_xlfn.IFS(DX10&gt;6.99,1,AND(DX10 &gt; 3, DX10 &lt; 7),2,DX10&lt;3.99,3)</f>
        <v>2</v>
      </c>
      <c r="DZ10" s="94">
        <f t="shared" si="3"/>
        <v>2.5</v>
      </c>
      <c r="EA10" s="95">
        <v>133900</v>
      </c>
      <c r="EB10" s="95">
        <v>301000</v>
      </c>
      <c r="EC10" s="44">
        <v>1.724</v>
      </c>
      <c r="ED10" s="44">
        <v>5</v>
      </c>
      <c r="EE10" s="44">
        <v>2</v>
      </c>
      <c r="EF10" s="82">
        <f t="shared" si="34"/>
        <v>7</v>
      </c>
      <c r="EG10" s="204" cm="1">
        <f t="array" ref="EG10">_xlfn.IFS(EF10=0, 1, EF10&gt;2, 3, 0&gt;EF10&gt;3,2)</f>
        <v>3</v>
      </c>
      <c r="EH10" s="44">
        <v>8</v>
      </c>
      <c r="EI10" s="44">
        <v>21</v>
      </c>
      <c r="EJ10" s="82">
        <f t="shared" si="35"/>
        <v>29</v>
      </c>
      <c r="EK10" s="82" cm="1">
        <f t="array" ref="EK10">_xlfn.IFS(EH10+EI10=0, 1, EH10+EI10&gt;5, 3, EH10+EI10=5, 2, 0&gt;EH10+EI10&gt;5, 2)</f>
        <v>3</v>
      </c>
      <c r="EL10" s="44">
        <v>0</v>
      </c>
      <c r="EM10" s="44">
        <v>1</v>
      </c>
      <c r="EN10" s="82" cm="1">
        <f t="array" ref="EN10">_xlfn.IFS(EL10+EM10=0, 1, EL10+EM10&gt;10, 3, EL10+EM10 = 10, 2, 0&gt;EL10+EM10&gt;10, 2)</f>
        <v>2</v>
      </c>
      <c r="EO10" s="96">
        <f t="shared" si="4"/>
        <v>2.6666666666666665</v>
      </c>
      <c r="EP10" s="44">
        <v>0.5</v>
      </c>
      <c r="EQ10" s="61" cm="1">
        <f t="array" ref="EQ10">_xlfn.IFS(EP10=0, 1, EP10&gt;$EP$60, 3, EP10&lt;$EP$60, 2)</f>
        <v>2</v>
      </c>
      <c r="ER10" s="100">
        <v>0</v>
      </c>
      <c r="ES10" s="100" cm="1">
        <f t="array" ref="ES10">_xlfn.IFS(ER10=0, 1, ER10&gt;$ER$59, 3, ER10&lt;$ER$59, 2)</f>
        <v>1</v>
      </c>
      <c r="ET10" s="44">
        <v>0</v>
      </c>
      <c r="EU10" s="44" cm="1">
        <f t="array" ref="EU10">_xlfn.IFS(ET10=0, 1, ET10=1, 2, ET10&gt;1, 3)</f>
        <v>1</v>
      </c>
      <c r="EV10" s="413">
        <f t="shared" si="36"/>
        <v>1.2000000000000002</v>
      </c>
      <c r="EW10" s="44">
        <v>0.42</v>
      </c>
      <c r="EX10" s="210" cm="1">
        <f t="array" ref="EX10">_xlfn.IFS(EW10&gt;EX$60,3,(AND(EW10&lt;EX$60,EW10&gt;EX$59)),2,EW10&lt;EX$59,1)</f>
        <v>1</v>
      </c>
      <c r="EY10" s="44">
        <v>0</v>
      </c>
      <c r="EZ10" s="210" cm="1">
        <f t="array" ref="EZ10">_xlfn.IFS(EY10&gt;EZ$60,3,(AND(EY10&lt;EZ$60,EY10&gt;EZ$59)),2,EY10&lt;EZ$59,1)</f>
        <v>1</v>
      </c>
      <c r="FA10" s="44">
        <v>54004727046580</v>
      </c>
      <c r="FB10" s="210" cm="1">
        <f t="array" ref="FB10">_xlfn.IFS(FA10&gt;FB$60,3,(AND(FA10&lt;FB$60,FA10&gt;FB$59)),2,FA10&lt;FB$59,1)</f>
        <v>3</v>
      </c>
      <c r="FC10" s="416">
        <f t="shared" si="5"/>
        <v>1.5</v>
      </c>
      <c r="FD10" s="81">
        <v>10.31</v>
      </c>
      <c r="FE10" s="81" cm="1">
        <f t="array" ref="FE10">_xlfn.IFS(FD10&gt;$FD$60, 3, FD10&lt;$FD$59, 1, FD10&gt;$FD$59, 2)</f>
        <v>3</v>
      </c>
      <c r="FF10" s="44">
        <v>1</v>
      </c>
      <c r="FG10" s="61" cm="1">
        <f t="array" ref="FG10">_xlfn.IFS(FF10&lt;$FF$59, 1, FF10&gt;$FF$60, 3, FF10 = $FF$60, 3, FF10&lt;$FF$60, 2)</f>
        <v>2</v>
      </c>
      <c r="FH10" s="97">
        <f t="shared" si="6"/>
        <v>2.5999999999999996</v>
      </c>
      <c r="FI10" s="102">
        <v>10</v>
      </c>
      <c r="FJ10" s="44">
        <v>5</v>
      </c>
      <c r="FK10" s="98">
        <f t="shared" si="7"/>
        <v>15</v>
      </c>
      <c r="FL10" s="98" cm="1">
        <f t="array" ref="FL10">_xlfn.IFS(FK10&gt;$FK$60, 3, FK10&lt;$FK$59, 1, FK10&gt;$FK$59, 2, FK10=$FK$59, 2)</f>
        <v>3</v>
      </c>
      <c r="FM10" s="99">
        <f t="shared" si="8"/>
        <v>3</v>
      </c>
    </row>
    <row r="11" spans="1:169" ht="20.100000000000001" customHeight="1">
      <c r="A11" s="38" t="s">
        <v>88</v>
      </c>
      <c r="B11" s="44" t="s">
        <v>541</v>
      </c>
      <c r="C11" s="44">
        <v>1</v>
      </c>
      <c r="D11" s="44" t="s">
        <v>542</v>
      </c>
      <c r="E11" s="44">
        <v>1</v>
      </c>
      <c r="F11" s="61" t="s">
        <v>543</v>
      </c>
      <c r="G11" s="61" cm="1">
        <f t="array" ref="G11">_xlfn.IFS(F11= "Yes", 3, F11 &lt;&gt; "Yes", 1)</f>
        <v>1</v>
      </c>
      <c r="H11" s="44" t="s">
        <v>553</v>
      </c>
      <c r="I11" s="44">
        <v>3</v>
      </c>
      <c r="J11" s="44" t="s">
        <v>543</v>
      </c>
      <c r="K11" s="44">
        <v>1</v>
      </c>
      <c r="L11" s="193">
        <f>C11*$C$6+E11*$E$6+I11*$I$6+K11*$K$6+$G$6*G11</f>
        <v>1.5</v>
      </c>
      <c r="M11" s="44" t="s">
        <v>543</v>
      </c>
      <c r="N11" s="44">
        <v>1</v>
      </c>
      <c r="O11" s="44" t="s">
        <v>543</v>
      </c>
      <c r="P11" s="44">
        <v>1</v>
      </c>
      <c r="Q11" s="44" t="s">
        <v>543</v>
      </c>
      <c r="R11" s="44">
        <v>1</v>
      </c>
      <c r="S11" s="48" t="s">
        <v>543</v>
      </c>
      <c r="T11" s="44">
        <v>1</v>
      </c>
      <c r="U11" s="44" t="s">
        <v>543</v>
      </c>
      <c r="V11" s="44">
        <v>1</v>
      </c>
      <c r="W11" s="44" t="s">
        <v>543</v>
      </c>
      <c r="X11" s="44">
        <v>1</v>
      </c>
      <c r="Y11" s="39" t="s">
        <v>543</v>
      </c>
      <c r="Z11" s="44">
        <v>1</v>
      </c>
      <c r="AA11" s="72">
        <f t="shared" si="9"/>
        <v>0.99999999999999978</v>
      </c>
      <c r="AB11" s="39" t="s">
        <v>543</v>
      </c>
      <c r="AC11" s="44" t="s">
        <v>542</v>
      </c>
      <c r="AD11" s="44">
        <v>1</v>
      </c>
      <c r="AE11" s="44" t="s">
        <v>543</v>
      </c>
      <c r="AF11" s="44" cm="1">
        <f t="array" ref="AF11">_xlfn.IFS(AE11="NA", 1, AE11="No", 1, AE11="Yes, implicit", 2, AE11="Yes, explicit", 3)</f>
        <v>1</v>
      </c>
      <c r="AG11" s="44" t="s">
        <v>543</v>
      </c>
      <c r="AH11" s="44" t="s">
        <v>543</v>
      </c>
      <c r="AI11" s="44">
        <v>1</v>
      </c>
      <c r="AJ11" s="73">
        <f t="shared" si="0"/>
        <v>1</v>
      </c>
      <c r="AK11" s="74" t="s">
        <v>544</v>
      </c>
      <c r="AL11" s="74">
        <f t="shared" si="10"/>
        <v>1</v>
      </c>
      <c r="AM11" s="74" t="s">
        <v>545</v>
      </c>
      <c r="AN11" s="74">
        <f t="shared" si="11"/>
        <v>1</v>
      </c>
      <c r="AO11" s="74" t="s">
        <v>545</v>
      </c>
      <c r="AP11" s="74">
        <f t="shared" si="12"/>
        <v>1</v>
      </c>
      <c r="AQ11" s="75">
        <f t="shared" si="13"/>
        <v>0.30000000000000004</v>
      </c>
      <c r="AR11" s="74" t="s">
        <v>545</v>
      </c>
      <c r="AS11" s="74">
        <f t="shared" si="14"/>
        <v>1</v>
      </c>
      <c r="AT11" s="74" t="s">
        <v>545</v>
      </c>
      <c r="AU11" s="74">
        <f t="shared" si="15"/>
        <v>1</v>
      </c>
      <c r="AV11" s="74">
        <f t="shared" si="16"/>
        <v>0.2</v>
      </c>
      <c r="AW11" s="76" t="s">
        <v>545</v>
      </c>
      <c r="AX11" s="195">
        <f t="shared" si="1"/>
        <v>0.4</v>
      </c>
      <c r="AY11" s="76" t="s">
        <v>545</v>
      </c>
      <c r="AZ11" s="76">
        <f t="shared" si="17"/>
        <v>1</v>
      </c>
      <c r="BA11" s="76" t="s">
        <v>545</v>
      </c>
      <c r="BB11" s="74">
        <f t="shared" si="18"/>
        <v>1</v>
      </c>
      <c r="BC11" s="76" t="s">
        <v>181</v>
      </c>
      <c r="BD11" s="74">
        <f t="shared" si="19"/>
        <v>3</v>
      </c>
      <c r="BE11" s="76">
        <f t="shared" si="20"/>
        <v>0.5</v>
      </c>
      <c r="BF11" s="76"/>
      <c r="BG11" s="76"/>
      <c r="BH11" s="77"/>
      <c r="BI11" s="77"/>
      <c r="BJ11" s="77"/>
      <c r="BK11" s="77"/>
      <c r="BL11" s="78">
        <f t="shared" si="21"/>
        <v>1.4000000000000001</v>
      </c>
      <c r="BM11" s="76" t="s">
        <v>181</v>
      </c>
      <c r="BN11" s="197" cm="1">
        <f t="array" ref="BN11">_xlfn.IFS(BM11="Y", 3, BM11="N", 2)</f>
        <v>3</v>
      </c>
      <c r="BO11" s="76" t="s">
        <v>181</v>
      </c>
      <c r="BP11" s="197" cm="1">
        <f t="array" ref="BP11">_xlfn.IFS(BO11="Y", 3, BO11="N", 2)</f>
        <v>3</v>
      </c>
      <c r="BQ11" s="79">
        <f t="shared" si="22"/>
        <v>3</v>
      </c>
      <c r="BR11" s="44">
        <v>14000</v>
      </c>
      <c r="BS11" s="44">
        <f t="shared" si="23"/>
        <v>14000000</v>
      </c>
      <c r="BT11" s="44">
        <f t="shared" si="24"/>
        <v>21875</v>
      </c>
      <c r="BU11" s="80">
        <v>52035</v>
      </c>
      <c r="BV11" s="81">
        <f t="shared" si="25"/>
        <v>42.039012203324681</v>
      </c>
      <c r="BW11" s="82" cm="1">
        <f t="array" ref="BW11">_xlfn.IFS(BV11&gt;44, 3, BV11&lt;26, 1, 44&gt;BV11&gt;26, 2)</f>
        <v>2</v>
      </c>
      <c r="BX11" s="82">
        <v>14805377</v>
      </c>
      <c r="BY11" s="82" cm="1">
        <f t="array" ref="BY11">_xlfn.IFS(BX11&gt;12000000, 3, BX11&lt;4000000, 1, 4000000&gt;BX11&gt;12000000, 2)</f>
        <v>3</v>
      </c>
      <c r="BZ11" s="80">
        <v>5.5208034431177317</v>
      </c>
      <c r="CA11" s="82" cm="1">
        <f t="array" ref="CA11">_xlfn.IFS(BZ11&gt;$BZ$60, 1, BZ11&lt;$BZ$59, 3, BZ11&gt;$BZ$59, 2, BZ11=$BZ$59, 2)</f>
        <v>3</v>
      </c>
      <c r="CB11" s="413">
        <f t="shared" si="26"/>
        <v>2.5999999999999996</v>
      </c>
      <c r="CC11" s="44">
        <v>1521636</v>
      </c>
      <c r="CD11" s="44" cm="1">
        <f t="array" ref="CD11">_xlfn.IFS(CC11&gt;4200000, 3, CC11&lt;1700000, 1, 4200000&gt;CC11&gt;1700000, 2)</f>
        <v>1</v>
      </c>
      <c r="CE11" s="44">
        <v>1508865.6199999996</v>
      </c>
      <c r="CF11" s="44" cm="1">
        <f t="array" ref="CF11">_xlfn.IFS(CE11&lt;120000, 1, CE11&gt;620000, 3, 620000&gt;CE11&gt;120000, 2)</f>
        <v>3</v>
      </c>
      <c r="CG11" s="44">
        <v>2707333.0000000023</v>
      </c>
      <c r="CH11" s="44" cm="1">
        <f t="array" ref="CH11">_xlfn.IFS(CG11&lt;300000, 1, CG11&gt;1700000, 3, 300000&gt;CG11&gt;170000, 2)</f>
        <v>3</v>
      </c>
      <c r="CI11" s="44">
        <v>43.092162479999999</v>
      </c>
      <c r="CJ11" s="61" cm="1">
        <f t="array" ref="CJ11">_xlfn.IFS(CI11&lt;$CI$60, 1, CI11&gt;$CI$61, 3, CI11&lt;$CI$61, 2)</f>
        <v>2</v>
      </c>
      <c r="CK11" s="205">
        <f t="shared" si="27"/>
        <v>2.3499999999999996</v>
      </c>
      <c r="CL11" s="44">
        <v>8644620</v>
      </c>
      <c r="CM11" s="48" cm="1">
        <f t="array" ref="CM11">_xlfn.IFS(CL11&gt;4600000, 3, CL11&lt;430000, 1, 4600000&gt;CL11&gt;430000, 2)</f>
        <v>3</v>
      </c>
      <c r="CN11" s="72">
        <f t="shared" si="2"/>
        <v>3</v>
      </c>
      <c r="CO11" s="39">
        <v>0</v>
      </c>
      <c r="CP11" s="65" cm="1">
        <f t="array" ref="CP11">_xlfn.IFS(CO11=0, 1, CO11="active", 3, CO11="permitted", 2)</f>
        <v>1</v>
      </c>
      <c r="CQ11" s="39">
        <v>0</v>
      </c>
      <c r="CR11" s="39" cm="1">
        <f t="array" ref="CR11">_xlfn.IFS(CQ11=0, 1, CQ11&lt;&gt;0, 3)</f>
        <v>1</v>
      </c>
      <c r="CS11" s="83">
        <v>1</v>
      </c>
      <c r="CT11" s="44" t="s">
        <v>545</v>
      </c>
      <c r="CU11" s="82">
        <v>0</v>
      </c>
      <c r="CV11" s="82">
        <v>53179</v>
      </c>
      <c r="CW11" s="39" t="s">
        <v>542</v>
      </c>
      <c r="CX11" s="207" cm="1">
        <f t="array" ref="CX11">_xlfn.IFS(CT11="N", 0, CW11&lt;$CW$61, 2, CW11 = $CW$61, 2, CW11&gt;$CW$61, 3)</f>
        <v>0</v>
      </c>
      <c r="CY11" s="207" t="s">
        <v>542</v>
      </c>
      <c r="CZ11" s="207" t="str" cm="1">
        <f t="array" ref="CZ11">_xlfn.IFS(CY11="NA", "NA", CY11=0, 1, CY11=1, 2, CY11&gt;1, 3)</f>
        <v>NA</v>
      </c>
      <c r="DA11" s="201">
        <f t="shared" si="28"/>
        <v>0</v>
      </c>
      <c r="DB11" s="101">
        <v>1034</v>
      </c>
      <c r="DC11" s="61" cm="1">
        <f t="array" ref="DC11">_xlfn.IFS(DB11&gt;$DB$61, 3, DB11=0, 1, DB11&lt;$DB$61, 2, DB11=$DB$61, 2)</f>
        <v>3</v>
      </c>
      <c r="DD11" s="87">
        <v>247</v>
      </c>
      <c r="DE11" s="44" cm="1">
        <f t="array" ref="DE11">_xlfn.IFS(DD11&gt;$DD$62, 3, DD11&lt;$DD$60, 1, DD11&gt;$DD$60, 2, DD11=$DD$60, 2)</f>
        <v>1</v>
      </c>
      <c r="DF11" s="44">
        <v>349</v>
      </c>
      <c r="DG11" s="61" cm="1">
        <f t="array" ref="DG11">_xlfn.IFS(DF11=0, 1, DF11&lt;$DF$61, 2, DF11&gt;$DF$61, 3)</f>
        <v>2</v>
      </c>
      <c r="DH11" s="415">
        <f t="shared" si="29"/>
        <v>1.9999999999999978</v>
      </c>
      <c r="DI11" s="82">
        <v>308462284</v>
      </c>
      <c r="DJ11" s="82">
        <f t="shared" si="30"/>
        <v>35212.589497716894</v>
      </c>
      <c r="DK11" s="88">
        <v>4102.2000000000007</v>
      </c>
      <c r="DL11" s="89">
        <f t="shared" si="31"/>
        <v>0.11649810645894072</v>
      </c>
      <c r="DM11" s="88" cm="1">
        <f t="array" ref="DM11">_xlfn.IFS(DL11&gt;$DL$60,3,(AND(DL11&lt;$DL$60,DL11&gt;$DL$59)),2,DL11&lt;$DL$59,1)</f>
        <v>2</v>
      </c>
      <c r="DN11" s="88">
        <v>5256</v>
      </c>
      <c r="DO11" s="90">
        <f t="shared" si="32"/>
        <v>1.7039360312847841E-2</v>
      </c>
      <c r="DP11" s="88" cm="1">
        <f t="array" ref="DP11">_xlfn.IFS(DO11&gt;DO$60,3,(AND(DO11&lt;DO$60,DO11&gt;DO$59)),2,DO11&lt;DO$59,1)</f>
        <v>2</v>
      </c>
      <c r="DQ11" s="91">
        <v>43486</v>
      </c>
      <c r="DR11" s="92">
        <f t="shared" si="33"/>
        <v>0.48819125714624273</v>
      </c>
      <c r="DS11" s="88" cm="1">
        <f t="array" ref="DS11">_xlfn.IFS(DR11&gt;DR$60,3,(AND(DR11&lt;DR$60,DR11&gt;DR$59)),2,DR11&lt;DR$59,1)</f>
        <v>3</v>
      </c>
      <c r="DT11" s="91" t="s">
        <v>547</v>
      </c>
      <c r="DU11" s="213" cm="1">
        <f t="array" ref="DU11">_xlfn.IFS(DT11="no data","",DT11="40-45", 1, DT11= "45-50", 1, DT11="50-55", 1, DT11 ="30-35", 2, DT11="25-30", 2, DT11="35-40", 2, DT11="20-25", 3, DT11="15-20", 3)</f>
        <v>2</v>
      </c>
      <c r="DV11" s="88">
        <v>6786446416.0351839</v>
      </c>
      <c r="DW11" s="88" cm="1">
        <f t="array" ref="DW11">_xlfn.IFS(DV11&gt;DV$60,3,(AND(DV11&lt;DV$60,DV11&gt;DV$59)),2,DV11&lt;DV$59,1)</f>
        <v>2</v>
      </c>
      <c r="DX11" s="93">
        <v>6</v>
      </c>
      <c r="DY11" s="88" cm="1">
        <f t="array" ref="DY11">_xlfn.IFS(DX11&gt;6.99,1,AND(DX11 &gt; 3, DX11 &lt; 7),2,DX11&lt;3.99,3)</f>
        <v>2</v>
      </c>
      <c r="DZ11" s="94">
        <f t="shared" si="3"/>
        <v>2.1</v>
      </c>
      <c r="EA11" s="95">
        <v>296800</v>
      </c>
      <c r="EB11" s="95">
        <v>319400</v>
      </c>
      <c r="EC11" s="82">
        <v>2554</v>
      </c>
      <c r="ED11" s="82">
        <v>0</v>
      </c>
      <c r="EE11" s="82">
        <v>0</v>
      </c>
      <c r="EF11" s="82">
        <f t="shared" si="34"/>
        <v>0</v>
      </c>
      <c r="EG11" s="204" cm="1">
        <f t="array" ref="EG11">_xlfn.IFS(EF11=0, 1, EF11&gt;2, 3, 0&gt;EF11&gt;3,2)</f>
        <v>1</v>
      </c>
      <c r="EH11" s="82">
        <v>0</v>
      </c>
      <c r="EI11" s="82">
        <v>0</v>
      </c>
      <c r="EJ11" s="82">
        <f t="shared" si="35"/>
        <v>0</v>
      </c>
      <c r="EK11" s="82" cm="1">
        <f t="array" ref="EK11">_xlfn.IFS(EH11+EI11=0, 1, EH11+EI11&gt;5, 3, EH11+EI11=5, 2, 0&gt;EH11+EI11&gt;5, 2)</f>
        <v>1</v>
      </c>
      <c r="EL11" s="82">
        <v>0</v>
      </c>
      <c r="EM11" s="82">
        <v>0</v>
      </c>
      <c r="EN11" s="82" cm="1">
        <f t="array" ref="EN11">_xlfn.IFS(EL11+EM11=0, 1, EL11+EM11&gt;10, 3, EL11+EM11 = 10, 2, 0&gt;EL11+EM11&gt;10, 2)</f>
        <v>1</v>
      </c>
      <c r="EO11" s="96">
        <f t="shared" si="4"/>
        <v>1</v>
      </c>
      <c r="EP11" s="44">
        <v>1.5</v>
      </c>
      <c r="EQ11" s="61" cm="1">
        <f t="array" ref="EQ11">_xlfn.IFS(EP11=0, 1, EP11&gt;$EP$60, 3, EP11&lt;$EP$60, 2)</f>
        <v>2</v>
      </c>
      <c r="ER11" s="100">
        <v>0</v>
      </c>
      <c r="ES11" s="100" cm="1">
        <f t="array" ref="ES11">_xlfn.IFS(ER11=0, 1, ER11&gt;$ER$59, 3, ER11&lt;$ER$59, 2)</f>
        <v>1</v>
      </c>
      <c r="ET11" s="44">
        <v>0</v>
      </c>
      <c r="EU11" s="44" cm="1">
        <f t="array" ref="EU11">_xlfn.IFS(ET11=0, 1, ET11=1, 2, ET11&gt;1, 3)</f>
        <v>1</v>
      </c>
      <c r="EV11" s="413">
        <f t="shared" si="36"/>
        <v>1.2000000000000002</v>
      </c>
      <c r="EW11" s="82">
        <v>23.84</v>
      </c>
      <c r="EX11" s="210" cm="1">
        <f t="array" ref="EX11">_xlfn.IFS(EW11&gt;EX$60,3,(AND(EW11&lt;EX$60,EW11&gt;EX$59)),2,EW11&lt;EX$59,1)</f>
        <v>2</v>
      </c>
      <c r="EY11" s="253">
        <v>7434485.2293749992</v>
      </c>
      <c r="EZ11" s="210" cm="1">
        <f t="array" ref="EZ11">_xlfn.IFS(EY11&gt;EZ$60,3,(AND(EY11&lt;EZ$60,EY11&gt;EZ$59)),2,EY11&lt;EZ$59,1)</f>
        <v>2</v>
      </c>
      <c r="FA11" s="82">
        <v>0</v>
      </c>
      <c r="FB11" s="210" cm="1">
        <f t="array" ref="FB11">_xlfn.IFS(FA11&gt;FB$60,3,(AND(FA11&lt;FB$60,FA11&gt;FB$59)),2,FA11&lt;FB$59,1)</f>
        <v>1</v>
      </c>
      <c r="FC11" s="416">
        <f t="shared" si="5"/>
        <v>1.75</v>
      </c>
      <c r="FD11" s="81">
        <v>1.1200000000000001</v>
      </c>
      <c r="FE11" s="81" cm="1">
        <f t="array" ref="FE11">_xlfn.IFS(FD11&gt;$FD$60, 3, FD11&lt;$FD$59, 1, FD11&gt;$FD$59, 2)</f>
        <v>2</v>
      </c>
      <c r="FF11" s="44">
        <v>3</v>
      </c>
      <c r="FG11" s="61" cm="1">
        <f t="array" ref="FG11">_xlfn.IFS(FF11&lt;$FF$59, 1, FF11&gt;$FF$60, 3, FF11 = $FF$60, 3, FF11&lt;$FF$60, 2)</f>
        <v>3</v>
      </c>
      <c r="FH11" s="97">
        <f t="shared" si="6"/>
        <v>2.4000000000000004</v>
      </c>
      <c r="FI11" s="102">
        <v>0</v>
      </c>
      <c r="FJ11" s="44">
        <v>0</v>
      </c>
      <c r="FK11" s="98">
        <f t="shared" si="7"/>
        <v>0</v>
      </c>
      <c r="FL11" s="98" cm="1">
        <f t="array" ref="FL11">_xlfn.IFS(FK11&gt;$FK$60, 3, FK11&lt;$FK$59, 1, FK11&gt;$FK$59, 2, FK11=$FK$59, 2)</f>
        <v>1</v>
      </c>
      <c r="FM11" s="99">
        <f t="shared" si="8"/>
        <v>1</v>
      </c>
    </row>
    <row r="12" spans="1:169" ht="20.100000000000001" customHeight="1">
      <c r="A12" s="38" t="s">
        <v>91</v>
      </c>
      <c r="B12" s="44" t="s">
        <v>554</v>
      </c>
      <c r="C12" s="44">
        <v>3</v>
      </c>
      <c r="D12" s="44" t="s">
        <v>555</v>
      </c>
      <c r="E12" s="44">
        <v>3</v>
      </c>
      <c r="F12" s="44" t="s">
        <v>556</v>
      </c>
      <c r="G12" s="61" cm="1">
        <f t="array" ref="G12">_xlfn.IFS(F12= "Yes", 3, F12 &lt;&gt; "Yes", 1)</f>
        <v>3</v>
      </c>
      <c r="H12" s="44" t="s">
        <v>553</v>
      </c>
      <c r="I12" s="44">
        <v>3</v>
      </c>
      <c r="J12" s="44" t="s">
        <v>556</v>
      </c>
      <c r="K12" s="44">
        <v>3</v>
      </c>
      <c r="L12" s="193">
        <f t="shared" ref="L12:L57" si="37">C12*$C$6+E12*$E$6+I12*$I$6+K12*$K$6+$G$6*G12</f>
        <v>3</v>
      </c>
      <c r="M12" s="44" t="s">
        <v>543</v>
      </c>
      <c r="N12" s="44">
        <v>1</v>
      </c>
      <c r="O12" s="44" t="s">
        <v>543</v>
      </c>
      <c r="P12" s="44">
        <v>1</v>
      </c>
      <c r="Q12" s="44" t="s">
        <v>556</v>
      </c>
      <c r="R12" s="44">
        <v>3</v>
      </c>
      <c r="S12" s="44" t="s">
        <v>557</v>
      </c>
      <c r="T12" s="44">
        <v>1</v>
      </c>
      <c r="U12" s="44" t="s">
        <v>543</v>
      </c>
      <c r="V12" s="44">
        <v>1</v>
      </c>
      <c r="W12" s="44" t="s">
        <v>558</v>
      </c>
      <c r="X12" s="44">
        <v>3</v>
      </c>
      <c r="Y12" s="39" t="s">
        <v>559</v>
      </c>
      <c r="Z12" s="44">
        <v>2</v>
      </c>
      <c r="AA12" s="72">
        <f t="shared" si="9"/>
        <v>1.4249999999999998</v>
      </c>
      <c r="AB12" s="103" t="s">
        <v>560</v>
      </c>
      <c r="AC12" s="44" t="s">
        <v>181</v>
      </c>
      <c r="AD12" s="44">
        <v>3</v>
      </c>
      <c r="AE12" s="44" t="s">
        <v>561</v>
      </c>
      <c r="AF12" s="44" cm="1">
        <f t="array" ref="AF12">_xlfn.IFS(AE12="NA", 1, AE12="No", 1, AE12="Yes, implicit", 2, AE12="Yes, explicit", 3)</f>
        <v>3</v>
      </c>
      <c r="AG12" s="44" t="s">
        <v>556</v>
      </c>
      <c r="AH12" s="44" t="s">
        <v>556</v>
      </c>
      <c r="AI12" s="44">
        <v>3</v>
      </c>
      <c r="AJ12" s="73">
        <f t="shared" si="0"/>
        <v>3</v>
      </c>
      <c r="AK12" s="76" t="s">
        <v>562</v>
      </c>
      <c r="AL12" s="74">
        <f t="shared" si="10"/>
        <v>3</v>
      </c>
      <c r="AM12" s="76" t="s">
        <v>181</v>
      </c>
      <c r="AN12" s="74">
        <f t="shared" si="11"/>
        <v>3</v>
      </c>
      <c r="AO12" s="74" t="s">
        <v>545</v>
      </c>
      <c r="AP12" s="74">
        <f t="shared" si="12"/>
        <v>1</v>
      </c>
      <c r="AQ12" s="75">
        <f t="shared" si="13"/>
        <v>0.70000000000000007</v>
      </c>
      <c r="AR12" s="74" t="s">
        <v>545</v>
      </c>
      <c r="AS12" s="74">
        <f t="shared" si="14"/>
        <v>1</v>
      </c>
      <c r="AT12" s="74" t="s">
        <v>545</v>
      </c>
      <c r="AU12" s="74">
        <f t="shared" si="15"/>
        <v>1</v>
      </c>
      <c r="AV12" s="74">
        <f t="shared" si="16"/>
        <v>0.2</v>
      </c>
      <c r="AW12" s="76" t="s">
        <v>545</v>
      </c>
      <c r="AX12" s="195">
        <f t="shared" si="1"/>
        <v>0.4</v>
      </c>
      <c r="AY12" s="76" t="s">
        <v>546</v>
      </c>
      <c r="AZ12" s="76">
        <f t="shared" si="17"/>
        <v>3</v>
      </c>
      <c r="BA12" s="76" t="s">
        <v>545</v>
      </c>
      <c r="BB12" s="74">
        <f t="shared" si="18"/>
        <v>1</v>
      </c>
      <c r="BC12" s="76" t="s">
        <v>181</v>
      </c>
      <c r="BD12" s="74">
        <f t="shared" si="19"/>
        <v>3</v>
      </c>
      <c r="BE12" s="76">
        <f t="shared" si="20"/>
        <v>0.70000000000000007</v>
      </c>
      <c r="BF12" s="76"/>
      <c r="BG12" s="76"/>
      <c r="BH12" s="77"/>
      <c r="BI12" s="77"/>
      <c r="BJ12" s="77"/>
      <c r="BK12" s="77"/>
      <c r="BL12" s="78">
        <f t="shared" si="21"/>
        <v>2</v>
      </c>
      <c r="BM12" s="76" t="s">
        <v>181</v>
      </c>
      <c r="BN12" s="197" cm="1">
        <f t="array" ref="BN12">_xlfn.IFS(BM12="Y", 3, BM12="N", 2)</f>
        <v>3</v>
      </c>
      <c r="BO12" s="76" t="s">
        <v>545</v>
      </c>
      <c r="BP12" s="197" cm="1">
        <f t="array" ref="BP12">_xlfn.IFS(BO12="Y", 3, BO12="N", 2)</f>
        <v>2</v>
      </c>
      <c r="BQ12" s="79">
        <f t="shared" si="22"/>
        <v>2.25</v>
      </c>
      <c r="BR12" s="82">
        <v>24200</v>
      </c>
      <c r="BS12" s="44">
        <f t="shared" si="23"/>
        <v>24200000</v>
      </c>
      <c r="BT12" s="44">
        <f t="shared" si="24"/>
        <v>37812.5</v>
      </c>
      <c r="BU12" s="80">
        <v>155779</v>
      </c>
      <c r="BV12" s="81">
        <f t="shared" si="25"/>
        <v>24.273169040756457</v>
      </c>
      <c r="BW12" s="82" cm="1">
        <f t="array" ref="BW12">_xlfn.IFS(BV12&gt;44, 3, BV12&lt;26, 1, 44&gt;BV12&gt;26, 2)</f>
        <v>1</v>
      </c>
      <c r="BX12" s="82">
        <v>61834143</v>
      </c>
      <c r="BY12" s="82" cm="1">
        <f t="array" ref="BY12">_xlfn.IFS(BX12&gt;12000000, 3, BX12&lt;4000000, 1, 4000000&gt;BX12&gt;12000000, 2)</f>
        <v>3</v>
      </c>
      <c r="BZ12" s="80">
        <v>6.9898059590462314</v>
      </c>
      <c r="CA12" s="82" cm="1">
        <f t="array" ref="CA12">_xlfn.IFS(BZ12&gt;$BZ$60, 1, BZ12&lt;$BZ$59, 3, BZ12&gt;$BZ$59, 2, BZ12=$BZ$59, 2)</f>
        <v>2</v>
      </c>
      <c r="CB12" s="413">
        <f t="shared" si="26"/>
        <v>1.8499999999999999</v>
      </c>
      <c r="CC12" s="44">
        <v>20604966</v>
      </c>
      <c r="CD12" s="44" cm="1">
        <f t="array" ref="CD12">_xlfn.IFS(CC12&gt;4200000, 3, CC12&lt;1700000, 1, 4200000&gt;CC12&gt;1700000, 2)</f>
        <v>3</v>
      </c>
      <c r="CE12" s="44">
        <v>599354.34999999986</v>
      </c>
      <c r="CF12" s="44" cm="1">
        <f t="array" ref="CF12">_xlfn.IFS(CE12&lt;120000, 1, CE12&gt;620000, 3, 620000&gt;CE12&gt;120000, 2)</f>
        <v>2</v>
      </c>
      <c r="CG12" s="44">
        <v>5113728.7999999952</v>
      </c>
      <c r="CH12" s="44" cm="1">
        <f t="array" ref="CH12">_xlfn.IFS(CG12&lt;300000, 1, CG12&gt;1700000, 3, 300000&gt;CG12&gt;170000, 2)</f>
        <v>3</v>
      </c>
      <c r="CI12" s="44">
        <v>90.277244449999998</v>
      </c>
      <c r="CJ12" s="61" cm="1">
        <f t="array" ref="CJ12">_xlfn.IFS(CI12&lt;$CI$60, 1, CI12&gt;$CI$61, 3, CI12&lt;$CI$61, 2)</f>
        <v>3</v>
      </c>
      <c r="CK12" s="205">
        <f t="shared" si="27"/>
        <v>2.8</v>
      </c>
      <c r="CL12" s="44">
        <v>0</v>
      </c>
      <c r="CM12" s="48" cm="1">
        <f t="array" ref="CM12">_xlfn.IFS(CL12&gt;4600000, 3, CL12&lt;430000, 1, 4600000&gt;CL12&gt;430000, 2)</f>
        <v>1</v>
      </c>
      <c r="CN12" s="72">
        <f t="shared" si="2"/>
        <v>1</v>
      </c>
      <c r="CO12" s="39" t="s">
        <v>549</v>
      </c>
      <c r="CP12" s="65" cm="1">
        <f t="array" ref="CP12">_xlfn.IFS(CO12=0, 1, CO12="active", 3, CO12="permitted", 2)</f>
        <v>3</v>
      </c>
      <c r="CQ12" s="39">
        <v>2610000</v>
      </c>
      <c r="CR12" s="39" cm="1">
        <f t="array" ref="CR12">_xlfn.IFS(CQ12=0, 1, CQ12&lt;&gt;0, 3)</f>
        <v>3</v>
      </c>
      <c r="CS12" s="83">
        <v>3</v>
      </c>
      <c r="CT12" s="44" t="s">
        <v>181</v>
      </c>
      <c r="CU12" s="39">
        <v>5082</v>
      </c>
      <c r="CV12" s="84">
        <v>163695</v>
      </c>
      <c r="CW12" s="39">
        <f>CU12/CV12</f>
        <v>3.104554201411161E-2</v>
      </c>
      <c r="CX12" s="207" cm="1">
        <f t="array" ref="CX12">_xlfn.IFS(CT12="N", 0, CW12&lt;$CW$61, 2, CW12 = $CW$61, 2, CW12&gt;$CW$61, 3)</f>
        <v>2</v>
      </c>
      <c r="CY12" s="207">
        <v>4</v>
      </c>
      <c r="CZ12" s="207" cm="1">
        <f t="array" ref="CZ12">_xlfn.IFS(CY12="NA", "NA", CY12=0, 1, CY12=1, 2, CY12&gt;1, 3)</f>
        <v>3</v>
      </c>
      <c r="DA12" s="201">
        <f t="shared" si="28"/>
        <v>2.25</v>
      </c>
      <c r="DB12" s="101">
        <v>36123</v>
      </c>
      <c r="DC12" s="61" cm="1">
        <f t="array" ref="DC12">_xlfn.IFS(DB12&gt;$DB$61, 3, DB12=0, 1, DB12&lt;$DB$61, 2, DB12=$DB$61, 2)</f>
        <v>3</v>
      </c>
      <c r="DD12" s="87">
        <v>24006</v>
      </c>
      <c r="DE12" s="44" cm="1">
        <f t="array" ref="DE12">_xlfn.IFS(DD12&gt;$DD$62, 3, DD12&lt;$DD$60, 1, DD12&gt;$DD$60, 2, DD12=$DD$60, 2)</f>
        <v>3</v>
      </c>
      <c r="DF12" s="44">
        <v>5101</v>
      </c>
      <c r="DG12" s="61" cm="1">
        <f t="array" ref="DG12">_xlfn.IFS(DF12=0, 1, DF12&lt;$DF$61, 2, DF12&gt;$DF$61, 3)</f>
        <v>3</v>
      </c>
      <c r="DH12" s="415">
        <f t="shared" si="29"/>
        <v>2.9999999999999964</v>
      </c>
      <c r="DI12" s="82">
        <v>2017044642</v>
      </c>
      <c r="DJ12" s="82">
        <f t="shared" si="30"/>
        <v>230256.23767123287</v>
      </c>
      <c r="DK12" s="88">
        <v>52753.900000000038</v>
      </c>
      <c r="DL12" s="89">
        <f t="shared" si="31"/>
        <v>0.22910953698168091</v>
      </c>
      <c r="DM12" s="88" cm="1">
        <f t="array" ref="DM12">_xlfn.IFS(DL12&gt;$DL$60,3,(AND(DL12&lt;$DL$60,DL12&gt;$DL$59)),2,DL12&lt;$DL$59,1)</f>
        <v>3</v>
      </c>
      <c r="DN12" s="88">
        <v>102944</v>
      </c>
      <c r="DO12" s="90">
        <f t="shared" si="32"/>
        <v>5.1037045911847496E-2</v>
      </c>
      <c r="DP12" s="88" cm="1">
        <f t="array" ref="DP12">_xlfn.IFS(DO12&gt;DO$60,3,(AND(DO12&lt;DO$60,DO12&gt;DO$59)),2,DO12&lt;DO$59,1)</f>
        <v>3</v>
      </c>
      <c r="DQ12" s="91">
        <v>424205.4</v>
      </c>
      <c r="DR12" s="92">
        <f t="shared" si="33"/>
        <v>0.49967160548094158</v>
      </c>
      <c r="DS12" s="88" cm="1">
        <f t="array" ref="DS12">_xlfn.IFS(DR12&gt;DR$60,3,(AND(DR12&lt;DR$60,DR12&gt;DR$59)),2,DR12&lt;DR$59,1)</f>
        <v>3</v>
      </c>
      <c r="DT12" s="91" t="s">
        <v>563</v>
      </c>
      <c r="DU12" s="213" cm="1">
        <f t="array" ref="DU12">_xlfn.IFS(DT12="no data","",DT12="40-45", 1, DT12= "45-50", 1, DT12="50-55", 1, DT12 ="30-35", 2, DT12="25-30", 2, DT12="35-40", 2, DT12="20-25", 3, DT12="15-20", 3)</f>
        <v>2</v>
      </c>
      <c r="DV12" s="88">
        <v>12793544904.654427</v>
      </c>
      <c r="DW12" s="88" cm="1">
        <f t="array" ref="DW12">_xlfn.IFS(DV12&gt;DV$60,3,(AND(DV12&lt;DV$60,DV12&gt;DV$59)),2,DV12&lt;DV$59,1)</f>
        <v>3</v>
      </c>
      <c r="DX12" s="93">
        <v>3</v>
      </c>
      <c r="DY12" s="88" cm="1">
        <f t="array" ref="DY12">_xlfn.IFS(DX12&gt;6.99,1,AND(DX12 &gt; 3, DX12 &lt; 7),2,DX12&lt;3.99,3)</f>
        <v>3</v>
      </c>
      <c r="DZ12" s="94">
        <f t="shared" si="3"/>
        <v>2.8999999999999995</v>
      </c>
      <c r="EA12" s="95">
        <v>3414100</v>
      </c>
      <c r="EB12" s="95">
        <v>3684400</v>
      </c>
      <c r="EC12" s="82">
        <v>4948</v>
      </c>
      <c r="ED12" s="82">
        <v>0</v>
      </c>
      <c r="EE12" s="82">
        <v>0</v>
      </c>
      <c r="EF12" s="82">
        <f t="shared" si="34"/>
        <v>0</v>
      </c>
      <c r="EG12" s="204" cm="1">
        <f t="array" ref="EG12">_xlfn.IFS(EF12=0, 1, EF12&gt;2, 3, 0&gt;EF12&gt;3,2)</f>
        <v>1</v>
      </c>
      <c r="EH12" s="82">
        <v>2</v>
      </c>
      <c r="EI12" s="82">
        <v>10</v>
      </c>
      <c r="EJ12" s="82">
        <f t="shared" si="35"/>
        <v>12</v>
      </c>
      <c r="EK12" s="82" cm="1">
        <f t="array" ref="EK12">_xlfn.IFS(EH12+EI12=0, 1, EH12+EI12&gt;5, 3, EH12+EI12=5, 2, 0&gt;EH12+EI12&gt;5, 2)</f>
        <v>3</v>
      </c>
      <c r="EL12" s="82">
        <v>26</v>
      </c>
      <c r="EM12" s="82">
        <v>84</v>
      </c>
      <c r="EN12" s="82" cm="1">
        <f t="array" ref="EN12">_xlfn.IFS(EL12+EM12=0, 1, EL12+EM12&gt;10, 3, EL12+EM12 = 10, 2, 0&gt;EL12+EM12&gt;10, 2)</f>
        <v>3</v>
      </c>
      <c r="EO12" s="96">
        <f t="shared" si="4"/>
        <v>2.333333333333333</v>
      </c>
      <c r="EP12" s="44">
        <v>10.5</v>
      </c>
      <c r="EQ12" s="61" cm="1">
        <f t="array" ref="EQ12">_xlfn.IFS(EP12=0, 1, EP12&gt;$EP$60, 3, EP12&lt;$EP$60, 2)</f>
        <v>3</v>
      </c>
      <c r="ER12" s="100">
        <v>0</v>
      </c>
      <c r="ES12" s="100" cm="1">
        <f t="array" ref="ES12">_xlfn.IFS(ER12=0, 1, ER12&gt;$ER$59, 3, ER12&lt;$ER$59, 2)</f>
        <v>1</v>
      </c>
      <c r="ET12" s="44">
        <v>16</v>
      </c>
      <c r="EU12" s="44" cm="1">
        <f t="array" ref="EU12">_xlfn.IFS(ET12=0, 1, ET12=1, 2, ET12&gt;1, 3)</f>
        <v>3</v>
      </c>
      <c r="EV12" s="413">
        <f t="shared" si="36"/>
        <v>2.2000000000000002</v>
      </c>
      <c r="EW12" s="44">
        <v>152.4</v>
      </c>
      <c r="EX12" s="210" cm="1">
        <f t="array" ref="EX12">_xlfn.IFS(EW12&gt;EX$60,3,(AND(EW12&lt;EX$60,EW12&gt;EX$59)),2,EW12&lt;EX$59,1)</f>
        <v>3</v>
      </c>
      <c r="EY12" s="253">
        <v>38095890141630.633</v>
      </c>
      <c r="EZ12" s="210" cm="1">
        <f t="array" ref="EZ12">_xlfn.IFS(EY12&gt;EZ$60,3,(AND(EY12&lt;EZ$60,EY12&gt;EZ$59)),2,EY12&lt;EZ$59,1)</f>
        <v>3</v>
      </c>
      <c r="FA12" s="44">
        <v>47423657467400</v>
      </c>
      <c r="FB12" s="210" cm="1">
        <f t="array" ref="FB12">_xlfn.IFS(FA12&gt;FB$60,3,(AND(FA12&lt;FB$60,FA12&gt;FB$59)),2,FA12&lt;FB$59,1)</f>
        <v>3</v>
      </c>
      <c r="FC12" s="416">
        <f t="shared" si="5"/>
        <v>3</v>
      </c>
      <c r="FD12" s="81">
        <v>5.71</v>
      </c>
      <c r="FE12" s="81" cm="1">
        <f t="array" ref="FE12">_xlfn.IFS(FD12&gt;$FD$60, 3, FD12&lt;$FD$59, 1, FD12&gt;$FD$59, 2)</f>
        <v>3</v>
      </c>
      <c r="FF12" s="44">
        <v>8</v>
      </c>
      <c r="FG12" s="61" cm="1">
        <f t="array" ref="FG12">_xlfn.IFS(FF12&lt;$FF$59, 1, FF12&gt;$FF$60, 3, FF12 = $FF$60, 3, FF12&lt;$FF$60, 2)</f>
        <v>3</v>
      </c>
      <c r="FH12" s="97">
        <f t="shared" si="6"/>
        <v>3</v>
      </c>
      <c r="FI12" s="102">
        <v>58</v>
      </c>
      <c r="FJ12" s="44">
        <v>0</v>
      </c>
      <c r="FK12" s="98">
        <f t="shared" si="7"/>
        <v>58</v>
      </c>
      <c r="FL12" s="98" cm="1">
        <f t="array" ref="FL12">_xlfn.IFS(FK12&gt;$FK$60, 3, FK12&lt;$FK$59, 1, FK12&gt;$FK$59, 2, FK12=$FK$59, 2)</f>
        <v>3</v>
      </c>
      <c r="FM12" s="99">
        <f t="shared" si="8"/>
        <v>3</v>
      </c>
    </row>
    <row r="13" spans="1:169" ht="20.100000000000001" customHeight="1">
      <c r="A13" s="38" t="s">
        <v>93</v>
      </c>
      <c r="B13" s="44" t="s">
        <v>564</v>
      </c>
      <c r="C13" s="44">
        <v>3</v>
      </c>
      <c r="D13" s="44" t="s">
        <v>565</v>
      </c>
      <c r="E13" s="44">
        <v>3</v>
      </c>
      <c r="F13" s="61" t="s">
        <v>543</v>
      </c>
      <c r="G13" s="61" cm="1">
        <f t="array" ref="G13">_xlfn.IFS(F13= "Yes", 3, F13 &lt;&gt; "Yes", 1)</f>
        <v>1</v>
      </c>
      <c r="H13" s="44" t="s">
        <v>552</v>
      </c>
      <c r="I13" s="44">
        <v>2</v>
      </c>
      <c r="J13" s="44" t="s">
        <v>543</v>
      </c>
      <c r="K13" s="44">
        <v>1</v>
      </c>
      <c r="L13" s="193">
        <f t="shared" si="37"/>
        <v>2.15</v>
      </c>
      <c r="M13" s="44" t="s">
        <v>566</v>
      </c>
      <c r="N13" s="44">
        <v>3</v>
      </c>
      <c r="O13" s="44" t="s">
        <v>556</v>
      </c>
      <c r="P13" s="44">
        <v>3</v>
      </c>
      <c r="Q13" s="44" t="s">
        <v>556</v>
      </c>
      <c r="R13" s="44">
        <v>3</v>
      </c>
      <c r="S13" s="44" t="s">
        <v>567</v>
      </c>
      <c r="T13" s="44">
        <v>1</v>
      </c>
      <c r="U13" s="44" t="s">
        <v>543</v>
      </c>
      <c r="V13" s="44">
        <v>1</v>
      </c>
      <c r="W13" s="44" t="s">
        <v>543</v>
      </c>
      <c r="X13" s="44">
        <v>1</v>
      </c>
      <c r="Y13" s="39" t="s">
        <v>543</v>
      </c>
      <c r="Z13" s="44">
        <v>1</v>
      </c>
      <c r="AA13" s="72">
        <f t="shared" si="9"/>
        <v>1.9</v>
      </c>
      <c r="AB13" s="39" t="s">
        <v>543</v>
      </c>
      <c r="AC13" s="44" t="s">
        <v>542</v>
      </c>
      <c r="AD13" s="44">
        <v>1</v>
      </c>
      <c r="AE13" s="44" t="s">
        <v>568</v>
      </c>
      <c r="AF13" s="44" cm="1">
        <f t="array" ref="AF13">_xlfn.IFS(AE13="NA", 1, AE13="No", 1, AE13="Yes, implicit", 2, AE13="Yes, explicit", 3)</f>
        <v>2</v>
      </c>
      <c r="AG13" s="44" t="s">
        <v>543</v>
      </c>
      <c r="AH13" s="44" t="s">
        <v>556</v>
      </c>
      <c r="AI13" s="44">
        <v>2</v>
      </c>
      <c r="AJ13" s="73">
        <f t="shared" si="0"/>
        <v>1.4</v>
      </c>
      <c r="AK13" s="76" t="s">
        <v>544</v>
      </c>
      <c r="AL13" s="74">
        <f t="shared" si="10"/>
        <v>1</v>
      </c>
      <c r="AM13" s="74" t="s">
        <v>545</v>
      </c>
      <c r="AN13" s="74">
        <f t="shared" si="11"/>
        <v>1</v>
      </c>
      <c r="AO13" s="74" t="s">
        <v>545</v>
      </c>
      <c r="AP13" s="74">
        <f t="shared" si="12"/>
        <v>1</v>
      </c>
      <c r="AQ13" s="75">
        <f t="shared" si="13"/>
        <v>0.30000000000000004</v>
      </c>
      <c r="AR13" s="74" t="s">
        <v>545</v>
      </c>
      <c r="AS13" s="74">
        <f t="shared" si="14"/>
        <v>1</v>
      </c>
      <c r="AT13" s="74" t="s">
        <v>545</v>
      </c>
      <c r="AU13" s="74">
        <f t="shared" si="15"/>
        <v>1</v>
      </c>
      <c r="AV13" s="74">
        <f t="shared" si="16"/>
        <v>0.2</v>
      </c>
      <c r="AW13" s="76" t="s">
        <v>545</v>
      </c>
      <c r="AX13" s="195">
        <f t="shared" si="1"/>
        <v>0.4</v>
      </c>
      <c r="AY13" s="76" t="s">
        <v>545</v>
      </c>
      <c r="AZ13" s="76">
        <f t="shared" si="17"/>
        <v>1</v>
      </c>
      <c r="BA13" s="76" t="s">
        <v>545</v>
      </c>
      <c r="BB13" s="74">
        <f t="shared" si="18"/>
        <v>1</v>
      </c>
      <c r="BC13" s="76" t="s">
        <v>545</v>
      </c>
      <c r="BD13" s="74">
        <f t="shared" si="19"/>
        <v>1</v>
      </c>
      <c r="BE13" s="76">
        <f t="shared" si="20"/>
        <v>0.30000000000000004</v>
      </c>
      <c r="BF13" s="76"/>
      <c r="BG13" s="76"/>
      <c r="BH13" s="77"/>
      <c r="BI13" s="77"/>
      <c r="BJ13" s="77"/>
      <c r="BK13" s="77"/>
      <c r="BL13" s="78">
        <f t="shared" si="21"/>
        <v>1.2000000000000002</v>
      </c>
      <c r="BM13" s="76" t="s">
        <v>181</v>
      </c>
      <c r="BN13" s="197" cm="1">
        <f t="array" ref="BN13">_xlfn.IFS(BM13="Y", 3, BM13="N", 2)</f>
        <v>3</v>
      </c>
      <c r="BO13" s="76" t="s">
        <v>545</v>
      </c>
      <c r="BP13" s="197" cm="1">
        <f t="array" ref="BP13">_xlfn.IFS(BO13="Y", 3, BO13="N", 2)</f>
        <v>2</v>
      </c>
      <c r="BQ13" s="79">
        <f t="shared" si="22"/>
        <v>2.25</v>
      </c>
      <c r="BR13" s="44">
        <v>31800</v>
      </c>
      <c r="BS13" s="44">
        <f t="shared" si="23"/>
        <v>31800000</v>
      </c>
      <c r="BT13" s="44">
        <f t="shared" si="24"/>
        <v>49687.5</v>
      </c>
      <c r="BU13" s="80">
        <v>103642</v>
      </c>
      <c r="BV13" s="81">
        <f t="shared" si="25"/>
        <v>47.941471604175909</v>
      </c>
      <c r="BW13" s="82" cm="1">
        <f t="array" ref="BW13">_xlfn.IFS(BV13&gt;44, 3, BV13&lt;26, 1, 44&gt;BV13&gt;26, 2)</f>
        <v>3</v>
      </c>
      <c r="BX13" s="82">
        <v>9476142</v>
      </c>
      <c r="BY13" s="82" cm="1">
        <f t="array" ref="BY13">_xlfn.IFS(BX13&gt;12000000, 3, BX13&lt;4000000, 1, 4000000&gt;BX13&gt;12000000, 2)</f>
        <v>2</v>
      </c>
      <c r="BZ13" s="80">
        <v>7.3897696318761534</v>
      </c>
      <c r="CA13" s="82" cm="1">
        <f t="array" ref="CA13">_xlfn.IFS(BZ13&gt;$BZ$60, 1, BZ13&lt;$BZ$59, 3, BZ13&gt;$BZ$59, 2, BZ13=$BZ$59, 2)</f>
        <v>1</v>
      </c>
      <c r="CB13" s="413">
        <f t="shared" si="26"/>
        <v>2.0500000000000003</v>
      </c>
      <c r="CC13" s="44">
        <v>4366006</v>
      </c>
      <c r="CD13" s="44" cm="1">
        <f t="array" ref="CD13">_xlfn.IFS(CC13&gt;4200000, 3, CC13&lt;1700000, 1, 4200000&gt;CC13&gt;1700000, 2)</f>
        <v>3</v>
      </c>
      <c r="CE13" s="44">
        <v>180729.24999999994</v>
      </c>
      <c r="CF13" s="44" cm="1">
        <f t="array" ref="CF13">_xlfn.IFS(CE13&lt;120000, 1, CE13&gt;620000, 3, 620000&gt;CE13&gt;120000, 2)</f>
        <v>2</v>
      </c>
      <c r="CG13" s="44">
        <v>1465984.3000000003</v>
      </c>
      <c r="CH13" s="44" cm="1">
        <f t="array" ref="CH13">_xlfn.IFS(CG13&lt;300000, 1, CG13&gt;1700000, 3, 300000&gt;CG13&gt;170000, 2)</f>
        <v>2</v>
      </c>
      <c r="CI13" s="44">
        <v>66.636175629999997</v>
      </c>
      <c r="CJ13" s="61" cm="1">
        <f t="array" ref="CJ13">_xlfn.IFS(CI13&lt;$CI$60, 1, CI13&gt;$CI$61, 3, CI13&lt;$CI$61, 2)</f>
        <v>3</v>
      </c>
      <c r="CK13" s="205">
        <f t="shared" si="27"/>
        <v>2.4500000000000002</v>
      </c>
      <c r="CL13" s="44">
        <v>4632169</v>
      </c>
      <c r="CM13" s="48" cm="1">
        <f t="array" ref="CM13">_xlfn.IFS(CL13&gt;4600000, 3, CL13&lt;430000, 1, 4600000&gt;CL13&gt;430000, 2)</f>
        <v>3</v>
      </c>
      <c r="CN13" s="72">
        <f t="shared" si="2"/>
        <v>3</v>
      </c>
      <c r="CO13" s="39">
        <v>0</v>
      </c>
      <c r="CP13" s="65" cm="1">
        <f t="array" ref="CP13">_xlfn.IFS(CO13=0, 1, CO13="active", 3, CO13="permitted", 2)</f>
        <v>1</v>
      </c>
      <c r="CQ13" s="39">
        <v>0</v>
      </c>
      <c r="CR13" s="39" cm="1">
        <f t="array" ref="CR13">_xlfn.IFS(CQ13=0, 1, CQ13&lt;&gt;0, 3)</f>
        <v>1</v>
      </c>
      <c r="CS13" s="72">
        <v>1</v>
      </c>
      <c r="CT13" s="44" t="s">
        <v>545</v>
      </c>
      <c r="CU13" s="82">
        <v>0</v>
      </c>
      <c r="CV13" s="82">
        <v>104094</v>
      </c>
      <c r="CW13" s="39" t="s">
        <v>542</v>
      </c>
      <c r="CX13" s="207" cm="1">
        <f t="array" ref="CX13">_xlfn.IFS(CT13="N", 0, CW13&lt;$CW$61, 2, CW13 = $CW$61, 2, CW13&gt;$CW$61, 3)</f>
        <v>0</v>
      </c>
      <c r="CY13" s="207" t="s">
        <v>542</v>
      </c>
      <c r="CZ13" s="207" t="str" cm="1">
        <f t="array" ref="CZ13">_xlfn.IFS(CY13="NA", "NA", CY13=0, 1, CY13=1, 2, CY13&gt;1, 3)</f>
        <v>NA</v>
      </c>
      <c r="DA13" s="201">
        <f t="shared" si="28"/>
        <v>0</v>
      </c>
      <c r="DB13" s="86">
        <v>935</v>
      </c>
      <c r="DC13" s="61" cm="1">
        <f t="array" ref="DC13">_xlfn.IFS(DB13&gt;$DB$61, 3, DB13=0, 1, DB13&lt;$DB$61, 2, DB13=$DB$61, 2)</f>
        <v>3</v>
      </c>
      <c r="DD13" s="87">
        <v>3007</v>
      </c>
      <c r="DE13" s="44" cm="1">
        <f t="array" ref="DE13">_xlfn.IFS(DD13&gt;$DD$62, 3, DD13&lt;$DD$60, 1, DD13&gt;$DD$60, 2, DD13=$DD$60, 2)</f>
        <v>2</v>
      </c>
      <c r="DF13" s="44">
        <v>438</v>
      </c>
      <c r="DG13" s="61" cm="1">
        <f t="array" ref="DG13">_xlfn.IFS(DF13=0, 1, DF13&lt;$DF$61, 2, DF13&gt;$DF$61, 3)</f>
        <v>2</v>
      </c>
      <c r="DH13" s="415">
        <f t="shared" si="29"/>
        <v>2.3333333333333308</v>
      </c>
      <c r="DI13" s="82">
        <v>429058977</v>
      </c>
      <c r="DJ13" s="82">
        <f t="shared" si="30"/>
        <v>48979.335273972603</v>
      </c>
      <c r="DK13" s="88">
        <v>8546.6</v>
      </c>
      <c r="DL13" s="89">
        <f t="shared" si="31"/>
        <v>0.17449399736018109</v>
      </c>
      <c r="DM13" s="88" cm="1">
        <f t="array" ref="DM13">_xlfn.IFS(DL13&gt;$DL$60,3,(AND(DL13&lt;$DL$60,DL13&gt;$DL$59)),2,DL13&lt;$DL$59,1)</f>
        <v>2</v>
      </c>
      <c r="DN13" s="88">
        <v>21102</v>
      </c>
      <c r="DO13" s="90">
        <f t="shared" si="32"/>
        <v>4.9182049860711806E-2</v>
      </c>
      <c r="DP13" s="88" cm="1">
        <f t="array" ref="DP13">_xlfn.IFS(DO13&gt;DO$60,3,(AND(DO13&lt;DO$60,DO13&gt;DO$59)),2,DO13&lt;DO$59,1)</f>
        <v>3</v>
      </c>
      <c r="DQ13" s="91">
        <v>19178.5</v>
      </c>
      <c r="DR13" s="92">
        <f t="shared" si="33"/>
        <v>0.23228388648184536</v>
      </c>
      <c r="DS13" s="88" cm="1">
        <f t="array" ref="DS13">_xlfn.IFS(DR13&gt;DR$60,3,(AND(DR13&lt;DR$60,DR13&gt;DR$59)),2,DR13&lt;DR$59,1)</f>
        <v>2</v>
      </c>
      <c r="DT13" s="91" t="s">
        <v>547</v>
      </c>
      <c r="DU13" s="213" cm="1">
        <f t="array" ref="DU13">_xlfn.IFS(DT13="no data","",DT13="40-45", 1, DT13= "45-50", 1, DT13="50-55", 1, DT13 ="30-35", 2, DT13="25-30", 2, DT13="35-40", 2, DT13="20-25", 3, DT13="15-20", 3)</f>
        <v>2</v>
      </c>
      <c r="DV13" s="88">
        <v>20014207528.389645</v>
      </c>
      <c r="DW13" s="88" cm="1">
        <f t="array" ref="DW13">_xlfn.IFS(DV13&gt;DV$60,3,(AND(DV13&lt;DV$60,DV13&gt;DV$59)),2,DV13&lt;DV$59,1)</f>
        <v>3</v>
      </c>
      <c r="DX13" s="93">
        <v>4</v>
      </c>
      <c r="DY13" s="88" cm="1">
        <f t="array" ref="DY13">_xlfn.IFS(DX13&gt;6.99,1,AND(DX13 &gt; 3, DX13 &lt; 7),2,DX13&lt;3.99,3)</f>
        <v>2</v>
      </c>
      <c r="DZ13" s="94">
        <f t="shared" si="3"/>
        <v>2.4000000000000004</v>
      </c>
      <c r="EA13" s="95">
        <v>264100</v>
      </c>
      <c r="EB13" s="95">
        <v>397600</v>
      </c>
      <c r="EC13" s="82">
        <v>2545</v>
      </c>
      <c r="ED13" s="82">
        <v>0</v>
      </c>
      <c r="EE13" s="82">
        <v>0</v>
      </c>
      <c r="EF13" s="82">
        <f t="shared" si="34"/>
        <v>0</v>
      </c>
      <c r="EG13" s="204" cm="1">
        <f t="array" ref="EG13">_xlfn.IFS(EF13=0, 1, EF13&gt;2, 3, 0&gt;EF13&gt;3,2)</f>
        <v>1</v>
      </c>
      <c r="EH13" s="82">
        <v>14</v>
      </c>
      <c r="EI13" s="82">
        <v>4</v>
      </c>
      <c r="EJ13" s="82">
        <f t="shared" si="35"/>
        <v>18</v>
      </c>
      <c r="EK13" s="82" cm="1">
        <f t="array" ref="EK13">_xlfn.IFS(EH13+EI13=0, 1, EH13+EI13&gt;5, 3, EH13+EI13=5, 2, 0&gt;EH13+EI13&gt;5, 2)</f>
        <v>3</v>
      </c>
      <c r="EL13" s="82">
        <v>1</v>
      </c>
      <c r="EM13" s="82">
        <v>1</v>
      </c>
      <c r="EN13" s="82" cm="1">
        <f t="array" ref="EN13">_xlfn.IFS(EL13+EM13=0, 1, EL13+EM13&gt;10, 3, EL13+EM13 = 10, 2, 0&gt;EL13+EM13&gt;10, 2)</f>
        <v>2</v>
      </c>
      <c r="EO13" s="96">
        <f t="shared" si="4"/>
        <v>2</v>
      </c>
      <c r="EP13" s="44">
        <v>3</v>
      </c>
      <c r="EQ13" s="61" cm="1">
        <f t="array" ref="EQ13">_xlfn.IFS(EP13=0, 1, EP13&gt;$EP$60, 3, EP13&lt;$EP$60, 2)</f>
        <v>3</v>
      </c>
      <c r="ER13" s="100">
        <v>243.8</v>
      </c>
      <c r="ES13" s="100" cm="1">
        <f t="array" ref="ES13">_xlfn.IFS(ER13=0, 1, ER13&gt;$ER$59, 3, ER13&lt;$ER$59, 2)</f>
        <v>3</v>
      </c>
      <c r="ET13" s="44">
        <v>0</v>
      </c>
      <c r="EU13" s="44" cm="1">
        <f t="array" ref="EU13">_xlfn.IFS(ET13=0, 1, ET13=1, 2, ET13&gt;1, 3)</f>
        <v>1</v>
      </c>
      <c r="EV13" s="413">
        <f t="shared" si="36"/>
        <v>2.2000000000000002</v>
      </c>
      <c r="EW13" s="82">
        <v>134.11000000000001</v>
      </c>
      <c r="EX13" s="210" cm="1">
        <f t="array" ref="EX13">_xlfn.IFS(EW13&gt;EX$60,3,(AND(EW13&lt;EX$60,EW13&gt;EX$59)),2,EW13&lt;EX$59,1)</f>
        <v>3</v>
      </c>
      <c r="EY13" s="82">
        <v>0</v>
      </c>
      <c r="EZ13" s="210" cm="1">
        <f t="array" ref="EZ13">_xlfn.IFS(EY13&gt;EZ$60,3,(AND(EY13&lt;EZ$60,EY13&gt;EZ$59)),2,EY13&lt;EZ$59,1)</f>
        <v>1</v>
      </c>
      <c r="FA13" s="82">
        <v>5507960250570</v>
      </c>
      <c r="FB13" s="210" cm="1">
        <f t="array" ref="FB13">_xlfn.IFS(FA13&gt;FB$60,3,(AND(FA13&lt;FB$60,FA13&gt;FB$59)),2,FA13&lt;FB$59,1)</f>
        <v>3</v>
      </c>
      <c r="FC13" s="416">
        <f t="shared" si="5"/>
        <v>2.5</v>
      </c>
      <c r="FD13" s="81">
        <v>1.91</v>
      </c>
      <c r="FE13" s="81" cm="1">
        <f t="array" ref="FE13">_xlfn.IFS(FD13&gt;$FD$60, 3, FD13&lt;$FD$59, 1, FD13&gt;$FD$59, 2)</f>
        <v>2</v>
      </c>
      <c r="FF13" s="44">
        <v>3</v>
      </c>
      <c r="FG13" s="61" cm="1">
        <f t="array" ref="FG13">_xlfn.IFS(FF13&lt;$FF$59, 1, FF13&gt;$FF$60, 3, FF13 = $FF$60, 3, FF13&lt;$FF$60, 2)</f>
        <v>3</v>
      </c>
      <c r="FH13" s="97">
        <f t="shared" si="6"/>
        <v>2.4000000000000004</v>
      </c>
      <c r="FI13" s="102">
        <v>10</v>
      </c>
      <c r="FJ13" s="44">
        <v>1</v>
      </c>
      <c r="FK13" s="98">
        <f t="shared" si="7"/>
        <v>11</v>
      </c>
      <c r="FL13" s="98" cm="1">
        <f t="array" ref="FL13">_xlfn.IFS(FK13&gt;$FK$60, 3, FK13&lt;$FK$59, 1, FK13&gt;$FK$59, 2, FK13=$FK$59, 2)</f>
        <v>3</v>
      </c>
      <c r="FM13" s="99">
        <f t="shared" si="8"/>
        <v>3</v>
      </c>
    </row>
    <row r="14" spans="1:169" ht="20.100000000000001" customHeight="1">
      <c r="A14" s="38" t="s">
        <v>95</v>
      </c>
      <c r="B14" s="44" t="s">
        <v>554</v>
      </c>
      <c r="C14" s="44">
        <v>3</v>
      </c>
      <c r="D14" s="44" t="s">
        <v>569</v>
      </c>
      <c r="E14" s="44">
        <v>2</v>
      </c>
      <c r="F14" s="61" t="s">
        <v>543</v>
      </c>
      <c r="G14" s="61" cm="1">
        <f t="array" ref="G14">_xlfn.IFS(F14= "Yes", 3, F14 &lt;&gt; "Yes", 1)</f>
        <v>1</v>
      </c>
      <c r="H14" s="44" t="s">
        <v>552</v>
      </c>
      <c r="I14" s="44">
        <v>2</v>
      </c>
      <c r="J14" s="44" t="s">
        <v>543</v>
      </c>
      <c r="K14" s="44">
        <v>1</v>
      </c>
      <c r="L14" s="193">
        <f t="shared" si="37"/>
        <v>2</v>
      </c>
      <c r="M14" s="44" t="s">
        <v>543</v>
      </c>
      <c r="N14" s="44">
        <v>1</v>
      </c>
      <c r="O14" s="44" t="s">
        <v>543</v>
      </c>
      <c r="P14" s="44">
        <v>1</v>
      </c>
      <c r="Q14" s="44" t="s">
        <v>543</v>
      </c>
      <c r="R14" s="44">
        <v>1</v>
      </c>
      <c r="S14" s="48" t="s">
        <v>543</v>
      </c>
      <c r="T14" s="44">
        <v>1</v>
      </c>
      <c r="U14" s="44" t="s">
        <v>543</v>
      </c>
      <c r="V14" s="44">
        <v>1</v>
      </c>
      <c r="W14" s="44" t="s">
        <v>543</v>
      </c>
      <c r="X14" s="44">
        <v>1</v>
      </c>
      <c r="Y14" s="39" t="s">
        <v>570</v>
      </c>
      <c r="Z14" s="44">
        <v>2</v>
      </c>
      <c r="AA14" s="72">
        <f t="shared" si="9"/>
        <v>1.0749999999999997</v>
      </c>
      <c r="AB14" s="103" t="s">
        <v>571</v>
      </c>
      <c r="AC14" s="104" t="s">
        <v>572</v>
      </c>
      <c r="AD14" s="44">
        <v>3</v>
      </c>
      <c r="AE14" s="44" t="s">
        <v>561</v>
      </c>
      <c r="AF14" s="44" cm="1">
        <f t="array" ref="AF14">_xlfn.IFS(AE14="NA", 1, AE14="No", 1, AE14="Yes, implicit", 2, AE14="Yes, explicit", 3)</f>
        <v>3</v>
      </c>
      <c r="AG14" s="44" t="s">
        <v>556</v>
      </c>
      <c r="AH14" s="44" t="s">
        <v>556</v>
      </c>
      <c r="AI14" s="44">
        <v>2</v>
      </c>
      <c r="AJ14" s="73">
        <f t="shared" si="0"/>
        <v>2.8</v>
      </c>
      <c r="AK14" s="76" t="s">
        <v>544</v>
      </c>
      <c r="AL14" s="74">
        <f t="shared" si="10"/>
        <v>1</v>
      </c>
      <c r="AM14" s="74" t="s">
        <v>545</v>
      </c>
      <c r="AN14" s="74">
        <f t="shared" si="11"/>
        <v>1</v>
      </c>
      <c r="AO14" s="74" t="s">
        <v>545</v>
      </c>
      <c r="AP14" s="74">
        <f t="shared" si="12"/>
        <v>1</v>
      </c>
      <c r="AQ14" s="75">
        <f t="shared" si="13"/>
        <v>0.30000000000000004</v>
      </c>
      <c r="AR14" s="74" t="s">
        <v>545</v>
      </c>
      <c r="AS14" s="74">
        <f t="shared" si="14"/>
        <v>1</v>
      </c>
      <c r="AT14" s="74" t="s">
        <v>545</v>
      </c>
      <c r="AU14" s="74">
        <f t="shared" si="15"/>
        <v>1</v>
      </c>
      <c r="AV14" s="74">
        <f t="shared" si="16"/>
        <v>0.2</v>
      </c>
      <c r="AW14" s="76" t="s">
        <v>545</v>
      </c>
      <c r="AX14" s="195">
        <f t="shared" si="1"/>
        <v>0.4</v>
      </c>
      <c r="AY14" s="76" t="s">
        <v>545</v>
      </c>
      <c r="AZ14" s="76">
        <f t="shared" si="17"/>
        <v>1</v>
      </c>
      <c r="BA14" s="76" t="s">
        <v>545</v>
      </c>
      <c r="BB14" s="74">
        <f t="shared" si="18"/>
        <v>1</v>
      </c>
      <c r="BC14" s="76" t="s">
        <v>181</v>
      </c>
      <c r="BD14" s="74">
        <f t="shared" si="19"/>
        <v>3</v>
      </c>
      <c r="BE14" s="76">
        <f t="shared" si="20"/>
        <v>0.5</v>
      </c>
      <c r="BF14" s="76"/>
      <c r="BG14" s="76"/>
      <c r="BH14" s="77">
        <f t="shared" ref="BH14:BH57" si="38">$BH$6*AQ14</f>
        <v>0</v>
      </c>
      <c r="BI14" s="77">
        <f t="shared" ref="BI14:BI57" si="39">$BI$6*AV14</f>
        <v>0</v>
      </c>
      <c r="BJ14" s="77">
        <f t="shared" ref="BJ14:BJ57" si="40">$BJ$6*AX14</f>
        <v>0</v>
      </c>
      <c r="BK14" s="77">
        <f t="shared" ref="BK14:BK57" si="41">$BK$6*BE14</f>
        <v>0</v>
      </c>
      <c r="BL14" s="78">
        <f t="shared" si="21"/>
        <v>1.4000000000000001</v>
      </c>
      <c r="BM14" s="76" t="s">
        <v>181</v>
      </c>
      <c r="BN14" s="197" cm="1">
        <f t="array" ref="BN14">_xlfn.IFS(BM14="Y", 3, BM14="N", 2)</f>
        <v>3</v>
      </c>
      <c r="BO14" s="76" t="s">
        <v>181</v>
      </c>
      <c r="BP14" s="197" cm="1">
        <f t="array" ref="BP14">_xlfn.IFS(BO14="Y", 3, BO14="N", 2)</f>
        <v>3</v>
      </c>
      <c r="BQ14" s="79">
        <f t="shared" si="22"/>
        <v>3</v>
      </c>
      <c r="BR14" s="44">
        <v>380</v>
      </c>
      <c r="BS14" s="44">
        <f t="shared" si="23"/>
        <v>380000</v>
      </c>
      <c r="BT14" s="44">
        <f t="shared" si="24"/>
        <v>593.75</v>
      </c>
      <c r="BU14" s="80">
        <v>4842</v>
      </c>
      <c r="BV14" s="81">
        <f t="shared" si="25"/>
        <v>12.262494836844279</v>
      </c>
      <c r="BW14" s="82" cm="1">
        <f t="array" ref="BW14">_xlfn.IFS(BV14&gt;44, 3, BV14&lt;26, 1, 44&gt;BV14&gt;26, 2)</f>
        <v>1</v>
      </c>
      <c r="BX14" s="82">
        <v>726235</v>
      </c>
      <c r="BY14" s="82" cm="1">
        <f t="array" ref="BY14">_xlfn.IFS(BX14&gt;12000000, 3, BX14&lt;4000000, 1, 4000000&gt;BX14&gt;12000000, 2)</f>
        <v>1</v>
      </c>
      <c r="BZ14" s="80">
        <v>5.3185674100432312</v>
      </c>
      <c r="CA14" s="82" cm="1">
        <f t="array" ref="CA14">_xlfn.IFS(BZ14&gt;$BZ$60, 1, BZ14&lt;$BZ$59, 3, BZ14&gt;$BZ$59, 2, BZ14=$BZ$59, 2)</f>
        <v>3</v>
      </c>
      <c r="CB14" s="413">
        <f t="shared" si="26"/>
        <v>1.6999999999999997</v>
      </c>
      <c r="CC14" s="44">
        <v>1008211</v>
      </c>
      <c r="CD14" s="44" cm="1">
        <f t="array" ref="CD14">_xlfn.IFS(CC14&gt;4200000, 3, CC14&lt;1700000, 1, 4200000&gt;CC14&gt;1700000, 2)</f>
        <v>1</v>
      </c>
      <c r="CE14" s="44">
        <v>63765.969999999979</v>
      </c>
      <c r="CF14" s="44" cm="1">
        <f t="array" ref="CF14">_xlfn.IFS(CE14&lt;120000, 1, CE14&gt;620000, 3, 620000&gt;CE14&gt;120000, 2)</f>
        <v>1</v>
      </c>
      <c r="CG14" s="44">
        <v>4943.3999999999996</v>
      </c>
      <c r="CH14" s="44" cm="1">
        <f t="array" ref="CH14">_xlfn.IFS(CG14&lt;300000, 1, CG14&gt;1700000, 3, 300000&gt;CG14&gt;170000, 2)</f>
        <v>1</v>
      </c>
      <c r="CI14" s="44">
        <v>45.83200764</v>
      </c>
      <c r="CJ14" s="61" cm="1">
        <f t="array" ref="CJ14">_xlfn.IFS(CI14&lt;$CI$60, 1, CI14&gt;$CI$61, 3, CI14&lt;$CI$61, 2)</f>
        <v>2</v>
      </c>
      <c r="CK14" s="205">
        <f t="shared" si="27"/>
        <v>1.25</v>
      </c>
      <c r="CL14" s="44">
        <v>215471</v>
      </c>
      <c r="CM14" s="48" cm="1">
        <f t="array" ref="CM14">_xlfn.IFS(CL14&gt;4600000, 3, CL14&lt;430000, 1, 4600000&gt;CL14&gt;430000, 2)</f>
        <v>1</v>
      </c>
      <c r="CN14" s="72">
        <f t="shared" si="2"/>
        <v>1</v>
      </c>
      <c r="CO14" s="39" t="s">
        <v>549</v>
      </c>
      <c r="CP14" s="65" cm="1">
        <f t="array" ref="CP14">_xlfn.IFS(CO14=0, 1, CO14="active", 3, CO14="permitted", 2)</f>
        <v>3</v>
      </c>
      <c r="CQ14" s="39">
        <v>0</v>
      </c>
      <c r="CR14" s="39" cm="1">
        <f t="array" ref="CR14">_xlfn.IFS(CQ14=0, 1, CQ14&lt;&gt;0, 3)</f>
        <v>1</v>
      </c>
      <c r="CS14" s="72">
        <v>3</v>
      </c>
      <c r="CT14" s="44" t="s">
        <v>181</v>
      </c>
      <c r="CU14" s="82">
        <v>530</v>
      </c>
      <c r="CV14" s="82">
        <v>5543</v>
      </c>
      <c r="CW14" s="39">
        <f>CU14/CV14</f>
        <v>9.5616092368753389E-2</v>
      </c>
      <c r="CX14" s="207" cm="1">
        <f t="array" ref="CX14">_xlfn.IFS(CT14="N", 0, CW14&lt;$CW$61, 2, CW14 = $CW$61, 2, CW14&gt;$CW$61, 3)</f>
        <v>3</v>
      </c>
      <c r="CY14" s="207">
        <v>0</v>
      </c>
      <c r="CZ14" s="207" cm="1">
        <f t="array" ref="CZ14">_xlfn.IFS(CY14="NA", "NA", CY14=0, 1, CY14=1, 2, CY14&gt;1, 3)</f>
        <v>1</v>
      </c>
      <c r="DA14" s="201">
        <f t="shared" si="28"/>
        <v>2.5</v>
      </c>
      <c r="DB14" s="86">
        <v>0</v>
      </c>
      <c r="DC14" s="61" cm="1">
        <f t="array" ref="DC14">_xlfn.IFS(DB14&gt;$DB$61, 3, DB14=0, 1, DB14&lt;$DB$61, 2, DB14=$DB$61, 2)</f>
        <v>1</v>
      </c>
      <c r="DD14" s="87">
        <v>980</v>
      </c>
      <c r="DE14" s="44" cm="1">
        <f t="array" ref="DE14">_xlfn.IFS(DD14&gt;$DD$62, 3, DD14&lt;$DD$60, 1, DD14&gt;$DD$60, 2, DD14=$DD$60, 2)</f>
        <v>1</v>
      </c>
      <c r="DF14" s="44">
        <v>0</v>
      </c>
      <c r="DG14" s="61" cm="1">
        <f t="array" ref="DG14">_xlfn.IFS(DF14=0, 1, DF14&lt;$DF$61, 2, DF14&gt;$DF$61, 3)</f>
        <v>1</v>
      </c>
      <c r="DH14" s="415">
        <f t="shared" si="29"/>
        <v>0.99999999999999889</v>
      </c>
      <c r="DI14" s="82">
        <v>207387347</v>
      </c>
      <c r="DJ14" s="82">
        <f t="shared" si="30"/>
        <v>23674.354680365297</v>
      </c>
      <c r="DK14" s="88">
        <v>2746.2000000000003</v>
      </c>
      <c r="DL14" s="89">
        <f t="shared" si="31"/>
        <v>0.11599893796799475</v>
      </c>
      <c r="DM14" s="88" cm="1">
        <f t="array" ref="DM14">_xlfn.IFS(DL14&gt;$DL$60,3,(AND(DL14&lt;$DL$60,DL14&gt;$DL$59)),2,DL14&lt;$DL$59,1)</f>
        <v>2</v>
      </c>
      <c r="DN14" s="88">
        <v>1194</v>
      </c>
      <c r="DO14" s="90">
        <f t="shared" si="32"/>
        <v>5.7573425634303522E-3</v>
      </c>
      <c r="DP14" s="88" cm="1">
        <f t="array" ref="DP14">_xlfn.IFS(DO14&gt;DO$60,3,(AND(DO14&lt;DO$60,DO14&gt;DO$59)),2,DO14&lt;DO$59,1)</f>
        <v>1</v>
      </c>
      <c r="DQ14" s="91">
        <v>10304.6</v>
      </c>
      <c r="DR14" s="92">
        <f t="shared" si="33"/>
        <v>0.26808586166068221</v>
      </c>
      <c r="DS14" s="88" cm="1">
        <f t="array" ref="DS14">_xlfn.IFS(DR14&gt;DR$60,3,(AND(DR14&lt;DR$60,DR14&gt;DR$59)),2,DR14&lt;DR$59,1)</f>
        <v>2</v>
      </c>
      <c r="DT14" s="91" t="s">
        <v>573</v>
      </c>
      <c r="DU14" s="213" cm="1">
        <f t="array" ref="DU14">_xlfn.IFS(DT14="no data","",DT14="40-45", 1, DT14= "45-50", 1, DT14="50-55", 1, DT14 ="30-35", 2, DT14="25-30", 2, DT14="35-40", 2, DT14="20-25", 3, DT14="15-20", 3)</f>
        <v>3</v>
      </c>
      <c r="DV14" s="88">
        <v>165238045.14704353</v>
      </c>
      <c r="DW14" s="88" cm="1">
        <f t="array" ref="DW14">_xlfn.IFS(DV14&gt;DV$60,3,(AND(DV14&lt;DV$60,DV14&gt;DV$59)),2,DV14&lt;DV$59,1)</f>
        <v>1</v>
      </c>
      <c r="DX14" s="93">
        <v>6</v>
      </c>
      <c r="DY14" s="88" cm="1">
        <f t="array" ref="DY14">_xlfn.IFS(DX14&gt;6.99,1,AND(DX14 &gt; 3, DX14 &lt; 7),2,DX14&lt;3.99,3)</f>
        <v>2</v>
      </c>
      <c r="DZ14" s="94">
        <f t="shared" si="3"/>
        <v>1.7</v>
      </c>
      <c r="EA14" s="95">
        <v>14400</v>
      </c>
      <c r="EB14" s="95">
        <v>15100</v>
      </c>
      <c r="EC14" s="44">
        <v>571</v>
      </c>
      <c r="ED14" s="44">
        <v>0</v>
      </c>
      <c r="EE14" s="82">
        <v>38</v>
      </c>
      <c r="EF14" s="82">
        <f t="shared" si="34"/>
        <v>38</v>
      </c>
      <c r="EG14" s="204" cm="1">
        <f t="array" ref="EG14">_xlfn.IFS(EF14=0, 1, EF14&gt;2, 3, 0&gt;EF14&gt;3,2)</f>
        <v>3</v>
      </c>
      <c r="EH14" s="82">
        <v>0</v>
      </c>
      <c r="EI14" s="82">
        <v>0</v>
      </c>
      <c r="EJ14" s="82">
        <f t="shared" si="35"/>
        <v>0</v>
      </c>
      <c r="EK14" s="82" cm="1">
        <f t="array" ref="EK14">_xlfn.IFS(EH14+EI14=0, 1, EH14+EI14&gt;5, 3, EH14+EI14=5, 2, 0&gt;EH14+EI14&gt;5, 2)</f>
        <v>1</v>
      </c>
      <c r="EL14" s="82">
        <v>2</v>
      </c>
      <c r="EM14" s="82">
        <v>8</v>
      </c>
      <c r="EN14" s="82" cm="1">
        <f t="array" ref="EN14">_xlfn.IFS(EL14+EM14=0, 1, EL14+EM14&gt;10, 3, EL14+EM14 = 10, 2, 0&gt;EL14+EM14&gt;10, 2)</f>
        <v>2</v>
      </c>
      <c r="EO14" s="96">
        <f t="shared" si="4"/>
        <v>2</v>
      </c>
      <c r="EP14" s="44">
        <v>0</v>
      </c>
      <c r="EQ14" s="61" cm="1">
        <f t="array" ref="EQ14">_xlfn.IFS(EP14=0, 1, EP14&gt;$EP$60, 3, EP14&lt;$EP$60, 2)</f>
        <v>1</v>
      </c>
      <c r="ER14" s="100">
        <v>0</v>
      </c>
      <c r="ES14" s="100" cm="1">
        <f t="array" ref="ES14">_xlfn.IFS(ER14=0, 1, ER14&gt;$ER$59, 3, ER14&lt;$ER$59, 2)</f>
        <v>1</v>
      </c>
      <c r="ET14" s="44">
        <v>0</v>
      </c>
      <c r="EU14" s="44" cm="1">
        <f t="array" ref="EU14">_xlfn.IFS(ET14=0, 1, ET14=1, 2, ET14&gt;1, 3)</f>
        <v>1</v>
      </c>
      <c r="EV14" s="413">
        <f t="shared" si="36"/>
        <v>1</v>
      </c>
      <c r="EW14" s="82">
        <v>0</v>
      </c>
      <c r="EX14" s="210" cm="1">
        <f t="array" ref="EX14">_xlfn.IFS(EW14&gt;EX$60,3,(AND(EW14&lt;EX$60,EW14&gt;EX$59)),2,EW14&lt;EX$59,1)</f>
        <v>1</v>
      </c>
      <c r="EY14" s="253">
        <v>30698915.217412505</v>
      </c>
      <c r="EZ14" s="210" cm="1">
        <f t="array" ref="EZ14">_xlfn.IFS(EY14&gt;EZ$60,3,(AND(EY14&lt;EZ$60,EY14&gt;EZ$59)),2,EY14&lt;EZ$59,1)</f>
        <v>2</v>
      </c>
      <c r="FA14" s="82">
        <v>1811291663100</v>
      </c>
      <c r="FB14" s="210" cm="1">
        <f t="array" ref="FB14">_xlfn.IFS(FA14&gt;FB$60,3,(AND(FA14&lt;FB$60,FA14&gt;FB$59)),2,FA14&lt;FB$59,1)</f>
        <v>2</v>
      </c>
      <c r="FC14" s="416">
        <f t="shared" si="5"/>
        <v>1.5</v>
      </c>
      <c r="FD14" s="81">
        <v>0.2</v>
      </c>
      <c r="FE14" s="81" cm="1">
        <f t="array" ref="FE14">_xlfn.IFS(FD14&gt;$FD$60, 3, FD14&lt;$FD$59, 1, FD14&gt;$FD$59, 2)</f>
        <v>1</v>
      </c>
      <c r="FF14" s="44">
        <v>0</v>
      </c>
      <c r="FG14" s="61" cm="1">
        <f t="array" ref="FG14">_xlfn.IFS(FF14&lt;$FF$59, 1, FF14&gt;$FF$60, 3, FF14 = $FF$60, 3, FF14&lt;$FF$60, 2)</f>
        <v>1</v>
      </c>
      <c r="FH14" s="97">
        <f t="shared" si="6"/>
        <v>1</v>
      </c>
      <c r="FI14" s="102">
        <v>0</v>
      </c>
      <c r="FJ14" s="44">
        <v>0</v>
      </c>
      <c r="FK14" s="98">
        <f t="shared" si="7"/>
        <v>0</v>
      </c>
      <c r="FL14" s="98" cm="1">
        <f t="array" ref="FL14">_xlfn.IFS(FK14&gt;$FK$60, 3, FK14&lt;$FK$59, 1, FK14&gt;$FK$59, 2, FK14=$FK$59, 2)</f>
        <v>1</v>
      </c>
      <c r="FM14" s="99">
        <f t="shared" si="8"/>
        <v>1</v>
      </c>
    </row>
    <row r="15" spans="1:169" ht="20.100000000000001" customHeight="1">
      <c r="A15" s="375" t="s">
        <v>98</v>
      </c>
      <c r="B15" s="44" t="s">
        <v>564</v>
      </c>
      <c r="C15" s="105">
        <v>3</v>
      </c>
      <c r="D15" s="44" t="s">
        <v>574</v>
      </c>
      <c r="E15" s="44">
        <v>3</v>
      </c>
      <c r="F15" s="61" t="s">
        <v>543</v>
      </c>
      <c r="G15" s="61" cm="1">
        <f t="array" ref="G15">_xlfn.IFS(F15= "Yes", 3, F15 &lt;&gt; "Yes", 1)</f>
        <v>1</v>
      </c>
      <c r="H15" s="44" t="s">
        <v>553</v>
      </c>
      <c r="I15" s="44">
        <v>3</v>
      </c>
      <c r="J15" s="44" t="s">
        <v>543</v>
      </c>
      <c r="K15" s="44">
        <v>1</v>
      </c>
      <c r="L15" s="193">
        <f t="shared" si="37"/>
        <v>2.4</v>
      </c>
      <c r="M15" s="44" t="s">
        <v>543</v>
      </c>
      <c r="N15" s="44">
        <v>1</v>
      </c>
      <c r="O15" s="44" t="s">
        <v>543</v>
      </c>
      <c r="P15" s="44">
        <v>1</v>
      </c>
      <c r="Q15" s="44" t="s">
        <v>543</v>
      </c>
      <c r="R15" s="44">
        <v>1</v>
      </c>
      <c r="S15" s="48" t="s">
        <v>543</v>
      </c>
      <c r="T15" s="44">
        <v>1</v>
      </c>
      <c r="U15" s="44" t="s">
        <v>543</v>
      </c>
      <c r="V15" s="44">
        <v>1</v>
      </c>
      <c r="W15" s="44" t="s">
        <v>543</v>
      </c>
      <c r="X15" s="44">
        <v>1</v>
      </c>
      <c r="Y15" s="39" t="s">
        <v>570</v>
      </c>
      <c r="Z15" s="44">
        <v>2</v>
      </c>
      <c r="AA15" s="72">
        <f t="shared" si="9"/>
        <v>1.0749999999999997</v>
      </c>
      <c r="AB15" s="39" t="s">
        <v>543</v>
      </c>
      <c r="AC15" s="44" t="s">
        <v>542</v>
      </c>
      <c r="AD15" s="44">
        <v>1</v>
      </c>
      <c r="AE15" s="44" t="s">
        <v>568</v>
      </c>
      <c r="AF15" s="44" cm="1">
        <f t="array" ref="AF15">_xlfn.IFS(AE15="NA", 1, AE15="No", 1, AE15="Yes, implicit", 2, AE15="Yes, explicit", 3)</f>
        <v>2</v>
      </c>
      <c r="AG15" s="44" t="s">
        <v>543</v>
      </c>
      <c r="AH15" s="44" t="s">
        <v>543</v>
      </c>
      <c r="AI15" s="44">
        <v>1</v>
      </c>
      <c r="AJ15" s="73">
        <f t="shared" si="0"/>
        <v>1.2</v>
      </c>
      <c r="AK15" s="76" t="s">
        <v>544</v>
      </c>
      <c r="AL15" s="74">
        <f t="shared" si="10"/>
        <v>1</v>
      </c>
      <c r="AM15" s="74" t="s">
        <v>545</v>
      </c>
      <c r="AN15" s="74">
        <f t="shared" si="11"/>
        <v>1</v>
      </c>
      <c r="AO15" s="74" t="s">
        <v>545</v>
      </c>
      <c r="AP15" s="74">
        <f t="shared" si="12"/>
        <v>1</v>
      </c>
      <c r="AQ15" s="75">
        <f t="shared" si="13"/>
        <v>0.30000000000000004</v>
      </c>
      <c r="AR15" s="74" t="s">
        <v>545</v>
      </c>
      <c r="AS15" s="74">
        <f t="shared" si="14"/>
        <v>1</v>
      </c>
      <c r="AT15" s="74" t="s">
        <v>545</v>
      </c>
      <c r="AU15" s="74">
        <f t="shared" si="15"/>
        <v>1</v>
      </c>
      <c r="AV15" s="74">
        <f t="shared" si="16"/>
        <v>0.2</v>
      </c>
      <c r="AW15" s="76" t="s">
        <v>545</v>
      </c>
      <c r="AX15" s="195">
        <f t="shared" si="1"/>
        <v>0.4</v>
      </c>
      <c r="AY15" s="76" t="s">
        <v>545</v>
      </c>
      <c r="AZ15" s="76">
        <f t="shared" si="17"/>
        <v>1</v>
      </c>
      <c r="BA15" s="76" t="s">
        <v>545</v>
      </c>
      <c r="BB15" s="74">
        <f t="shared" si="18"/>
        <v>1</v>
      </c>
      <c r="BC15" s="76" t="s">
        <v>545</v>
      </c>
      <c r="BD15" s="74">
        <f t="shared" si="19"/>
        <v>1</v>
      </c>
      <c r="BE15" s="76">
        <f t="shared" si="20"/>
        <v>0.30000000000000004</v>
      </c>
      <c r="BF15" s="76"/>
      <c r="BG15" s="76"/>
      <c r="BH15" s="77">
        <f t="shared" si="38"/>
        <v>0</v>
      </c>
      <c r="BI15" s="77">
        <f t="shared" si="39"/>
        <v>0</v>
      </c>
      <c r="BJ15" s="77">
        <f t="shared" si="40"/>
        <v>0</v>
      </c>
      <c r="BK15" s="77">
        <f t="shared" si="41"/>
        <v>0</v>
      </c>
      <c r="BL15" s="78">
        <f t="shared" si="21"/>
        <v>1.2000000000000002</v>
      </c>
      <c r="BM15" s="76" t="s">
        <v>181</v>
      </c>
      <c r="BN15" s="197" cm="1">
        <f t="array" ref="BN15">_xlfn.IFS(BM15="Y", 3, BM15="N", 2)</f>
        <v>3</v>
      </c>
      <c r="BO15" s="76" t="s">
        <v>181</v>
      </c>
      <c r="BP15" s="197" cm="1">
        <f t="array" ref="BP15">_xlfn.IFS(BO15="Y", 3, BO15="N", 2)</f>
        <v>3</v>
      </c>
      <c r="BQ15" s="79">
        <f t="shared" si="22"/>
        <v>3</v>
      </c>
      <c r="BR15" s="44">
        <v>530</v>
      </c>
      <c r="BS15" s="44">
        <f t="shared" si="23"/>
        <v>530000</v>
      </c>
      <c r="BT15" s="44">
        <f t="shared" si="24"/>
        <v>828.125</v>
      </c>
      <c r="BU15" s="80">
        <v>1949</v>
      </c>
      <c r="BV15" s="81">
        <f t="shared" si="25"/>
        <v>42.489738327347361</v>
      </c>
      <c r="BW15" s="82" cm="1">
        <f t="array" ref="BW15">_xlfn.IFS(BV15&gt;44, 3, BV15&lt;26, 1, 44&gt;BV15&gt;26, 2)</f>
        <v>2</v>
      </c>
      <c r="BX15" s="82">
        <v>2131667</v>
      </c>
      <c r="BY15" s="82" cm="1">
        <f t="array" ref="BY15">_xlfn.IFS(BX15&gt;12000000, 3, BX15&lt;4000000, 1, 4000000&gt;BX15&gt;12000000, 2)</f>
        <v>1</v>
      </c>
      <c r="BZ15" s="80">
        <v>4.7236990002417505</v>
      </c>
      <c r="CA15" s="82" cm="1">
        <f t="array" ref="CA15">_xlfn.IFS(BZ15&gt;$BZ$60, 1, BZ15&lt;$BZ$59, 3, BZ15&gt;$BZ$59, 2, BZ15=$BZ$59, 2)</f>
        <v>3</v>
      </c>
      <c r="CB15" s="413">
        <f t="shared" si="26"/>
        <v>2.0999999999999996</v>
      </c>
      <c r="CC15" s="44">
        <v>419956</v>
      </c>
      <c r="CD15" s="44" cm="1">
        <f t="array" ref="CD15">_xlfn.IFS(CC15&gt;4200000, 3, CC15&lt;1700000, 1, 4200000&gt;CC15&gt;1700000, 2)</f>
        <v>1</v>
      </c>
      <c r="CE15" s="44">
        <v>11596.04</v>
      </c>
      <c r="CF15" s="44" cm="1">
        <f t="array" ref="CF15">_xlfn.IFS(CE15&lt;120000, 1, CE15&gt;620000, 3, 620000&gt;CE15&gt;120000, 2)</f>
        <v>1</v>
      </c>
      <c r="CG15" s="44">
        <v>240259.19999999998</v>
      </c>
      <c r="CH15" s="44" cm="1">
        <f t="array" ref="CH15">_xlfn.IFS(CG15&lt;300000, 1, CG15&gt;1700000, 3, 300000&gt;CG15&gt;170000, 2)</f>
        <v>1</v>
      </c>
      <c r="CI15" s="44">
        <v>48.912928200000003</v>
      </c>
      <c r="CJ15" s="61" cm="1">
        <f t="array" ref="CJ15">_xlfn.IFS(CI15&lt;$CI$60, 1, CI15&gt;$CI$61, 3, CI15&lt;$CI$61, 2)</f>
        <v>2</v>
      </c>
      <c r="CK15" s="205">
        <f t="shared" si="27"/>
        <v>1.25</v>
      </c>
      <c r="CL15" s="44">
        <v>22702</v>
      </c>
      <c r="CM15" s="48" cm="1">
        <f t="array" ref="CM15">_xlfn.IFS(CL15&gt;4600000, 3, CL15&lt;430000, 1, 4600000&gt;CL15&gt;430000, 2)</f>
        <v>1</v>
      </c>
      <c r="CN15" s="72">
        <f t="shared" si="2"/>
        <v>1</v>
      </c>
      <c r="CO15" s="39">
        <v>0</v>
      </c>
      <c r="CP15" s="65" cm="1">
        <f t="array" ref="CP15">_xlfn.IFS(CO15=0, 1, CO15="active", 3, CO15="permitted", 2)</f>
        <v>1</v>
      </c>
      <c r="CQ15" s="39">
        <v>0</v>
      </c>
      <c r="CR15" s="39" cm="1">
        <f t="array" ref="CR15">_xlfn.IFS(CQ15=0, 1, CQ15&lt;&gt;0, 3)</f>
        <v>1</v>
      </c>
      <c r="CS15" s="72">
        <v>1</v>
      </c>
      <c r="CT15" s="44" t="s">
        <v>181</v>
      </c>
      <c r="CU15" s="82">
        <v>449</v>
      </c>
      <c r="CV15" s="82">
        <v>2489</v>
      </c>
      <c r="CW15" s="39">
        <f>CU15/CV15</f>
        <v>0.18039373242265971</v>
      </c>
      <c r="CX15" s="207" cm="1">
        <f t="array" ref="CX15">_xlfn.IFS(CT15="N", 0, CW15&lt;$CW$61, 2, CW15 = $CW$61, 2, CW15&gt;$CW$61, 3)</f>
        <v>3</v>
      </c>
      <c r="CY15" s="207">
        <v>0</v>
      </c>
      <c r="CZ15" s="207" cm="1">
        <f t="array" ref="CZ15">_xlfn.IFS(CY15="NA", "NA", CY15=0, 1, CY15=1, 2, CY15&gt;1, 3)</f>
        <v>1</v>
      </c>
      <c r="DA15" s="201">
        <f t="shared" si="28"/>
        <v>2.5</v>
      </c>
      <c r="DB15" s="86">
        <v>0</v>
      </c>
      <c r="DC15" s="61" cm="1">
        <f t="array" ref="DC15">_xlfn.IFS(DB15&gt;$DB$61, 3, DB15=0, 1, DB15&lt;$DB$61, 2, DB15=$DB$61, 2)</f>
        <v>1</v>
      </c>
      <c r="DD15" s="87">
        <v>1016</v>
      </c>
      <c r="DE15" s="44" cm="1">
        <f t="array" ref="DE15">_xlfn.IFS(DD15&gt;$DD$62, 3, DD15&lt;$DD$60, 1, DD15&gt;$DD$60, 2, DD15=$DD$60, 2)</f>
        <v>1</v>
      </c>
      <c r="DF15" s="44">
        <v>0</v>
      </c>
      <c r="DG15" s="61" cm="1">
        <f t="array" ref="DG15">_xlfn.IFS(DF15=0, 1, DF15&lt;$DF$61, 2, DF15&gt;$DF$61, 3)</f>
        <v>1</v>
      </c>
      <c r="DH15" s="415">
        <f t="shared" si="29"/>
        <v>0.99999999999999889</v>
      </c>
      <c r="DI15" s="82">
        <v>80534758</v>
      </c>
      <c r="DJ15" s="82">
        <f t="shared" si="30"/>
        <v>9193.4655251141558</v>
      </c>
      <c r="DK15" s="88">
        <v>105.80000000000001</v>
      </c>
      <c r="DL15" s="89">
        <f t="shared" si="31"/>
        <v>1.1508173899274646E-2</v>
      </c>
      <c r="DM15" s="88" cm="1">
        <f t="array" ref="DM15">_xlfn.IFS(DL15&gt;$DL$60,3,(AND(DL15&lt;$DL$60,DL15&gt;$DL$59)),2,DL15&lt;$DL$59,1)</f>
        <v>1</v>
      </c>
      <c r="DN15" s="88">
        <v>237</v>
      </c>
      <c r="DO15" s="90">
        <f t="shared" si="32"/>
        <v>2.9428287348923308E-3</v>
      </c>
      <c r="DP15" s="88" cm="1">
        <f t="array" ref="DP15">_xlfn.IFS(DO15&gt;DO$60,3,(AND(DO15&lt;DO$60,DO15&gt;DO$59)),2,DO15&lt;DO$59,1)</f>
        <v>1</v>
      </c>
      <c r="DQ15" s="91">
        <v>8139.3</v>
      </c>
      <c r="DR15" s="92">
        <f t="shared" si="33"/>
        <v>0.46418625513187656</v>
      </c>
      <c r="DS15" s="88" cm="1">
        <f t="array" ref="DS15">_xlfn.IFS(DR15&gt;DR$60,3,(AND(DR15&lt;DR$60,DR15&gt;DR$59)),2,DR15&lt;DR$59,1)</f>
        <v>3</v>
      </c>
      <c r="DT15" s="91" t="s">
        <v>575</v>
      </c>
      <c r="DU15" s="213" cm="1">
        <f t="array" ref="DU15">_xlfn.IFS(DT15="no data","",DT15="40-45", 1, DT15= "45-50", 1, DT15="50-55", 1, DT15 ="30-35", 2, DT15="25-30", 2, DT15="35-40", 2, DT15="20-25", 3, DT15="15-20", 3)</f>
        <v>1</v>
      </c>
      <c r="DV15" s="88">
        <v>194691424.79049575</v>
      </c>
      <c r="DW15" s="88" cm="1">
        <f t="array" ref="DW15">_xlfn.IFS(DV15&gt;DV$60,3,(AND(DV15&lt;DV$60,DV15&gt;DV$59)),2,DV15&lt;DV$59,1)</f>
        <v>1</v>
      </c>
      <c r="DX15" s="93">
        <v>5</v>
      </c>
      <c r="DY15" s="88" cm="1">
        <f t="array" ref="DY15">_xlfn.IFS(DX15&gt;6.99,1,AND(DX15 &gt; 3, DX15 &lt; 7),2,DX15&lt;3.99,3)</f>
        <v>2</v>
      </c>
      <c r="DZ15" s="94">
        <f t="shared" si="3"/>
        <v>1.3</v>
      </c>
      <c r="EA15" s="95">
        <v>4700</v>
      </c>
      <c r="EB15" s="95">
        <v>40000</v>
      </c>
      <c r="EC15" s="44">
        <v>230</v>
      </c>
      <c r="ED15" s="44">
        <v>0</v>
      </c>
      <c r="EE15" s="82">
        <v>0</v>
      </c>
      <c r="EF15" s="82">
        <f t="shared" si="34"/>
        <v>0</v>
      </c>
      <c r="EG15" s="204" cm="1">
        <f t="array" ref="EG15">_xlfn.IFS(EF15=0, 1, EF15&gt;2, 3, 0&gt;EF15&gt;3,2)</f>
        <v>1</v>
      </c>
      <c r="EH15" s="82">
        <v>0</v>
      </c>
      <c r="EI15" s="82">
        <v>0</v>
      </c>
      <c r="EJ15" s="82">
        <f t="shared" si="35"/>
        <v>0</v>
      </c>
      <c r="EK15" s="82" cm="1">
        <f t="array" ref="EK15">_xlfn.IFS(EH15+EI15=0, 1, EH15+EI15&gt;5, 3, EH15+EI15=5, 2, 0&gt;EH15+EI15&gt;5, 2)</f>
        <v>1</v>
      </c>
      <c r="EL15" s="82">
        <v>0</v>
      </c>
      <c r="EM15" s="82">
        <v>0</v>
      </c>
      <c r="EN15" s="82" cm="1">
        <f t="array" ref="EN15">_xlfn.IFS(EL15+EM15=0, 1, EL15+EM15&gt;10, 3, EL15+EM15 = 10, 2, 0&gt;EL15+EM15&gt;10, 2)</f>
        <v>1</v>
      </c>
      <c r="EO15" s="96">
        <f t="shared" si="4"/>
        <v>1</v>
      </c>
      <c r="EP15" s="44">
        <v>0</v>
      </c>
      <c r="EQ15" s="61" cm="1">
        <f t="array" ref="EQ15">_xlfn.IFS(EP15=0, 1, EP15&gt;$EP$60, 3, EP15&lt;$EP$60, 2)</f>
        <v>1</v>
      </c>
      <c r="ER15" s="100">
        <v>0</v>
      </c>
      <c r="ES15" s="100" cm="1">
        <f t="array" ref="ES15">_xlfn.IFS(ER15=0, 1, ER15&gt;$ER$59, 3, ER15&lt;$ER$59, 2)</f>
        <v>1</v>
      </c>
      <c r="ET15" s="44">
        <v>0</v>
      </c>
      <c r="EU15" s="44" cm="1">
        <f t="array" ref="EU15">_xlfn.IFS(ET15=0, 1, ET15=1, 2, ET15&gt;1, 3)</f>
        <v>1</v>
      </c>
      <c r="EV15" s="413">
        <f t="shared" si="36"/>
        <v>1</v>
      </c>
      <c r="EW15" s="82">
        <v>0.04</v>
      </c>
      <c r="EX15" s="210" cm="1">
        <f t="array" ref="EX15">_xlfn.IFS(EW15&gt;EX$60,3,(AND(EW15&lt;EX$60,EW15&gt;EX$59)),2,EW15&lt;EX$59,1)</f>
        <v>1</v>
      </c>
      <c r="EY15" s="253">
        <v>92522334.712500006</v>
      </c>
      <c r="EZ15" s="210" cm="1">
        <f t="array" ref="EZ15">_xlfn.IFS(EY15&gt;EZ$60,3,(AND(EY15&lt;EZ$60,EY15&gt;EZ$59)),2,EY15&lt;EZ$59,1)</f>
        <v>2</v>
      </c>
      <c r="FA15" s="82">
        <v>0</v>
      </c>
      <c r="FB15" s="210" cm="1">
        <f t="array" ref="FB15">_xlfn.IFS(FA15&gt;FB$60,3,(AND(FA15&lt;FB$60,FA15&gt;FB$59)),2,FA15&lt;FB$59,1)</f>
        <v>1</v>
      </c>
      <c r="FC15" s="416">
        <f t="shared" si="5"/>
        <v>1.25</v>
      </c>
      <c r="FD15" s="81">
        <v>0.03</v>
      </c>
      <c r="FE15" s="81" cm="1">
        <f t="array" ref="FE15">_xlfn.IFS(FD15&gt;$FD$60, 3, FD15&lt;$FD$59, 1, FD15&gt;$FD$59, 2)</f>
        <v>1</v>
      </c>
      <c r="FF15" s="44">
        <v>0</v>
      </c>
      <c r="FG15" s="61" cm="1">
        <f t="array" ref="FG15">_xlfn.IFS(FF15&lt;$FF$59, 1, FF15&gt;$FF$60, 3, FF15 = $FF$60, 3, FF15&lt;$FF$60, 2)</f>
        <v>1</v>
      </c>
      <c r="FH15" s="97">
        <f t="shared" si="6"/>
        <v>1</v>
      </c>
      <c r="FI15" s="102">
        <v>0</v>
      </c>
      <c r="FJ15" s="44">
        <v>0</v>
      </c>
      <c r="FK15" s="98">
        <f t="shared" si="7"/>
        <v>0</v>
      </c>
      <c r="FL15" s="98" cm="1">
        <f t="array" ref="FL15">_xlfn.IFS(FK15&gt;$FK$60, 3, FK15&lt;$FK$59, 1, FK15&gt;$FK$59, 2, FK15=$FK$59, 2)</f>
        <v>1</v>
      </c>
      <c r="FM15" s="99">
        <f t="shared" si="8"/>
        <v>1</v>
      </c>
    </row>
    <row r="16" spans="1:169" ht="20.100000000000001" customHeight="1">
      <c r="A16" s="38" t="s">
        <v>101</v>
      </c>
      <c r="B16" s="44" t="s">
        <v>576</v>
      </c>
      <c r="C16" s="44">
        <v>2</v>
      </c>
      <c r="D16" s="44" t="s">
        <v>577</v>
      </c>
      <c r="E16" s="44">
        <v>2</v>
      </c>
      <c r="F16" s="61" t="s">
        <v>543</v>
      </c>
      <c r="G16" s="61" cm="1">
        <f t="array" ref="G16">_xlfn.IFS(F16= "Yes", 3, F16 &lt;&gt; "Yes", 1)</f>
        <v>1</v>
      </c>
      <c r="H16" s="44" t="s">
        <v>543</v>
      </c>
      <c r="I16" s="44">
        <v>1</v>
      </c>
      <c r="J16" s="44" t="s">
        <v>543</v>
      </c>
      <c r="K16" s="44">
        <v>1</v>
      </c>
      <c r="L16" s="193">
        <f t="shared" si="37"/>
        <v>1.45</v>
      </c>
      <c r="M16" s="44" t="s">
        <v>543</v>
      </c>
      <c r="N16" s="44">
        <v>1</v>
      </c>
      <c r="O16" s="44" t="s">
        <v>543</v>
      </c>
      <c r="P16" s="44">
        <v>1</v>
      </c>
      <c r="Q16" s="44" t="s">
        <v>543</v>
      </c>
      <c r="R16" s="44">
        <v>1</v>
      </c>
      <c r="S16" s="48" t="s">
        <v>543</v>
      </c>
      <c r="T16" s="44">
        <v>1</v>
      </c>
      <c r="U16" s="44" t="s">
        <v>543</v>
      </c>
      <c r="V16" s="44">
        <v>1</v>
      </c>
      <c r="W16" s="44" t="s">
        <v>543</v>
      </c>
      <c r="X16" s="44">
        <v>1</v>
      </c>
      <c r="Y16" s="39" t="s">
        <v>543</v>
      </c>
      <c r="Z16" s="44">
        <v>1</v>
      </c>
      <c r="AA16" s="72">
        <f t="shared" si="9"/>
        <v>0.99999999999999978</v>
      </c>
      <c r="AB16" s="106" t="s">
        <v>578</v>
      </c>
      <c r="AC16" s="44" t="s">
        <v>545</v>
      </c>
      <c r="AD16" s="44">
        <v>2</v>
      </c>
      <c r="AE16" s="44" t="s">
        <v>568</v>
      </c>
      <c r="AF16" s="44" cm="1">
        <f t="array" ref="AF16">_xlfn.IFS(AE16="NA", 1, AE16="No", 1, AE16="Yes, implicit", 2, AE16="Yes, explicit", 3)</f>
        <v>2</v>
      </c>
      <c r="AG16" s="44" t="s">
        <v>543</v>
      </c>
      <c r="AH16" s="44" t="s">
        <v>543</v>
      </c>
      <c r="AI16" s="44">
        <v>1</v>
      </c>
      <c r="AJ16" s="73">
        <f t="shared" si="0"/>
        <v>1.8</v>
      </c>
      <c r="AK16" s="76" t="s">
        <v>544</v>
      </c>
      <c r="AL16" s="74">
        <f t="shared" si="10"/>
        <v>1</v>
      </c>
      <c r="AM16" s="74" t="s">
        <v>545</v>
      </c>
      <c r="AN16" s="74">
        <f t="shared" si="11"/>
        <v>1</v>
      </c>
      <c r="AO16" s="74" t="s">
        <v>545</v>
      </c>
      <c r="AP16" s="74">
        <f t="shared" si="12"/>
        <v>1</v>
      </c>
      <c r="AQ16" s="75">
        <f t="shared" si="13"/>
        <v>0.30000000000000004</v>
      </c>
      <c r="AR16" s="74" t="s">
        <v>545</v>
      </c>
      <c r="AS16" s="74">
        <f t="shared" si="14"/>
        <v>1</v>
      </c>
      <c r="AT16" s="74" t="s">
        <v>545</v>
      </c>
      <c r="AU16" s="74">
        <f t="shared" si="15"/>
        <v>1</v>
      </c>
      <c r="AV16" s="74">
        <f t="shared" si="16"/>
        <v>0.2</v>
      </c>
      <c r="AW16" s="76" t="s">
        <v>545</v>
      </c>
      <c r="AX16" s="195">
        <f t="shared" si="1"/>
        <v>0.4</v>
      </c>
      <c r="AY16" s="76" t="s">
        <v>545</v>
      </c>
      <c r="AZ16" s="76">
        <f t="shared" si="17"/>
        <v>1</v>
      </c>
      <c r="BA16" s="76" t="s">
        <v>545</v>
      </c>
      <c r="BB16" s="74">
        <f t="shared" si="18"/>
        <v>1</v>
      </c>
      <c r="BC16" s="76" t="s">
        <v>181</v>
      </c>
      <c r="BD16" s="74">
        <f t="shared" si="19"/>
        <v>3</v>
      </c>
      <c r="BE16" s="76">
        <f t="shared" si="20"/>
        <v>0.5</v>
      </c>
      <c r="BF16" s="76"/>
      <c r="BG16" s="76"/>
      <c r="BH16" s="77">
        <f t="shared" si="38"/>
        <v>0</v>
      </c>
      <c r="BI16" s="77">
        <f t="shared" si="39"/>
        <v>0</v>
      </c>
      <c r="BJ16" s="77">
        <f t="shared" si="40"/>
        <v>0</v>
      </c>
      <c r="BK16" s="77">
        <f t="shared" si="41"/>
        <v>0</v>
      </c>
      <c r="BL16" s="78">
        <f t="shared" si="21"/>
        <v>1.4000000000000001</v>
      </c>
      <c r="BM16" s="76" t="s">
        <v>545</v>
      </c>
      <c r="BN16" s="197" cm="1">
        <f t="array" ref="BN16">_xlfn.IFS(BM16="Y", 3, BM16="N", 2)</f>
        <v>2</v>
      </c>
      <c r="BO16" s="76" t="s">
        <v>181</v>
      </c>
      <c r="BP16" s="197" cm="1">
        <f t="array" ref="BP16">_xlfn.IFS(BO16="Y", 3, BO16="N", 2)</f>
        <v>3</v>
      </c>
      <c r="BQ16" s="79">
        <f t="shared" si="22"/>
        <v>2.75</v>
      </c>
      <c r="BR16" s="44">
        <v>9700</v>
      </c>
      <c r="BS16" s="44">
        <f t="shared" si="23"/>
        <v>9700000</v>
      </c>
      <c r="BT16" s="44">
        <f t="shared" si="24"/>
        <v>15156.25</v>
      </c>
      <c r="BU16" s="80">
        <v>53625</v>
      </c>
      <c r="BV16" s="81">
        <f t="shared" si="25"/>
        <v>28.263403263403262</v>
      </c>
      <c r="BW16" s="82" cm="1">
        <f t="array" ref="BW16">_xlfn.IFS(BV16&gt;44, 3, BV16&lt;26, 1, 44&gt;BV16&gt;26, 2)</f>
        <v>2</v>
      </c>
      <c r="BX16" s="82">
        <v>9399244</v>
      </c>
      <c r="BY16" s="82" cm="1">
        <f t="array" ref="BY16">_xlfn.IFS(BX16&gt;12000000, 3, BX16&lt;4000000, 1, 4000000&gt;BX16&gt;12000000, 2)</f>
        <v>2</v>
      </c>
      <c r="BZ16" s="80">
        <v>5.6840277759311988</v>
      </c>
      <c r="CA16" s="82" cm="1">
        <f t="array" ref="CA16">_xlfn.IFS(BZ16&gt;$BZ$60, 1, BZ16&lt;$BZ$59, 3, BZ16&gt;$BZ$59, 2, BZ16=$BZ$59, 2)</f>
        <v>3</v>
      </c>
      <c r="CB16" s="413">
        <f t="shared" si="26"/>
        <v>2.3499999999999996</v>
      </c>
      <c r="CC16" s="44">
        <v>9758754</v>
      </c>
      <c r="CD16" s="44" cm="1">
        <f t="array" ref="CD16">_xlfn.IFS(CC16&gt;4200000, 3, CC16&lt;1700000, 1, 4200000&gt;CC16&gt;1700000, 2)</f>
        <v>3</v>
      </c>
      <c r="CE16" s="44">
        <v>1332195.76</v>
      </c>
      <c r="CF16" s="44" cm="1">
        <f t="array" ref="CF16">_xlfn.IFS(CE16&lt;120000, 1, CE16&gt;620000, 3, 620000&gt;CE16&gt;120000, 2)</f>
        <v>3</v>
      </c>
      <c r="CG16" s="44">
        <v>899809.09999999986</v>
      </c>
      <c r="CH16" s="44" cm="1">
        <f t="array" ref="CH16">_xlfn.IFS(CG16&lt;300000, 1, CG16&gt;1700000, 3, 300000&gt;CG16&gt;170000, 2)</f>
        <v>2</v>
      </c>
      <c r="CI16" s="44">
        <v>87.63611152</v>
      </c>
      <c r="CJ16" s="61" cm="1">
        <f t="array" ref="CJ16">_xlfn.IFS(CI16&lt;$CI$60, 1, CI16&gt;$CI$61, 3, CI16&lt;$CI$61, 2)</f>
        <v>3</v>
      </c>
      <c r="CK16" s="205">
        <f t="shared" si="27"/>
        <v>2.6500000000000004</v>
      </c>
      <c r="CL16" s="44">
        <v>9042726</v>
      </c>
      <c r="CM16" s="48" cm="1">
        <f t="array" ref="CM16">_xlfn.IFS(CL16&gt;4600000, 3, CL16&lt;430000, 1, 4600000&gt;CL16&gt;430000, 2)</f>
        <v>3</v>
      </c>
      <c r="CN16" s="72">
        <f t="shared" si="2"/>
        <v>3</v>
      </c>
      <c r="CO16" s="39">
        <v>0</v>
      </c>
      <c r="CP16" s="65" cm="1">
        <f t="array" ref="CP16">_xlfn.IFS(CO16=0, 1, CO16="active", 3, CO16="permitted", 2)</f>
        <v>1</v>
      </c>
      <c r="CQ16" s="39">
        <v>24340000</v>
      </c>
      <c r="CR16" s="39" cm="1">
        <f t="array" ref="CR16">_xlfn.IFS(CQ16=0, 1, CQ16&lt;&gt;0, 3)</f>
        <v>3</v>
      </c>
      <c r="CS16" s="72">
        <v>3</v>
      </c>
      <c r="CT16" s="44" t="s">
        <v>181</v>
      </c>
      <c r="CU16" s="82">
        <v>7106</v>
      </c>
      <c r="CV16" s="82">
        <v>65758</v>
      </c>
      <c r="CW16" s="39">
        <f>CU16/CV16</f>
        <v>0.10806289729006356</v>
      </c>
      <c r="CX16" s="207" cm="1">
        <f t="array" ref="CX16">_xlfn.IFS(CT16="N", 0, CW16&lt;$CW$61, 2, CW16 = $CW$61, 2, CW16&gt;$CW$61, 3)</f>
        <v>3</v>
      </c>
      <c r="CY16" s="207">
        <v>3</v>
      </c>
      <c r="CZ16" s="207" cm="1">
        <f t="array" ref="CZ16">_xlfn.IFS(CY16="NA", "NA", CY16=0, 1, CY16=1, 2, CY16&gt;1, 3)</f>
        <v>3</v>
      </c>
      <c r="DA16" s="201">
        <f t="shared" si="28"/>
        <v>3</v>
      </c>
      <c r="DB16" s="86">
        <v>70</v>
      </c>
      <c r="DC16" s="61" cm="1">
        <f t="array" ref="DC16">_xlfn.IFS(DB16&gt;$DB$61, 3, DB16=0, 1, DB16&lt;$DB$61, 2, DB16=$DB$61, 2)</f>
        <v>2</v>
      </c>
      <c r="DD16" s="87">
        <v>18026</v>
      </c>
      <c r="DE16" s="44" cm="1">
        <f t="array" ref="DE16">_xlfn.IFS(DD16&gt;$DD$62, 3, DD16&lt;$DD$60, 1, DD16&gt;$DD$60, 2, DD16=$DD$60, 2)</f>
        <v>3</v>
      </c>
      <c r="DF16" s="44">
        <v>0</v>
      </c>
      <c r="DG16" s="61" cm="1">
        <f t="array" ref="DG16">_xlfn.IFS(DF16=0, 1, DF16&lt;$DF$61, 2, DF16&gt;$DF$61, 3)</f>
        <v>1</v>
      </c>
      <c r="DH16" s="415">
        <f t="shared" si="29"/>
        <v>1.9999999999999978</v>
      </c>
      <c r="DI16" s="82">
        <v>1267528569</v>
      </c>
      <c r="DJ16" s="82">
        <f t="shared" si="30"/>
        <v>144695.04212328768</v>
      </c>
      <c r="DK16" s="88">
        <v>14847.199999999988</v>
      </c>
      <c r="DL16" s="89">
        <f t="shared" si="31"/>
        <v>0.10261028838396137</v>
      </c>
      <c r="DM16" s="88" cm="1">
        <f t="array" ref="DM16">_xlfn.IFS(DL16&gt;$DL$60,3,(AND(DL16&lt;$DL$60,DL16&gt;$DL$59)),2,DL16&lt;$DL$59,1)</f>
        <v>1</v>
      </c>
      <c r="DN16" s="88">
        <v>17793</v>
      </c>
      <c r="DO16" s="90">
        <f t="shared" si="32"/>
        <v>1.4037553421014844E-2</v>
      </c>
      <c r="DP16" s="88" cm="1">
        <f t="array" ref="DP16">_xlfn.IFS(DO16&gt;DO$60,3,(AND(DO16&lt;DO$60,DO16&gt;DO$59)),2,DO16&lt;DO$59,1)</f>
        <v>1</v>
      </c>
      <c r="DQ16" s="91">
        <v>24461.53</v>
      </c>
      <c r="DR16" s="92">
        <f t="shared" si="33"/>
        <v>0.12977045512832913</v>
      </c>
      <c r="DS16" s="88" cm="1">
        <f t="array" ref="DS16">_xlfn.IFS(DR16&gt;DR$60,3,(AND(DR16&lt;DR$60,DR16&gt;DR$59)),2,DR16&lt;DR$59,1)</f>
        <v>1</v>
      </c>
      <c r="DT16" s="91" t="s">
        <v>575</v>
      </c>
      <c r="DU16" s="213" cm="1">
        <f t="array" ref="DU16">_xlfn.IFS(DT16="no data","",DT16="40-45", 1, DT16= "45-50", 1, DT16="50-55", 1, DT16 ="30-35", 2, DT16="25-30", 2, DT16="35-40", 2, DT16="20-25", 3, DT16="15-20", 3)</f>
        <v>1</v>
      </c>
      <c r="DV16" s="88">
        <v>6787675166.0019455</v>
      </c>
      <c r="DW16" s="88" cm="1">
        <f t="array" ref="DW16">_xlfn.IFS(DV16&gt;DV$60,3,(AND(DV16&lt;DV$60,DV16&gt;DV$59)),2,DV16&lt;DV$59,1)</f>
        <v>2</v>
      </c>
      <c r="DX16" s="93">
        <v>4</v>
      </c>
      <c r="DY16" s="88" cm="1">
        <f t="array" ref="DY16">_xlfn.IFS(DX16&gt;6.99,1,AND(DX16 &gt; 3, DX16 &lt; 7),2,DX16&lt;3.99,3)</f>
        <v>2</v>
      </c>
      <c r="DZ16" s="94">
        <f t="shared" si="3"/>
        <v>1.2</v>
      </c>
      <c r="EA16" s="95">
        <v>639400</v>
      </c>
      <c r="EB16" s="95">
        <v>990400</v>
      </c>
      <c r="EC16" s="82">
        <v>2716</v>
      </c>
      <c r="ED16" s="82">
        <v>0</v>
      </c>
      <c r="EE16" s="82">
        <v>0</v>
      </c>
      <c r="EF16" s="82">
        <f t="shared" si="34"/>
        <v>0</v>
      </c>
      <c r="EG16" s="204" cm="1">
        <f t="array" ref="EG16">_xlfn.IFS(EF16=0, 1, EF16&gt;2, 3, 0&gt;EF16&gt;3,2)</f>
        <v>1</v>
      </c>
      <c r="EH16" s="82">
        <v>0</v>
      </c>
      <c r="EI16" s="82">
        <v>0</v>
      </c>
      <c r="EJ16" s="82">
        <f t="shared" si="35"/>
        <v>0</v>
      </c>
      <c r="EK16" s="82" cm="1">
        <f t="array" ref="EK16">_xlfn.IFS(EH16+EI16=0, 1, EH16+EI16&gt;5, 3, EH16+EI16=5, 2, 0&gt;EH16+EI16&gt;5, 2)</f>
        <v>1</v>
      </c>
      <c r="EL16" s="82">
        <v>0</v>
      </c>
      <c r="EM16" s="82">
        <v>1</v>
      </c>
      <c r="EN16" s="82" cm="1">
        <f t="array" ref="EN16">_xlfn.IFS(EL16+EM16=0, 1, EL16+EM16&gt;10, 3, EL16+EM16 = 10, 2, 0&gt;EL16+EM16&gt;10, 2)</f>
        <v>2</v>
      </c>
      <c r="EO16" s="96">
        <f t="shared" si="4"/>
        <v>1.3333333333333333</v>
      </c>
      <c r="EP16" s="44">
        <v>0.5</v>
      </c>
      <c r="EQ16" s="61" cm="1">
        <f t="array" ref="EQ16">_xlfn.IFS(EP16=0, 1, EP16&gt;$EP$60, 3, EP16&lt;$EP$60, 2)</f>
        <v>2</v>
      </c>
      <c r="ER16" s="100">
        <v>0</v>
      </c>
      <c r="ES16" s="100" cm="1">
        <f t="array" ref="ES16">_xlfn.IFS(ER16=0, 1, ER16&gt;$ER$59, 3, ER16&lt;$ER$59, 2)</f>
        <v>1</v>
      </c>
      <c r="ET16" s="44">
        <v>0</v>
      </c>
      <c r="EU16" s="44" cm="1">
        <f t="array" ref="EU16">_xlfn.IFS(ET16=0, 1, ET16=1, 2, ET16&gt;1, 3)</f>
        <v>1</v>
      </c>
      <c r="EV16" s="413">
        <f t="shared" si="36"/>
        <v>1.2000000000000002</v>
      </c>
      <c r="EW16" s="82">
        <v>248.43</v>
      </c>
      <c r="EX16" s="210" cm="1">
        <f t="array" ref="EX16">_xlfn.IFS(EW16&gt;EX$60,3,(AND(EW16&lt;EX$60,EW16&gt;EX$59)),2,EW16&lt;EX$59,1)</f>
        <v>3</v>
      </c>
      <c r="EY16" s="82">
        <v>0</v>
      </c>
      <c r="EZ16" s="210" cm="1">
        <f t="array" ref="EZ16">_xlfn.IFS(EY16&gt;EZ$60,3,(AND(EY16&lt;EZ$60,EY16&gt;EZ$59)),2,EY16&lt;EZ$59,1)</f>
        <v>1</v>
      </c>
      <c r="FA16" s="423"/>
      <c r="FB16" s="210" cm="1">
        <f t="array" ref="FB16">_xlfn.IFS(FA16&gt;FB$60,3,(AND(FA16&lt;FB$60,FA16&gt;FB$59)),2,FA16&lt;FB$59,1)</f>
        <v>1</v>
      </c>
      <c r="FC16" s="416">
        <f t="shared" si="5"/>
        <v>2</v>
      </c>
      <c r="FD16" s="81">
        <v>2.86</v>
      </c>
      <c r="FE16" s="81" cm="1">
        <f t="array" ref="FE16">_xlfn.IFS(FD16&gt;$FD$60, 3, FD16&lt;$FD$59, 1, FD16&gt;$FD$59, 2)</f>
        <v>3</v>
      </c>
      <c r="FF16" s="44">
        <v>6</v>
      </c>
      <c r="FG16" s="61" cm="1">
        <f t="array" ref="FG16">_xlfn.IFS(FF16&lt;$FF$59, 1, FF16&gt;$FF$60, 3, FF16 = $FF$60, 3, FF16&lt;$FF$60, 2)</f>
        <v>3</v>
      </c>
      <c r="FH16" s="97">
        <f t="shared" si="6"/>
        <v>3</v>
      </c>
      <c r="FI16" s="102">
        <v>167</v>
      </c>
      <c r="FJ16" s="44">
        <v>1</v>
      </c>
      <c r="FK16" s="98">
        <f t="shared" si="7"/>
        <v>168</v>
      </c>
      <c r="FL16" s="98" cm="1">
        <f t="array" ref="FL16">_xlfn.IFS(FK16&gt;$FK$60, 3, FK16&lt;$FK$59, 1, FK16&gt;$FK$59, 2, FK16=$FK$59, 2)</f>
        <v>3</v>
      </c>
      <c r="FM16" s="99">
        <f t="shared" si="8"/>
        <v>3</v>
      </c>
    </row>
    <row r="17" spans="1:169" ht="20.100000000000001" customHeight="1">
      <c r="A17" s="38" t="s">
        <v>104</v>
      </c>
      <c r="B17" s="44" t="s">
        <v>541</v>
      </c>
      <c r="C17" s="44">
        <v>1</v>
      </c>
      <c r="D17" s="44" t="s">
        <v>542</v>
      </c>
      <c r="E17" s="44">
        <v>1</v>
      </c>
      <c r="F17" s="61" t="s">
        <v>543</v>
      </c>
      <c r="G17" s="61" cm="1">
        <f t="array" ref="G17">_xlfn.IFS(F17= "Yes", 3, F17 &lt;&gt; "Yes", 1)</f>
        <v>1</v>
      </c>
      <c r="H17" s="44" t="s">
        <v>543</v>
      </c>
      <c r="I17" s="44">
        <v>1</v>
      </c>
      <c r="J17" s="44" t="s">
        <v>543</v>
      </c>
      <c r="K17" s="44">
        <v>1</v>
      </c>
      <c r="L17" s="193">
        <f t="shared" si="37"/>
        <v>0.99999999999999989</v>
      </c>
      <c r="M17" s="44" t="s">
        <v>543</v>
      </c>
      <c r="N17" s="44">
        <v>1</v>
      </c>
      <c r="O17" s="44" t="s">
        <v>543</v>
      </c>
      <c r="P17" s="44">
        <v>1</v>
      </c>
      <c r="Q17" s="44" t="s">
        <v>543</v>
      </c>
      <c r="R17" s="44">
        <v>1</v>
      </c>
      <c r="S17" s="48" t="s">
        <v>543</v>
      </c>
      <c r="T17" s="44">
        <v>1</v>
      </c>
      <c r="U17" s="44" t="s">
        <v>543</v>
      </c>
      <c r="V17" s="44">
        <v>1</v>
      </c>
      <c r="W17" s="44" t="s">
        <v>543</v>
      </c>
      <c r="X17" s="44">
        <v>1</v>
      </c>
      <c r="Y17" s="39" t="s">
        <v>543</v>
      </c>
      <c r="Z17" s="44">
        <v>1</v>
      </c>
      <c r="AA17" s="72">
        <f t="shared" si="9"/>
        <v>0.99999999999999978</v>
      </c>
      <c r="AB17" s="103" t="s">
        <v>579</v>
      </c>
      <c r="AC17" s="44" t="s">
        <v>545</v>
      </c>
      <c r="AD17" s="44">
        <v>2</v>
      </c>
      <c r="AE17" s="44" t="s">
        <v>543</v>
      </c>
      <c r="AF17" s="44" cm="1">
        <f t="array" ref="AF17">_xlfn.IFS(AE17="NA", 1, AE17="No", 1, AE17="Yes, implicit", 2, AE17="Yes, explicit", 3)</f>
        <v>1</v>
      </c>
      <c r="AG17" s="44" t="s">
        <v>543</v>
      </c>
      <c r="AH17" s="44" t="s">
        <v>543</v>
      </c>
      <c r="AI17" s="44">
        <v>1</v>
      </c>
      <c r="AJ17" s="73">
        <f t="shared" si="0"/>
        <v>1.5999999999999999</v>
      </c>
      <c r="AK17" s="76" t="s">
        <v>544</v>
      </c>
      <c r="AL17" s="74">
        <f t="shared" si="10"/>
        <v>1</v>
      </c>
      <c r="AM17" s="74" t="s">
        <v>545</v>
      </c>
      <c r="AN17" s="74">
        <f t="shared" si="11"/>
        <v>1</v>
      </c>
      <c r="AO17" s="74" t="s">
        <v>545</v>
      </c>
      <c r="AP17" s="74">
        <f t="shared" si="12"/>
        <v>1</v>
      </c>
      <c r="AQ17" s="75">
        <f t="shared" si="13"/>
        <v>0.30000000000000004</v>
      </c>
      <c r="AR17" s="74" t="s">
        <v>545</v>
      </c>
      <c r="AS17" s="74">
        <f t="shared" si="14"/>
        <v>1</v>
      </c>
      <c r="AT17" s="74" t="s">
        <v>545</v>
      </c>
      <c r="AU17" s="74">
        <f t="shared" si="15"/>
        <v>1</v>
      </c>
      <c r="AV17" s="74">
        <f t="shared" si="16"/>
        <v>0.2</v>
      </c>
      <c r="AW17" s="76" t="s">
        <v>545</v>
      </c>
      <c r="AX17" s="195">
        <f t="shared" si="1"/>
        <v>0.4</v>
      </c>
      <c r="AY17" s="76" t="s">
        <v>545</v>
      </c>
      <c r="AZ17" s="76">
        <f t="shared" si="17"/>
        <v>1</v>
      </c>
      <c r="BA17" s="76" t="s">
        <v>545</v>
      </c>
      <c r="BB17" s="74">
        <f t="shared" si="18"/>
        <v>1</v>
      </c>
      <c r="BC17" s="76" t="s">
        <v>181</v>
      </c>
      <c r="BD17" s="74">
        <f t="shared" si="19"/>
        <v>3</v>
      </c>
      <c r="BE17" s="76">
        <f t="shared" si="20"/>
        <v>0.5</v>
      </c>
      <c r="BF17" s="76"/>
      <c r="BG17" s="76"/>
      <c r="BH17" s="77">
        <f t="shared" si="38"/>
        <v>0</v>
      </c>
      <c r="BI17" s="77">
        <f t="shared" si="39"/>
        <v>0</v>
      </c>
      <c r="BJ17" s="77">
        <f t="shared" si="40"/>
        <v>0</v>
      </c>
      <c r="BK17" s="77">
        <f t="shared" si="41"/>
        <v>0</v>
      </c>
      <c r="BL17" s="78">
        <f t="shared" si="21"/>
        <v>1.4000000000000001</v>
      </c>
      <c r="BM17" s="76" t="s">
        <v>181</v>
      </c>
      <c r="BN17" s="197" cm="1">
        <f t="array" ref="BN17">_xlfn.IFS(BM17="Y", 3, BM17="N", 2)</f>
        <v>3</v>
      </c>
      <c r="BO17" s="76" t="s">
        <v>181</v>
      </c>
      <c r="BP17" s="197" cm="1">
        <f t="array" ref="BP17">_xlfn.IFS(BO17="Y", 3, BO17="N", 2)</f>
        <v>3</v>
      </c>
      <c r="BQ17" s="79">
        <f t="shared" si="22"/>
        <v>3</v>
      </c>
      <c r="BR17" s="44">
        <v>10200</v>
      </c>
      <c r="BS17" s="44">
        <f t="shared" si="23"/>
        <v>10200000</v>
      </c>
      <c r="BT17" s="44">
        <f t="shared" si="24"/>
        <v>15937.5</v>
      </c>
      <c r="BU17" s="80">
        <v>57513</v>
      </c>
      <c r="BV17" s="81">
        <f t="shared" si="25"/>
        <v>27.711126180167962</v>
      </c>
      <c r="BW17" s="82" cm="1">
        <f t="array" ref="BW17">_xlfn.IFS(BV17&gt;44, 3, BV17&lt;26, 1, 44&gt;BV17&gt;26, 2)</f>
        <v>2</v>
      </c>
      <c r="BX17" s="82">
        <v>13842010</v>
      </c>
      <c r="BY17" s="82" cm="1">
        <f t="array" ref="BY17">_xlfn.IFS(BX17&gt;12000000, 3, BX17&lt;4000000, 1, 4000000&gt;BX17&gt;12000000, 2)</f>
        <v>3</v>
      </c>
      <c r="BZ17" s="80">
        <v>5.149178518994014</v>
      </c>
      <c r="CA17" s="82" cm="1">
        <f t="array" ref="CA17">_xlfn.IFS(BZ17&gt;$BZ$60, 1, BZ17&lt;$BZ$59, 3, BZ17&gt;$BZ$59, 2, BZ17=$BZ$59, 2)</f>
        <v>3</v>
      </c>
      <c r="CB17" s="413">
        <f t="shared" si="26"/>
        <v>2.5999999999999996</v>
      </c>
      <c r="CC17" s="44">
        <v>6190510</v>
      </c>
      <c r="CD17" s="44" cm="1">
        <f t="array" ref="CD17">_xlfn.IFS(CC17&gt;4200000, 3, CC17&lt;1700000, 1, 4200000&gt;CC17&gt;1700000, 2)</f>
        <v>3</v>
      </c>
      <c r="CE17" s="44">
        <v>2406739.7900000038</v>
      </c>
      <c r="CF17" s="44" cm="1">
        <f t="array" ref="CF17">_xlfn.IFS(CE17&lt;120000, 1, CE17&gt;620000, 3, 620000&gt;CE17&gt;120000, 2)</f>
        <v>3</v>
      </c>
      <c r="CG17" s="44">
        <v>960179.99999999965</v>
      </c>
      <c r="CH17" s="44" cm="1">
        <f t="array" ref="CH17">_xlfn.IFS(CG17&lt;300000, 1, CG17&gt;1700000, 3, 300000&gt;CG17&gt;170000, 2)</f>
        <v>2</v>
      </c>
      <c r="CI17" s="44">
        <v>39.5538053</v>
      </c>
      <c r="CJ17" s="61" cm="1">
        <f t="array" ref="CJ17">_xlfn.IFS(CI17&lt;$CI$60, 1, CI17&gt;$CI$61, 3, CI17&lt;$CI$61, 2)</f>
        <v>1</v>
      </c>
      <c r="CK17" s="205">
        <f t="shared" si="27"/>
        <v>2.1500000000000004</v>
      </c>
      <c r="CL17" s="44">
        <v>3734153</v>
      </c>
      <c r="CM17" s="48" cm="1">
        <f t="array" ref="CM17">_xlfn.IFS(CL17&gt;4600000, 3, CL17&lt;430000, 1, 4600000&gt;CL17&gt;430000, 2)</f>
        <v>2</v>
      </c>
      <c r="CN17" s="72">
        <f t="shared" si="2"/>
        <v>2</v>
      </c>
      <c r="CO17" s="39">
        <v>0</v>
      </c>
      <c r="CP17" s="65" cm="1">
        <f t="array" ref="CP17">_xlfn.IFS(CO17=0, 1, CO17="active", 3, CO17="permitted", 2)</f>
        <v>1</v>
      </c>
      <c r="CQ17" s="39">
        <v>0</v>
      </c>
      <c r="CR17" s="39" cm="1">
        <f t="array" ref="CR17">_xlfn.IFS(CQ17=0, 1, CQ17&lt;&gt;0, 3)</f>
        <v>1</v>
      </c>
      <c r="CS17" s="72">
        <v>1</v>
      </c>
      <c r="CT17" s="44" t="s">
        <v>181</v>
      </c>
      <c r="CU17" s="82">
        <v>499</v>
      </c>
      <c r="CV17" s="82">
        <v>59425</v>
      </c>
      <c r="CW17" s="39">
        <f>CU17/CV17</f>
        <v>8.3971392511569213E-3</v>
      </c>
      <c r="CX17" s="207" cm="1">
        <f t="array" ref="CX17">_xlfn.IFS(CT17="N", 0, CW17&lt;$CW$61, 2, CW17 = $CW$61, 2, CW17&gt;$CW$61, 3)</f>
        <v>2</v>
      </c>
      <c r="CY17" s="207">
        <v>1</v>
      </c>
      <c r="CZ17" s="207" cm="1">
        <f t="array" ref="CZ17">_xlfn.IFS(CY17="NA", "NA", CY17=0, 1, CY17=1, 2, CY17&gt;1, 3)</f>
        <v>2</v>
      </c>
      <c r="DA17" s="201">
        <f t="shared" si="28"/>
        <v>2</v>
      </c>
      <c r="DB17" s="86">
        <v>0</v>
      </c>
      <c r="DC17" s="61" cm="1">
        <f t="array" ref="DC17">_xlfn.IFS(DB17&gt;$DB$61, 3, DB17=0, 1, DB17&lt;$DB$61, 2, DB17=$DB$61, 2)</f>
        <v>1</v>
      </c>
      <c r="DD17" s="87">
        <v>18063</v>
      </c>
      <c r="DE17" s="44" cm="1">
        <f t="array" ref="DE17">_xlfn.IFS(DD17&gt;$DD$62, 3, DD17&lt;$DD$60, 1, DD17&gt;$DD$60, 2, DD17=$DD$60, 2)</f>
        <v>3</v>
      </c>
      <c r="DF17" s="44">
        <v>0</v>
      </c>
      <c r="DG17" s="61" cm="1">
        <f t="array" ref="DG17">_xlfn.IFS(DF17=0, 1, DF17&lt;$DF$61, 2, DF17&gt;$DF$61, 3)</f>
        <v>1</v>
      </c>
      <c r="DH17" s="415">
        <f t="shared" si="29"/>
        <v>1.666666666666665</v>
      </c>
      <c r="DI17" s="82">
        <v>831216375</v>
      </c>
      <c r="DJ17" s="82">
        <f t="shared" si="30"/>
        <v>94887.714041095896</v>
      </c>
      <c r="DK17" s="88">
        <v>14157.7</v>
      </c>
      <c r="DL17" s="89">
        <f t="shared" si="31"/>
        <v>0.14920477474953497</v>
      </c>
      <c r="DM17" s="88" cm="1">
        <f t="array" ref="DM17">_xlfn.IFS(DL17&gt;$DL$60,3,(AND(DL17&lt;$DL$60,DL17&gt;$DL$59)),2,DL17&lt;$DL$59,1)</f>
        <v>2</v>
      </c>
      <c r="DN17" s="88">
        <v>15430</v>
      </c>
      <c r="DO17" s="90">
        <f t="shared" si="32"/>
        <v>1.8563156915670724E-2</v>
      </c>
      <c r="DP17" s="88" cm="1">
        <f t="array" ref="DP17">_xlfn.IFS(DO17&gt;DO$60,3,(AND(DO17&lt;DO$60,DO17&gt;DO$59)),2,DO17&lt;DO$59,1)</f>
        <v>2</v>
      </c>
      <c r="DQ17" s="91">
        <v>42296.5</v>
      </c>
      <c r="DR17" s="92">
        <f t="shared" si="33"/>
        <v>0.26231633498316481</v>
      </c>
      <c r="DS17" s="88" cm="1">
        <f t="array" ref="DS17">_xlfn.IFS(DR17&gt;DR$60,3,(AND(DR17&lt;DR$60,DR17&gt;DR$59)),2,DR17&lt;DR$59,1)</f>
        <v>2</v>
      </c>
      <c r="DT17" s="91" t="s">
        <v>563</v>
      </c>
      <c r="DU17" s="213" cm="1">
        <f t="array" ref="DU17">_xlfn.IFS(DT17="no data","",DT17="40-45", 1, DT17= "45-50", 1, DT17="50-55", 1, DT17 ="30-35", 2, DT17="25-30", 2, DT17="35-40", 2, DT17="20-25", 3, DT17="15-20", 3)</f>
        <v>2</v>
      </c>
      <c r="DV17" s="88">
        <v>5719805024.5208998</v>
      </c>
      <c r="DW17" s="88" cm="1">
        <f t="array" ref="DW17">_xlfn.IFS(DV17&gt;DV$60,3,(AND(DV17&lt;DV$60,DV17&gt;DV$59)),2,DV17&lt;DV$59,1)</f>
        <v>2</v>
      </c>
      <c r="DX17" s="93">
        <v>6</v>
      </c>
      <c r="DY17" s="88" cm="1">
        <f t="array" ref="DY17">_xlfn.IFS(DX17&gt;6.99,1,AND(DX17 &gt; 3, DX17 &lt; 7),2,DX17&lt;3.99,3)</f>
        <v>2</v>
      </c>
      <c r="DZ17" s="94">
        <f t="shared" si="3"/>
        <v>1.9999999999999998</v>
      </c>
      <c r="EA17" s="95">
        <v>11389</v>
      </c>
      <c r="EB17" s="95">
        <v>1308400</v>
      </c>
      <c r="EC17" s="82">
        <v>4538</v>
      </c>
      <c r="ED17" s="82">
        <v>0</v>
      </c>
      <c r="EE17" s="82">
        <v>0</v>
      </c>
      <c r="EF17" s="82">
        <f>ED17+EE17</f>
        <v>0</v>
      </c>
      <c r="EG17" s="204" cm="1">
        <f t="array" ref="EG17">_xlfn.IFS(EF17=0, 1, EF17&gt;2, 3, 0&gt;EF17&gt;3,2)</f>
        <v>1</v>
      </c>
      <c r="EH17" s="82">
        <v>0</v>
      </c>
      <c r="EI17" s="82">
        <v>0</v>
      </c>
      <c r="EJ17" s="82">
        <f t="shared" si="35"/>
        <v>0</v>
      </c>
      <c r="EK17" s="82" cm="1">
        <f t="array" ref="EK17">_xlfn.IFS(EH17+EI17=0, 1, EH17+EI17&gt;5, 3, EH17+EI17=5, 2, 0&gt;EH17+EI17&gt;5, 2)</f>
        <v>1</v>
      </c>
      <c r="EL17" s="82">
        <v>2</v>
      </c>
      <c r="EM17" s="82">
        <v>1</v>
      </c>
      <c r="EN17" s="82" cm="1">
        <f t="array" ref="EN17">_xlfn.IFS(EL17+EM17=0, 1, EL17+EM17&gt;10, 3, EL17+EM17 = 10, 2, 0&gt;EL17+EM17&gt;10, 2)</f>
        <v>2</v>
      </c>
      <c r="EO17" s="96">
        <f t="shared" si="4"/>
        <v>1.3333333333333333</v>
      </c>
      <c r="EP17" s="44">
        <v>0.5</v>
      </c>
      <c r="EQ17" s="61" cm="1">
        <f t="array" ref="EQ17">_xlfn.IFS(EP17=0, 1, EP17&gt;$EP$60, 3, EP17&lt;$EP$60, 2)</f>
        <v>2</v>
      </c>
      <c r="ER17" s="100">
        <v>0</v>
      </c>
      <c r="ES17" s="100" cm="1">
        <f t="array" ref="ES17">_xlfn.IFS(ER17=0, 1, ER17&gt;$ER$59, 3, ER17&lt;$ER$59, 2)</f>
        <v>1</v>
      </c>
      <c r="ET17" s="44">
        <v>0</v>
      </c>
      <c r="EU17" s="44" cm="1">
        <f t="array" ref="EU17">_xlfn.IFS(ET17=0, 1, ET17=1, 2, ET17&gt;1, 3)</f>
        <v>1</v>
      </c>
      <c r="EV17" s="413">
        <f t="shared" si="36"/>
        <v>1.2000000000000002</v>
      </c>
      <c r="EW17" s="82">
        <v>148.72</v>
      </c>
      <c r="EX17" s="210" cm="1">
        <f t="array" ref="EX17">_xlfn.IFS(EW17&gt;EX$60,3,(AND(EW17&lt;EX$60,EW17&gt;EX$59)),2,EW17&lt;EX$59,1)</f>
        <v>3</v>
      </c>
      <c r="EY17" s="253">
        <v>5392305718.6365004</v>
      </c>
      <c r="EZ17" s="210" cm="1">
        <f t="array" ref="EZ17">_xlfn.IFS(EY17&gt;EZ$60,3,(AND(EY17&lt;EZ$60,EY17&gt;EZ$59)),2,EY17&lt;EZ$59,1)</f>
        <v>3</v>
      </c>
      <c r="FA17" s="82">
        <v>0</v>
      </c>
      <c r="FB17" s="210" cm="1">
        <f t="array" ref="FB17">_xlfn.IFS(FA17&gt;FB$60,3,(AND(FA17&lt;FB$60,FA17&gt;FB$59)),2,FA17&lt;FB$59,1)</f>
        <v>1</v>
      </c>
      <c r="FC17" s="416">
        <f t="shared" si="5"/>
        <v>2.5</v>
      </c>
      <c r="FD17" s="81">
        <v>2.37</v>
      </c>
      <c r="FE17" s="81" cm="1">
        <f t="array" ref="FE17">_xlfn.IFS(FD17&gt;$FD$60, 3, FD17&lt;$FD$59, 1, FD17&gt;$FD$59, 2)</f>
        <v>3</v>
      </c>
      <c r="FF17" s="44">
        <v>1</v>
      </c>
      <c r="FG17" s="61" cm="1">
        <f t="array" ref="FG17">_xlfn.IFS(FF17&lt;$FF$59, 1, FF17&gt;$FF$60, 3, FF17 = $FF$60, 3, FF17&lt;$FF$60, 2)</f>
        <v>2</v>
      </c>
      <c r="FH17" s="97">
        <f t="shared" si="6"/>
        <v>2.5999999999999996</v>
      </c>
      <c r="FI17" s="102">
        <v>1</v>
      </c>
      <c r="FJ17" s="44">
        <v>4</v>
      </c>
      <c r="FK17" s="98">
        <f t="shared" si="7"/>
        <v>5</v>
      </c>
      <c r="FL17" s="98" cm="1">
        <f t="array" ref="FL17">_xlfn.IFS(FK17&gt;$FK$60, 3, FK17&lt;$FK$59, 1, FK17&gt;$FK$59, 2, FK17=$FK$59, 2)</f>
        <v>2</v>
      </c>
      <c r="FM17" s="99">
        <f t="shared" si="8"/>
        <v>2</v>
      </c>
    </row>
    <row r="18" spans="1:169" ht="20.100000000000001" customHeight="1">
      <c r="A18" s="38" t="s">
        <v>106</v>
      </c>
      <c r="B18" s="44" t="s">
        <v>564</v>
      </c>
      <c r="C18" s="44">
        <v>3</v>
      </c>
      <c r="D18" s="44" t="s">
        <v>580</v>
      </c>
      <c r="E18" s="44">
        <v>3</v>
      </c>
      <c r="F18" s="61" t="s">
        <v>543</v>
      </c>
      <c r="G18" s="61" cm="1">
        <f t="array" ref="G18">_xlfn.IFS(F18= "Yes", 3, F18 &lt;&gt; "Yes", 1)</f>
        <v>1</v>
      </c>
      <c r="H18" s="44" t="s">
        <v>552</v>
      </c>
      <c r="I18" s="44">
        <v>2</v>
      </c>
      <c r="J18" s="44" t="s">
        <v>543</v>
      </c>
      <c r="K18" s="44">
        <v>1</v>
      </c>
      <c r="L18" s="193">
        <f t="shared" si="37"/>
        <v>2.15</v>
      </c>
      <c r="M18" s="48" t="s">
        <v>543</v>
      </c>
      <c r="N18" s="44">
        <v>1</v>
      </c>
      <c r="O18" s="44" t="s">
        <v>543</v>
      </c>
      <c r="P18" s="44">
        <v>1</v>
      </c>
      <c r="Q18" s="44" t="s">
        <v>556</v>
      </c>
      <c r="R18" s="44">
        <v>3</v>
      </c>
      <c r="S18" s="48" t="s">
        <v>581</v>
      </c>
      <c r="T18" s="44">
        <v>1</v>
      </c>
      <c r="U18" s="44" t="s">
        <v>543</v>
      </c>
      <c r="V18" s="44">
        <v>1</v>
      </c>
      <c r="W18" s="44" t="s">
        <v>543</v>
      </c>
      <c r="X18" s="44">
        <v>1</v>
      </c>
      <c r="Y18" s="39" t="s">
        <v>543</v>
      </c>
      <c r="Z18" s="44">
        <v>1</v>
      </c>
      <c r="AA18" s="72">
        <f t="shared" si="9"/>
        <v>1.2</v>
      </c>
      <c r="AB18" s="103" t="s">
        <v>582</v>
      </c>
      <c r="AC18" s="44" t="s">
        <v>545</v>
      </c>
      <c r="AD18" s="44">
        <v>2</v>
      </c>
      <c r="AE18" s="44" t="s">
        <v>543</v>
      </c>
      <c r="AF18" s="44" cm="1">
        <f t="array" ref="AF18">_xlfn.IFS(AE18="NA", 1, AE18="No", 1, AE18="Yes, implicit", 2, AE18="Yes, explicit", 3)</f>
        <v>1</v>
      </c>
      <c r="AG18" s="44" t="s">
        <v>543</v>
      </c>
      <c r="AH18" s="44" t="s">
        <v>543</v>
      </c>
      <c r="AI18" s="44">
        <v>1</v>
      </c>
      <c r="AJ18" s="73">
        <f t="shared" si="0"/>
        <v>1.5999999999999999</v>
      </c>
      <c r="AK18" s="76" t="s">
        <v>544</v>
      </c>
      <c r="AL18" s="74">
        <f t="shared" si="10"/>
        <v>1</v>
      </c>
      <c r="AM18" s="74" t="s">
        <v>545</v>
      </c>
      <c r="AN18" s="74">
        <f t="shared" si="11"/>
        <v>1</v>
      </c>
      <c r="AO18" s="74" t="s">
        <v>545</v>
      </c>
      <c r="AP18" s="74">
        <f t="shared" si="12"/>
        <v>1</v>
      </c>
      <c r="AQ18" s="75">
        <f t="shared" si="13"/>
        <v>0.30000000000000004</v>
      </c>
      <c r="AR18" s="74" t="s">
        <v>545</v>
      </c>
      <c r="AS18" s="74">
        <f t="shared" si="14"/>
        <v>1</v>
      </c>
      <c r="AT18" s="74" t="s">
        <v>545</v>
      </c>
      <c r="AU18" s="74">
        <f t="shared" si="15"/>
        <v>1</v>
      </c>
      <c r="AV18" s="74">
        <f t="shared" si="16"/>
        <v>0.2</v>
      </c>
      <c r="AW18" s="76" t="s">
        <v>545</v>
      </c>
      <c r="AX18" s="195">
        <f t="shared" si="1"/>
        <v>0.4</v>
      </c>
      <c r="AY18" s="76" t="s">
        <v>545</v>
      </c>
      <c r="AZ18" s="76">
        <f t="shared" si="17"/>
        <v>1</v>
      </c>
      <c r="BA18" s="76" t="s">
        <v>545</v>
      </c>
      <c r="BB18" s="74">
        <f t="shared" si="18"/>
        <v>1</v>
      </c>
      <c r="BC18" s="76" t="s">
        <v>181</v>
      </c>
      <c r="BD18" s="74">
        <f t="shared" si="19"/>
        <v>3</v>
      </c>
      <c r="BE18" s="76">
        <f t="shared" si="20"/>
        <v>0.5</v>
      </c>
      <c r="BF18" s="76"/>
      <c r="BG18" s="76"/>
      <c r="BH18" s="77">
        <f t="shared" si="38"/>
        <v>0</v>
      </c>
      <c r="BI18" s="77">
        <f t="shared" si="39"/>
        <v>0</v>
      </c>
      <c r="BJ18" s="77">
        <f t="shared" si="40"/>
        <v>0</v>
      </c>
      <c r="BK18" s="77">
        <f t="shared" si="41"/>
        <v>0</v>
      </c>
      <c r="BL18" s="78">
        <f t="shared" si="21"/>
        <v>1.4000000000000001</v>
      </c>
      <c r="BM18" s="76" t="s">
        <v>545</v>
      </c>
      <c r="BN18" s="197" cm="1">
        <f t="array" ref="BN18">_xlfn.IFS(BM18="Y", 3, BM18="N", 2)</f>
        <v>2</v>
      </c>
      <c r="BO18" s="76" t="s">
        <v>545</v>
      </c>
      <c r="BP18" s="197" cm="1">
        <f t="array" ref="BP18">_xlfn.IFS(BO18="Y", 3, BO18="N", 2)</f>
        <v>2</v>
      </c>
      <c r="BQ18" s="79">
        <f t="shared" si="22"/>
        <v>2</v>
      </c>
      <c r="BR18" s="44">
        <v>1100</v>
      </c>
      <c r="BS18" s="44">
        <f t="shared" si="23"/>
        <v>1100000</v>
      </c>
      <c r="BT18" s="44">
        <f t="shared" si="24"/>
        <v>1718.75</v>
      </c>
      <c r="BU18" s="80">
        <v>6423</v>
      </c>
      <c r="BV18" s="81">
        <f t="shared" si="25"/>
        <v>26.759302506616844</v>
      </c>
      <c r="BW18" s="82" cm="1">
        <f t="array" ref="BW18">_xlfn.IFS(BV18&gt;44, 3, BV18&lt;26, 1, 44&gt;BV18&gt;26, 2)</f>
        <v>2</v>
      </c>
      <c r="BX18" s="82">
        <v>676693</v>
      </c>
      <c r="BY18" s="82" cm="1">
        <f t="array" ref="BY18">_xlfn.IFS(BX18&gt;12000000, 3, BX18&lt;4000000, 1, 4000000&gt;BX18&gt;12000000, 2)</f>
        <v>1</v>
      </c>
      <c r="BZ18" s="80" t="s">
        <v>542</v>
      </c>
      <c r="CA18" s="82" cm="1">
        <f t="array" ref="CA18">_xlfn.IFS(BZ18="NA", 1, BZ18&gt;$BZ$60, 1, BZ18&lt;$BZ$59, 3, BZ18&gt;$BZ$59, 2, BZ18=$BZ$59, 2)</f>
        <v>1</v>
      </c>
      <c r="CB18" s="413">
        <f t="shared" si="26"/>
        <v>1.4</v>
      </c>
      <c r="CC18" s="44">
        <v>648229</v>
      </c>
      <c r="CD18" s="44" cm="1">
        <f t="array" ref="CD18">_xlfn.IFS(CC18&gt;4200000, 3, CC18&lt;1700000, 1, 4200000&gt;CC18&gt;1700000, 2)</f>
        <v>1</v>
      </c>
      <c r="CE18" s="44">
        <v>0</v>
      </c>
      <c r="CF18" s="44" cm="1">
        <f t="array" ref="CF18">_xlfn.IFS(CE18&lt;120000, 1, CE18&gt;620000, 3, 620000&gt;CE18&gt;120000, 2)</f>
        <v>1</v>
      </c>
      <c r="CG18" s="44">
        <v>0</v>
      </c>
      <c r="CH18" s="44" cm="1">
        <f t="array" ref="CH18">_xlfn.IFS(CG18&lt;300000, 1, CG18&gt;1700000, 3, 300000&gt;CG18&gt;170000, 2)</f>
        <v>1</v>
      </c>
      <c r="CI18" s="44">
        <v>49.233216669999997</v>
      </c>
      <c r="CJ18" s="61" cm="1">
        <f t="array" ref="CJ18">_xlfn.IFS(CI18&lt;$CI$60, 1, CI18&gt;$CI$61, 3, CI18&lt;$CI$61, 2)</f>
        <v>2</v>
      </c>
      <c r="CK18" s="205">
        <f t="shared" si="27"/>
        <v>1.25</v>
      </c>
      <c r="CL18" s="44">
        <v>0</v>
      </c>
      <c r="CM18" s="48" cm="1">
        <f t="array" ref="CM18">_xlfn.IFS(CL18&gt;4600000, 3, CL18&lt;430000, 1, 4600000&gt;CL18&gt;430000, 2)</f>
        <v>1</v>
      </c>
      <c r="CN18" s="72">
        <f t="shared" si="2"/>
        <v>1</v>
      </c>
      <c r="CO18" s="39" t="s">
        <v>549</v>
      </c>
      <c r="CP18" s="65" cm="1">
        <f t="array" ref="CP18">_xlfn.IFS(CO18=0, 1, CO18="active", 3, CO18="permitted", 2)</f>
        <v>3</v>
      </c>
      <c r="CQ18" s="39">
        <v>0</v>
      </c>
      <c r="CR18" s="39" cm="1">
        <f t="array" ref="CR18">_xlfn.IFS(CQ18=0, 1, CQ18&lt;&gt;0, 3)</f>
        <v>1</v>
      </c>
      <c r="CS18" s="72">
        <v>3</v>
      </c>
      <c r="CT18" s="48" t="s">
        <v>181</v>
      </c>
      <c r="CU18" s="107">
        <v>4467</v>
      </c>
      <c r="CV18" s="107">
        <v>10932</v>
      </c>
      <c r="CW18" s="39">
        <f>CU18/CV18</f>
        <v>0.40861690450054883</v>
      </c>
      <c r="CX18" s="207" cm="1">
        <f t="array" ref="CX18">_xlfn.IFS(CT18="N", 0, CW18&lt;$CW$61, 2, CW18 = $CW$61, 2, CW18&gt;$CW$61, 3)</f>
        <v>3</v>
      </c>
      <c r="CY18" s="207">
        <v>1</v>
      </c>
      <c r="CZ18" s="207" cm="1">
        <f t="array" ref="CZ18">_xlfn.IFS(CY18="NA", "NA", CY18=0, 1, CY18=1, 2, CY18&gt;1, 3)</f>
        <v>2</v>
      </c>
      <c r="DA18" s="201">
        <f t="shared" si="28"/>
        <v>2.75</v>
      </c>
      <c r="DB18" s="86">
        <v>0</v>
      </c>
      <c r="DC18" s="61" cm="1">
        <f t="array" ref="DC18">_xlfn.IFS(DB18&gt;$DB$61, 3, DB18=0, 1, DB18&lt;$DB$61, 2, DB18=$DB$61, 2)</f>
        <v>1</v>
      </c>
      <c r="DD18" s="87">
        <v>6911</v>
      </c>
      <c r="DE18" s="44" cm="1">
        <f t="array" ref="DE18">_xlfn.IFS(DD18&gt;$DD$62, 3, DD18&lt;$DD$60, 1, DD18&gt;$DD$60, 2, DD18=$DD$60, 2)</f>
        <v>2</v>
      </c>
      <c r="DF18" s="44">
        <v>0</v>
      </c>
      <c r="DG18" s="61" cm="1">
        <f t="array" ref="DG18">_xlfn.IFS(DF18=0, 1, DF18&lt;$DF$61, 2, DF18&gt;$DF$61, 3)</f>
        <v>1</v>
      </c>
      <c r="DH18" s="415">
        <f t="shared" si="29"/>
        <v>1.3333333333333319</v>
      </c>
      <c r="DI18" s="82">
        <v>79230298</v>
      </c>
      <c r="DJ18" s="82">
        <f t="shared" si="30"/>
        <v>9044.5545662100449</v>
      </c>
      <c r="DK18" s="88">
        <v>1094.7</v>
      </c>
      <c r="DL18" s="89">
        <f t="shared" si="31"/>
        <v>0.12103415286914611</v>
      </c>
      <c r="DM18" s="88" cm="1">
        <f t="array" ref="DM18">_xlfn.IFS(DL18&gt;$DL$60,3,(AND(DL18&lt;$DL$60,DL18&gt;$DL$59)),2,DL18&lt;$DL$59,1)</f>
        <v>2</v>
      </c>
      <c r="DN18" s="88">
        <v>2006</v>
      </c>
      <c r="DO18" s="90">
        <f t="shared" si="32"/>
        <v>2.53185971861421E-2</v>
      </c>
      <c r="DP18" s="88" cm="1">
        <f t="array" ref="DP18">_xlfn.IFS(DO18&gt;DO$60,3,(AND(DO18&lt;DO$60,DO18&gt;DO$59)),2,DO18&lt;DO$59,1)</f>
        <v>2</v>
      </c>
      <c r="DQ18" s="44"/>
      <c r="DR18" s="92">
        <f t="shared" si="33"/>
        <v>0</v>
      </c>
      <c r="DS18" s="88" cm="1">
        <f t="array" ref="DS18">_xlfn.IFS(DR18&gt;DR$60,3,(AND(DR18&lt;DR$60,DR18&gt;DR$59)),2,DR18&lt;DR$59,1)</f>
        <v>1</v>
      </c>
      <c r="DT18" s="91" t="s">
        <v>550</v>
      </c>
      <c r="DU18" s="213">
        <v>1</v>
      </c>
      <c r="DV18" s="44"/>
      <c r="DW18" s="88" cm="1">
        <f t="array" ref="DW18">_xlfn.IFS(DV18&gt;DV$60,3,(AND(DV18&lt;DV$60,DV18&gt;DV$59)),2,DV18&lt;DV$59,1)</f>
        <v>1</v>
      </c>
      <c r="DX18" s="93">
        <v>3</v>
      </c>
      <c r="DY18" s="88" cm="1">
        <f t="array" ref="DY18">_xlfn.IFS(DX18&gt;6.99,1,AND(DX18 &gt; 3, DX18 &lt; 7),2,DX18&lt;3.99,3)</f>
        <v>3</v>
      </c>
      <c r="DZ18" s="94">
        <f t="shared" si="3"/>
        <v>1.8000000000000003</v>
      </c>
      <c r="EA18" s="102" t="s">
        <v>551</v>
      </c>
      <c r="EB18" s="95" t="s">
        <v>551</v>
      </c>
      <c r="EC18" s="44">
        <v>0</v>
      </c>
      <c r="ED18" s="44">
        <v>0</v>
      </c>
      <c r="EE18" s="82">
        <v>0</v>
      </c>
      <c r="EF18" s="82">
        <f t="shared" si="34"/>
        <v>0</v>
      </c>
      <c r="EG18" s="204" cm="1">
        <f t="array" ref="EG18">_xlfn.IFS(EF18=0, 1, EF18&gt;2, 3, 0&gt;EF18&gt;3,2)</f>
        <v>1</v>
      </c>
      <c r="EH18" s="82">
        <v>0</v>
      </c>
      <c r="EI18" s="82">
        <v>0</v>
      </c>
      <c r="EJ18" s="82">
        <f t="shared" si="35"/>
        <v>0</v>
      </c>
      <c r="EK18" s="82" cm="1">
        <f t="array" ref="EK18">_xlfn.IFS(EH18+EI18=0, 1, EH18+EI18&gt;5, 3, EH18+EI18=5, 2, 0&gt;EH18+EI18&gt;5, 2)</f>
        <v>1</v>
      </c>
      <c r="EL18" s="82">
        <v>0</v>
      </c>
      <c r="EM18" s="82">
        <v>0</v>
      </c>
      <c r="EN18" s="82" cm="1">
        <f t="array" ref="EN18">_xlfn.IFS(EL18+EM18=0, 1, EL18+EM18&gt;10, 3, EL18+EM18 = 10, 2, 0&gt;EL18+EM18&gt;10, 2)</f>
        <v>1</v>
      </c>
      <c r="EO18" s="96">
        <f t="shared" si="4"/>
        <v>1</v>
      </c>
      <c r="EP18" s="44">
        <v>0</v>
      </c>
      <c r="EQ18" s="61" cm="1">
        <f t="array" ref="EQ18">_xlfn.IFS(EP18=0, 1, EP18&gt;$EP$60, 3, EP18&lt;$EP$60, 2)</f>
        <v>1</v>
      </c>
      <c r="ER18" s="100">
        <v>0</v>
      </c>
      <c r="ES18" s="100" cm="1">
        <f t="array" ref="ES18">_xlfn.IFS(ER18=0, 1, ER18&gt;$ER$59, 3, ER18&lt;$ER$59, 2)</f>
        <v>1</v>
      </c>
      <c r="ET18" s="44">
        <v>0</v>
      </c>
      <c r="EU18" s="44" cm="1">
        <f t="array" ref="EU18">_xlfn.IFS(ET18=0, 1, ET18=1, 2, ET18&gt;1, 3)</f>
        <v>1</v>
      </c>
      <c r="EV18" s="413">
        <f t="shared" si="36"/>
        <v>1</v>
      </c>
      <c r="EW18" s="82">
        <v>0</v>
      </c>
      <c r="EX18" s="210" cm="1">
        <f t="array" ref="EX18">_xlfn.IFS(EW18&gt;EX$60,3,(AND(EW18&lt;EX$60,EW18&gt;EX$59)),2,EW18&lt;EX$59,1)</f>
        <v>1</v>
      </c>
      <c r="EY18" s="82">
        <v>0</v>
      </c>
      <c r="EZ18" s="210" cm="1">
        <f t="array" ref="EZ18">_xlfn.IFS(EY18&gt;EZ$60,3,(AND(EY18&lt;EZ$60,EY18&gt;EZ$59)),2,EY18&lt;EZ$59,1)</f>
        <v>1</v>
      </c>
      <c r="FA18" s="253">
        <v>36587100214.821106</v>
      </c>
      <c r="FB18" s="210" cm="1">
        <f t="array" ref="FB18">_xlfn.IFS(FA18&gt;FB$60,3,(AND(FA18&lt;FB$60,FA18&gt;FB$59)),2,FA18&lt;FB$59,1)</f>
        <v>2</v>
      </c>
      <c r="FC18" s="416">
        <f t="shared" si="5"/>
        <v>1.25</v>
      </c>
      <c r="FD18" s="81">
        <v>0.16</v>
      </c>
      <c r="FE18" s="81" cm="1">
        <f t="array" ref="FE18">_xlfn.IFS(FD18&gt;$FD$60, 3, FD18&lt;$FD$59, 1, FD18&gt;$FD$59, 2)</f>
        <v>1</v>
      </c>
      <c r="FF18" s="44">
        <v>0</v>
      </c>
      <c r="FG18" s="61" cm="1">
        <f t="array" ref="FG18">_xlfn.IFS(FF18&lt;$FF$59, 1, FF18&gt;$FF$60, 3, FF18 = $FF$60, 3, FF18&lt;$FF$60, 2)</f>
        <v>1</v>
      </c>
      <c r="FH18" s="97">
        <f t="shared" si="6"/>
        <v>1</v>
      </c>
      <c r="FI18" s="102">
        <v>0</v>
      </c>
      <c r="FJ18" s="44">
        <v>0</v>
      </c>
      <c r="FK18" s="98">
        <f t="shared" si="7"/>
        <v>0</v>
      </c>
      <c r="FL18" s="98" cm="1">
        <f t="array" ref="FL18">_xlfn.IFS(FK18&gt;$FK$60, 3, FK18&lt;$FK$59, 1, FK18&gt;$FK$59, 2, FK18=$FK$59, 2)</f>
        <v>1</v>
      </c>
      <c r="FM18" s="99">
        <f t="shared" si="8"/>
        <v>1</v>
      </c>
    </row>
    <row r="19" spans="1:169" ht="20.100000000000001" customHeight="1">
      <c r="A19" s="38" t="s">
        <v>108</v>
      </c>
      <c r="B19" s="44" t="s">
        <v>541</v>
      </c>
      <c r="C19" s="44">
        <v>1</v>
      </c>
      <c r="D19" s="44" t="s">
        <v>542</v>
      </c>
      <c r="E19" s="44">
        <v>1</v>
      </c>
      <c r="F19" s="61" t="s">
        <v>543</v>
      </c>
      <c r="G19" s="61" cm="1">
        <f t="array" ref="G19">_xlfn.IFS(F19= "Yes", 3, F19 &lt;&gt; "Yes", 1)</f>
        <v>1</v>
      </c>
      <c r="H19" s="44" t="s">
        <v>543</v>
      </c>
      <c r="I19" s="44">
        <v>1</v>
      </c>
      <c r="J19" s="44" t="s">
        <v>543</v>
      </c>
      <c r="K19" s="44">
        <v>1</v>
      </c>
      <c r="L19" s="193">
        <f t="shared" si="37"/>
        <v>0.99999999999999989</v>
      </c>
      <c r="M19" s="48" t="s">
        <v>543</v>
      </c>
      <c r="N19" s="44">
        <v>1</v>
      </c>
      <c r="O19" s="44" t="s">
        <v>543</v>
      </c>
      <c r="P19" s="44">
        <v>1</v>
      </c>
      <c r="Q19" s="44" t="s">
        <v>543</v>
      </c>
      <c r="R19" s="44">
        <v>1</v>
      </c>
      <c r="S19" s="48" t="s">
        <v>543</v>
      </c>
      <c r="T19" s="44">
        <v>1</v>
      </c>
      <c r="U19" s="44" t="s">
        <v>543</v>
      </c>
      <c r="V19" s="44">
        <v>1</v>
      </c>
      <c r="W19" s="44" t="s">
        <v>543</v>
      </c>
      <c r="X19" s="44">
        <v>1</v>
      </c>
      <c r="Y19" s="39" t="s">
        <v>543</v>
      </c>
      <c r="Z19" s="44">
        <v>1</v>
      </c>
      <c r="AA19" s="72">
        <f t="shared" si="9"/>
        <v>0.99999999999999978</v>
      </c>
      <c r="AB19" s="106" t="s">
        <v>583</v>
      </c>
      <c r="AC19" s="44" t="s">
        <v>545</v>
      </c>
      <c r="AD19" s="44">
        <v>2</v>
      </c>
      <c r="AE19" s="44" t="s">
        <v>543</v>
      </c>
      <c r="AF19" s="44" cm="1">
        <f t="array" ref="AF19">_xlfn.IFS(AE19="NA", 1, AE19="No", 1, AE19="Yes, implicit", 2, AE19="Yes, explicit", 3)</f>
        <v>1</v>
      </c>
      <c r="AG19" s="44" t="s">
        <v>543</v>
      </c>
      <c r="AH19" s="44" t="s">
        <v>543</v>
      </c>
      <c r="AI19" s="44">
        <v>1</v>
      </c>
      <c r="AJ19" s="73">
        <f t="shared" si="0"/>
        <v>1.5999999999999999</v>
      </c>
      <c r="AK19" s="76" t="s">
        <v>544</v>
      </c>
      <c r="AL19" s="74">
        <f t="shared" si="10"/>
        <v>1</v>
      </c>
      <c r="AM19" s="74" t="s">
        <v>545</v>
      </c>
      <c r="AN19" s="74">
        <f t="shared" si="11"/>
        <v>1</v>
      </c>
      <c r="AO19" s="74" t="s">
        <v>545</v>
      </c>
      <c r="AP19" s="74">
        <f t="shared" si="12"/>
        <v>1</v>
      </c>
      <c r="AQ19" s="75">
        <f t="shared" si="13"/>
        <v>0.30000000000000004</v>
      </c>
      <c r="AR19" s="74" t="s">
        <v>545</v>
      </c>
      <c r="AS19" s="74">
        <f t="shared" si="14"/>
        <v>1</v>
      </c>
      <c r="AT19" s="74" t="s">
        <v>545</v>
      </c>
      <c r="AU19" s="74">
        <f t="shared" si="15"/>
        <v>1</v>
      </c>
      <c r="AV19" s="74">
        <f t="shared" si="16"/>
        <v>0.2</v>
      </c>
      <c r="AW19" s="76" t="s">
        <v>545</v>
      </c>
      <c r="AX19" s="195">
        <f t="shared" si="1"/>
        <v>0.4</v>
      </c>
      <c r="AY19" s="76" t="s">
        <v>545</v>
      </c>
      <c r="AZ19" s="76">
        <f t="shared" si="17"/>
        <v>1</v>
      </c>
      <c r="BA19" s="76" t="s">
        <v>545</v>
      </c>
      <c r="BB19" s="74">
        <f t="shared" si="18"/>
        <v>1</v>
      </c>
      <c r="BC19" s="76" t="s">
        <v>545</v>
      </c>
      <c r="BD19" s="74">
        <f t="shared" si="19"/>
        <v>1</v>
      </c>
      <c r="BE19" s="76">
        <f t="shared" si="20"/>
        <v>0.30000000000000004</v>
      </c>
      <c r="BF19" s="76"/>
      <c r="BG19" s="76"/>
      <c r="BH19" s="77">
        <f t="shared" si="38"/>
        <v>0</v>
      </c>
      <c r="BI19" s="77">
        <f t="shared" si="39"/>
        <v>0</v>
      </c>
      <c r="BJ19" s="77">
        <f t="shared" si="40"/>
        <v>0</v>
      </c>
      <c r="BK19" s="77">
        <f t="shared" si="41"/>
        <v>0</v>
      </c>
      <c r="BL19" s="78">
        <f t="shared" si="21"/>
        <v>1.2000000000000002</v>
      </c>
      <c r="BM19" s="76" t="s">
        <v>545</v>
      </c>
      <c r="BN19" s="197" cm="1">
        <f t="array" ref="BN19">_xlfn.IFS(BM19="Y", 3, BM19="N", 2)</f>
        <v>2</v>
      </c>
      <c r="BO19" s="76" t="s">
        <v>181</v>
      </c>
      <c r="BP19" s="197" cm="1">
        <f t="array" ref="BP19">_xlfn.IFS(BO19="Y", 3, BO19="N", 2)</f>
        <v>3</v>
      </c>
      <c r="BQ19" s="79">
        <f t="shared" si="22"/>
        <v>2.75</v>
      </c>
      <c r="BR19" s="44">
        <v>11500</v>
      </c>
      <c r="BS19" s="44">
        <f t="shared" si="23"/>
        <v>11500000</v>
      </c>
      <c r="BT19" s="44">
        <f t="shared" si="24"/>
        <v>17968.75</v>
      </c>
      <c r="BU19" s="80">
        <v>82643</v>
      </c>
      <c r="BV19" s="81">
        <f t="shared" si="25"/>
        <v>21.742615829531843</v>
      </c>
      <c r="BW19" s="82" cm="1">
        <f t="array" ref="BW19">_xlfn.IFS(BV19&gt;44, 3, BV19&lt;26, 1, 44&gt;BV19&gt;26, 2)</f>
        <v>1</v>
      </c>
      <c r="BX19" s="82">
        <v>11947558</v>
      </c>
      <c r="BY19" s="82" cm="1">
        <f t="array" ref="BY19">_xlfn.IFS(BX19&gt;12000000, 3, BX19&lt;4000000, 1, 4000000&gt;BX19&gt;12000000, 2)</f>
        <v>2</v>
      </c>
      <c r="BZ19" s="80">
        <v>7.0089727319719737</v>
      </c>
      <c r="CA19" s="82" cm="1">
        <f t="array" ref="CA19">_xlfn.IFS(BZ19&gt;$BZ$60, 1, BZ19&lt;$BZ$59, 3, BZ19&gt;$BZ$59, 2, BZ19=$BZ$59, 2)</f>
        <v>1</v>
      </c>
      <c r="CB19" s="413">
        <f t="shared" si="26"/>
        <v>1.25</v>
      </c>
      <c r="CC19" s="44">
        <v>2753680</v>
      </c>
      <c r="CD19" s="44" cm="1">
        <f t="array" ref="CD19">_xlfn.IFS(CC19&gt;4200000, 3, CC19&lt;1700000, 1, 4200000&gt;CC19&gt;1700000, 2)</f>
        <v>2</v>
      </c>
      <c r="CE19" s="44">
        <v>180258.79000000004</v>
      </c>
      <c r="CF19" s="44" cm="1">
        <f t="array" ref="CF19">_xlfn.IFS(CE19&lt;120000, 1, CE19&gt;620000, 3, 620000&gt;CE19&gt;120000, 2)</f>
        <v>2</v>
      </c>
      <c r="CG19" s="44">
        <v>994662.1</v>
      </c>
      <c r="CH19" s="44" cm="1">
        <f t="array" ref="CH19">_xlfn.IFS(CG19&lt;300000, 1, CG19&gt;1700000, 3, 300000&gt;CG19&gt;170000, 2)</f>
        <v>2</v>
      </c>
      <c r="CI19" s="44">
        <v>82.975877130000001</v>
      </c>
      <c r="CJ19" s="61" cm="1">
        <f t="array" ref="CJ19">_xlfn.IFS(CI19&lt;$CI$60, 1, CI19&gt;$CI$61, 3, CI19&lt;$CI$61, 2)</f>
        <v>3</v>
      </c>
      <c r="CK19" s="205">
        <f t="shared" si="27"/>
        <v>2.25</v>
      </c>
      <c r="CL19" s="44">
        <v>0</v>
      </c>
      <c r="CM19" s="48" cm="1">
        <f t="array" ref="CM19">_xlfn.IFS(CL19&gt;4600000, 3, CL19&lt;430000, 1, 4600000&gt;CL19&gt;430000, 2)</f>
        <v>1</v>
      </c>
      <c r="CN19" s="72">
        <f t="shared" si="2"/>
        <v>1</v>
      </c>
      <c r="CO19" s="39">
        <v>0</v>
      </c>
      <c r="CP19" s="65" cm="1">
        <f t="array" ref="CP19">_xlfn.IFS(CO19=0, 1, CO19="active", 3, CO19="permitted", 2)</f>
        <v>1</v>
      </c>
      <c r="CQ19" s="39">
        <v>0</v>
      </c>
      <c r="CR19" s="39" cm="1">
        <f t="array" ref="CR19">_xlfn.IFS(CQ19=0, 1, CQ19&lt;&gt;0, 3)</f>
        <v>1</v>
      </c>
      <c r="CS19" s="72">
        <v>1</v>
      </c>
      <c r="CT19" s="44" t="s">
        <v>545</v>
      </c>
      <c r="CU19" s="82">
        <v>0</v>
      </c>
      <c r="CV19" s="82">
        <v>83569</v>
      </c>
      <c r="CW19" s="39" t="s">
        <v>542</v>
      </c>
      <c r="CX19" s="207" cm="1">
        <f t="array" ref="CX19">_xlfn.IFS(CT19="N", 0, CW19&lt;$CW$61, 2, CW19 = $CW$61, 2, CW19&gt;$CW$61, 3)</f>
        <v>0</v>
      </c>
      <c r="CY19" s="207" t="s">
        <v>542</v>
      </c>
      <c r="CZ19" s="207" t="str" cm="1">
        <f t="array" ref="CZ19">_xlfn.IFS(CY19="NA", "NA", CY19=0, 1, CY19=1, 2, CY19&gt;1, 3)</f>
        <v>NA</v>
      </c>
      <c r="DA19" s="201">
        <f t="shared" si="28"/>
        <v>0</v>
      </c>
      <c r="DB19" s="86">
        <v>0</v>
      </c>
      <c r="DC19" s="61" cm="1">
        <f t="array" ref="DC19">_xlfn.IFS(DB19&gt;$DB$61, 3, DB19=0, 1, DB19&lt;$DB$61, 2, DB19=$DB$61, 2)</f>
        <v>1</v>
      </c>
      <c r="DD19" s="87">
        <v>21530</v>
      </c>
      <c r="DE19" s="44" cm="1">
        <f t="array" ref="DE19">_xlfn.IFS(DD19&gt;$DD$62, 3, DD19&lt;$DD$60, 1, DD19&gt;$DD$60, 2, DD19=$DD$60, 2)</f>
        <v>3</v>
      </c>
      <c r="DF19" s="44">
        <v>0</v>
      </c>
      <c r="DG19" s="61" cm="1">
        <f t="array" ref="DG19">_xlfn.IFS(DF19=0, 1, DF19&lt;$DF$61, 2, DF19&gt;$DF$61, 3)</f>
        <v>1</v>
      </c>
      <c r="DH19" s="415">
        <f t="shared" si="29"/>
        <v>1.666666666666665</v>
      </c>
      <c r="DI19" s="82">
        <v>152100369</v>
      </c>
      <c r="DJ19" s="82">
        <f t="shared" si="30"/>
        <v>17363.055821917809</v>
      </c>
      <c r="DK19" s="88">
        <v>4247.3999999999996</v>
      </c>
      <c r="DL19" s="89">
        <f t="shared" si="31"/>
        <v>0.24462283848897168</v>
      </c>
      <c r="DM19" s="88" cm="1">
        <f t="array" ref="DM19">_xlfn.IFS(DL19&gt;$DL$60,3,(AND(DL19&lt;$DL$60,DL19&gt;$DL$59)),2,DL19&lt;$DL$59,1)</f>
        <v>3</v>
      </c>
      <c r="DN19" s="88">
        <v>10447</v>
      </c>
      <c r="DO19" s="90">
        <f t="shared" si="32"/>
        <v>6.8684908976124837E-2</v>
      </c>
      <c r="DP19" s="88" cm="1">
        <f t="array" ref="DP19">_xlfn.IFS(DO19&gt;DO$60,3,(AND(DO19&lt;DO$60,DO19&gt;DO$59)),2,DO19&lt;DO$59,1)</f>
        <v>3</v>
      </c>
      <c r="DQ19" s="91">
        <v>24909.21</v>
      </c>
      <c r="DR19" s="92">
        <f t="shared" si="33"/>
        <v>0.44511094873760615</v>
      </c>
      <c r="DS19" s="88" cm="1">
        <f t="array" ref="DS19">_xlfn.IFS(DR19&gt;DR$60,3,(AND(DR19&lt;DR$60,DR19&gt;DR$59)),2,DR19&lt;DR$59,1)</f>
        <v>3</v>
      </c>
      <c r="DT19" s="91" t="s">
        <v>584</v>
      </c>
      <c r="DU19" s="213" cm="1">
        <f t="array" ref="DU19">_xlfn.IFS(DT19="no data","",DT19="40-45", 1, DT19= "45-50", 1, DT19="50-55", 1, DT19 ="30-35", 2, DT19="25-30", 2, DT19="35-40", 2, DT19="20-25", 3, DT19="15-20", 3)</f>
        <v>3</v>
      </c>
      <c r="DV19" s="88">
        <v>7700514243.9104729</v>
      </c>
      <c r="DW19" s="88" cm="1">
        <f t="array" ref="DW19">_xlfn.IFS(DV19&gt;DV$60,3,(AND(DV19&lt;DV$60,DV19&gt;DV$59)),2,DV19&lt;DV$59,1)</f>
        <v>3</v>
      </c>
      <c r="DX19" s="93">
        <v>5</v>
      </c>
      <c r="DY19" s="88" cm="1">
        <f t="array" ref="DY19">_xlfn.IFS(DX19&gt;6.99,1,AND(DX19 &gt; 3, DX19 &lt; 7),2,DX19&lt;3.99,3)</f>
        <v>2</v>
      </c>
      <c r="DZ19" s="94">
        <f t="shared" si="3"/>
        <v>2.8999999999999995</v>
      </c>
      <c r="EA19" s="95">
        <v>92700</v>
      </c>
      <c r="EB19" s="95">
        <v>102700</v>
      </c>
      <c r="EC19" s="82">
        <v>1654</v>
      </c>
      <c r="ED19" s="82">
        <v>0</v>
      </c>
      <c r="EE19" s="82">
        <v>0</v>
      </c>
      <c r="EF19" s="82">
        <f t="shared" si="34"/>
        <v>0</v>
      </c>
      <c r="EG19" s="204" cm="1">
        <f t="array" ref="EG19">_xlfn.IFS(EF19=0, 1, EF19&gt;2, 3, 0&gt;EF19&gt;3,2)</f>
        <v>1</v>
      </c>
      <c r="EH19" s="82">
        <v>4</v>
      </c>
      <c r="EI19" s="82">
        <v>6</v>
      </c>
      <c r="EJ19" s="82">
        <f t="shared" si="35"/>
        <v>10</v>
      </c>
      <c r="EK19" s="82" cm="1">
        <f t="array" ref="EK19">_xlfn.IFS(EH19+EI19=0, 1, EH19+EI19&gt;5, 3, EH19+EI19=5, 2, 0&gt;EH19+EI19&gt;5, 2)</f>
        <v>3</v>
      </c>
      <c r="EL19" s="82">
        <v>2</v>
      </c>
      <c r="EM19" s="82">
        <v>2</v>
      </c>
      <c r="EN19" s="82" cm="1">
        <f t="array" ref="EN19">_xlfn.IFS(EL19+EM19=0, 1, EL19+EM19&gt;10, 3, EL19+EM19 = 10, 2, 0&gt;EL19+EM19&gt;10, 2)</f>
        <v>2</v>
      </c>
      <c r="EO19" s="96">
        <f t="shared" si="4"/>
        <v>2</v>
      </c>
      <c r="EP19" s="44">
        <v>0</v>
      </c>
      <c r="EQ19" s="61" cm="1">
        <f t="array" ref="EQ19">_xlfn.IFS(EP19=0, 1, EP19&gt;$EP$60, 3, EP19&lt;$EP$60, 2)</f>
        <v>1</v>
      </c>
      <c r="ER19" s="100">
        <v>0</v>
      </c>
      <c r="ES19" s="100" cm="1">
        <f t="array" ref="ES19">_xlfn.IFS(ER19=0, 1, ER19&gt;$ER$59, 3, ER19&lt;$ER$59, 2)</f>
        <v>1</v>
      </c>
      <c r="ET19" s="44">
        <v>0</v>
      </c>
      <c r="EU19" s="44" cm="1">
        <f t="array" ref="EU19">_xlfn.IFS(ET19=0, 1, ET19=1, 2, ET19&gt;1, 3)</f>
        <v>1</v>
      </c>
      <c r="EV19" s="413">
        <f t="shared" si="36"/>
        <v>1</v>
      </c>
      <c r="EW19" s="82">
        <v>0.15</v>
      </c>
      <c r="EX19" s="210" cm="1">
        <f t="array" ref="EX19">_xlfn.IFS(EW19&gt;EX$60,3,(AND(EW19&lt;EX$60,EW19&gt;EX$59)),2,EW19&lt;EX$59,1)</f>
        <v>1</v>
      </c>
      <c r="EY19" s="253">
        <v>25456962.943687499</v>
      </c>
      <c r="EZ19" s="210" cm="1">
        <f t="array" ref="EZ19">_xlfn.IFS(EY19&gt;EZ$60,3,(AND(EY19&lt;EZ$60,EY19&gt;EZ$59)),2,EY19&lt;EZ$59,1)</f>
        <v>2</v>
      </c>
      <c r="FA19" s="253">
        <v>116116280855466.75</v>
      </c>
      <c r="FB19" s="210" cm="1">
        <f t="array" ref="FB19">_xlfn.IFS(FA19&gt;FB$60,3,(AND(FA19&lt;FB$60,FA19&gt;FB$59)),2,FA19&lt;FB$59,1)</f>
        <v>3</v>
      </c>
      <c r="FC19" s="416">
        <f t="shared" si="5"/>
        <v>1.75</v>
      </c>
      <c r="FD19" s="81">
        <v>0.38</v>
      </c>
      <c r="FE19" s="81" cm="1">
        <f t="array" ref="FE19">_xlfn.IFS(FD19&gt;$FD$60, 3, FD19&lt;$FD$59, 1, FD19&gt;$FD$59, 2)</f>
        <v>1</v>
      </c>
      <c r="FF19" s="44">
        <v>2</v>
      </c>
      <c r="FG19" s="61" cm="1">
        <f t="array" ref="FG19">_xlfn.IFS(FF19&lt;$FF$59, 1, FF19&gt;$FF$60, 3, FF19 = $FF$60, 3, FF19&lt;$FF$60, 2)</f>
        <v>3</v>
      </c>
      <c r="FH19" s="97">
        <f t="shared" si="6"/>
        <v>1.8000000000000003</v>
      </c>
      <c r="FI19" s="102">
        <v>0</v>
      </c>
      <c r="FJ19" s="44">
        <v>9</v>
      </c>
      <c r="FK19" s="98">
        <f t="shared" si="7"/>
        <v>9</v>
      </c>
      <c r="FL19" s="98" cm="1">
        <f t="array" ref="FL19">_xlfn.IFS(FK19&gt;$FK$60, 3, FK19&lt;$FK$59, 1, FK19&gt;$FK$59, 2, FK19=$FK$59, 2)</f>
        <v>3</v>
      </c>
      <c r="FM19" s="99">
        <f t="shared" si="8"/>
        <v>3</v>
      </c>
    </row>
    <row r="20" spans="1:169" ht="20.100000000000001" customHeight="1">
      <c r="A20" s="38" t="s">
        <v>110</v>
      </c>
      <c r="B20" s="44" t="s">
        <v>541</v>
      </c>
      <c r="C20" s="44">
        <v>1</v>
      </c>
      <c r="D20" s="44" t="s">
        <v>542</v>
      </c>
      <c r="E20" s="44">
        <v>1</v>
      </c>
      <c r="F20" s="61" t="s">
        <v>543</v>
      </c>
      <c r="G20" s="61" cm="1">
        <f t="array" ref="G20">_xlfn.IFS(F20= "Yes", 3, F20 &lt;&gt; "Yes", 1)</f>
        <v>1</v>
      </c>
      <c r="H20" s="44" t="s">
        <v>553</v>
      </c>
      <c r="I20" s="44">
        <v>3</v>
      </c>
      <c r="J20" s="44" t="s">
        <v>543</v>
      </c>
      <c r="K20" s="44">
        <v>1</v>
      </c>
      <c r="L20" s="193">
        <f t="shared" si="37"/>
        <v>1.5</v>
      </c>
      <c r="M20" s="48" t="s">
        <v>543</v>
      </c>
      <c r="N20" s="44">
        <v>1</v>
      </c>
      <c r="O20" s="44" t="s">
        <v>543</v>
      </c>
      <c r="P20" s="44">
        <v>1</v>
      </c>
      <c r="Q20" s="44" t="s">
        <v>556</v>
      </c>
      <c r="R20" s="44">
        <v>3</v>
      </c>
      <c r="S20" s="48" t="s">
        <v>543</v>
      </c>
      <c r="T20" s="44">
        <v>1</v>
      </c>
      <c r="U20" s="44" t="s">
        <v>543</v>
      </c>
      <c r="V20" s="44">
        <v>1</v>
      </c>
      <c r="W20" s="44" t="s">
        <v>543</v>
      </c>
      <c r="X20" s="44">
        <v>1</v>
      </c>
      <c r="Y20" s="39" t="s">
        <v>543</v>
      </c>
      <c r="Z20" s="44">
        <v>1</v>
      </c>
      <c r="AA20" s="72">
        <f t="shared" si="9"/>
        <v>1.2</v>
      </c>
      <c r="AB20" s="106" t="s">
        <v>585</v>
      </c>
      <c r="AC20" s="44" t="s">
        <v>181</v>
      </c>
      <c r="AD20" s="44">
        <v>3</v>
      </c>
      <c r="AE20" s="44" t="s">
        <v>543</v>
      </c>
      <c r="AF20" s="44" cm="1">
        <f t="array" ref="AF20">_xlfn.IFS(AE20="NA", 1, AE20="No", 1, AE20="Yes, implicit", 2, AE20="Yes, explicit", 3)</f>
        <v>1</v>
      </c>
      <c r="AG20" s="44" t="s">
        <v>556</v>
      </c>
      <c r="AH20" s="44" t="s">
        <v>556</v>
      </c>
      <c r="AI20" s="44">
        <v>3</v>
      </c>
      <c r="AJ20" s="73">
        <f t="shared" si="0"/>
        <v>2.5999999999999996</v>
      </c>
      <c r="AK20" s="76" t="s">
        <v>544</v>
      </c>
      <c r="AL20" s="74">
        <f t="shared" si="10"/>
        <v>1</v>
      </c>
      <c r="AM20" s="74" t="s">
        <v>545</v>
      </c>
      <c r="AN20" s="74">
        <f t="shared" si="11"/>
        <v>1</v>
      </c>
      <c r="AO20" s="74" t="s">
        <v>545</v>
      </c>
      <c r="AP20" s="74">
        <f t="shared" si="12"/>
        <v>1</v>
      </c>
      <c r="AQ20" s="75">
        <f t="shared" si="13"/>
        <v>0.30000000000000004</v>
      </c>
      <c r="AR20" s="74" t="s">
        <v>545</v>
      </c>
      <c r="AS20" s="74">
        <f t="shared" si="14"/>
        <v>1</v>
      </c>
      <c r="AT20" s="74" t="s">
        <v>545</v>
      </c>
      <c r="AU20" s="74">
        <f t="shared" si="15"/>
        <v>1</v>
      </c>
      <c r="AV20" s="74">
        <f t="shared" si="16"/>
        <v>0.2</v>
      </c>
      <c r="AW20" s="76" t="s">
        <v>545</v>
      </c>
      <c r="AX20" s="195">
        <f t="shared" si="1"/>
        <v>0.4</v>
      </c>
      <c r="AY20" s="76" t="s">
        <v>545</v>
      </c>
      <c r="AZ20" s="76">
        <f t="shared" si="17"/>
        <v>1</v>
      </c>
      <c r="BA20" s="76" t="s">
        <v>181</v>
      </c>
      <c r="BB20" s="74">
        <f t="shared" si="18"/>
        <v>3</v>
      </c>
      <c r="BC20" s="76" t="s">
        <v>181</v>
      </c>
      <c r="BD20" s="74">
        <f t="shared" si="19"/>
        <v>3</v>
      </c>
      <c r="BE20" s="76">
        <f t="shared" si="20"/>
        <v>0.70000000000000007</v>
      </c>
      <c r="BF20" s="76"/>
      <c r="BG20" s="76"/>
      <c r="BH20" s="77">
        <f t="shared" si="38"/>
        <v>0</v>
      </c>
      <c r="BI20" s="77">
        <f t="shared" si="39"/>
        <v>0</v>
      </c>
      <c r="BJ20" s="77">
        <f t="shared" si="40"/>
        <v>0</v>
      </c>
      <c r="BK20" s="77">
        <f t="shared" si="41"/>
        <v>0</v>
      </c>
      <c r="BL20" s="78">
        <f t="shared" si="21"/>
        <v>1.6</v>
      </c>
      <c r="BM20" s="76" t="s">
        <v>181</v>
      </c>
      <c r="BN20" s="197" cm="1">
        <f t="array" ref="BN20">_xlfn.IFS(BM20="Y", 3, BM20="N", 2)</f>
        <v>3</v>
      </c>
      <c r="BO20" s="76" t="s">
        <v>181</v>
      </c>
      <c r="BP20" s="197" cm="1">
        <f t="array" ref="BP20">_xlfn.IFS(BO20="Y", 3, BO20="N", 2)</f>
        <v>3</v>
      </c>
      <c r="BQ20" s="79">
        <f t="shared" si="22"/>
        <v>3</v>
      </c>
      <c r="BR20" s="44">
        <v>27000</v>
      </c>
      <c r="BS20" s="44">
        <f t="shared" si="23"/>
        <v>27000000</v>
      </c>
      <c r="BT20" s="44">
        <f t="shared" si="24"/>
        <v>42187.5</v>
      </c>
      <c r="BU20" s="80">
        <v>55519</v>
      </c>
      <c r="BV20" s="81">
        <f t="shared" si="25"/>
        <v>75.987499774851855</v>
      </c>
      <c r="BW20" s="82" cm="1">
        <f t="array" ref="BW20">_xlfn.IFS(BV20&gt;44, 3, BV20&lt;26, 1, 44&gt;BV20&gt;26, 2)</f>
        <v>3</v>
      </c>
      <c r="BX20" s="82">
        <v>29595312</v>
      </c>
      <c r="BY20" s="82" cm="1">
        <f t="array" ref="BY20">_xlfn.IFS(BX20&gt;12000000, 3, BX20&lt;4000000, 1, 4000000&gt;BX20&gt;12000000, 2)</f>
        <v>3</v>
      </c>
      <c r="BZ20" s="80">
        <v>6.3356838863020863</v>
      </c>
      <c r="CA20" s="82" cm="1">
        <f t="array" ref="CA20">_xlfn.IFS(BZ20&gt;$BZ$60, 1, BZ20&lt;$BZ$59, 3, BZ20&gt;$BZ$59, 2, BZ20=$BZ$59, 2)</f>
        <v>2</v>
      </c>
      <c r="CB20" s="413">
        <f t="shared" si="26"/>
        <v>2.6500000000000004</v>
      </c>
      <c r="CC20" s="44">
        <v>8214679</v>
      </c>
      <c r="CD20" s="44" cm="1">
        <f t="array" ref="CD20">_xlfn.IFS(CC20&gt;4200000, 3, CC20&lt;1700000, 1, 4200000&gt;CC20&gt;1700000, 2)</f>
        <v>3</v>
      </c>
      <c r="CE20" s="44">
        <v>130261.84000000001</v>
      </c>
      <c r="CF20" s="44" cm="1">
        <f t="array" ref="CF20">_xlfn.IFS(CE20&lt;120000, 1, CE20&gt;620000, 3, 620000&gt;CE20&gt;120000, 2)</f>
        <v>2</v>
      </c>
      <c r="CG20" s="44">
        <v>17404131.999999993</v>
      </c>
      <c r="CH20" s="44" cm="1">
        <f t="array" ref="CH20">_xlfn.IFS(CG20&lt;300000, 1, CG20&gt;1700000, 3, 300000&gt;CG20&gt;170000, 2)</f>
        <v>3</v>
      </c>
      <c r="CI20" s="44">
        <v>16.583381679999999</v>
      </c>
      <c r="CJ20" s="61" cm="1">
        <f t="array" ref="CJ20">_xlfn.IFS(CI20&lt;$CI$60, 1, CI20&gt;$CI$61, 3, CI20&lt;$CI$61, 2)</f>
        <v>1</v>
      </c>
      <c r="CK20" s="205">
        <f t="shared" si="27"/>
        <v>2.2999999999999998</v>
      </c>
      <c r="CL20" s="44">
        <v>3850669</v>
      </c>
      <c r="CM20" s="48" cm="1">
        <f t="array" ref="CM20">_xlfn.IFS(CL20&gt;4600000, 3, CL20&lt;430000, 1, 4600000&gt;CL20&gt;430000, 2)</f>
        <v>2</v>
      </c>
      <c r="CN20" s="72">
        <f t="shared" si="2"/>
        <v>2</v>
      </c>
      <c r="CO20" s="39">
        <v>0</v>
      </c>
      <c r="CP20" s="65" cm="1">
        <f t="array" ref="CP20">_xlfn.IFS(CO20=0, 1, CO20="active", 3, CO20="permitted", 2)</f>
        <v>1</v>
      </c>
      <c r="CQ20" s="39">
        <v>0</v>
      </c>
      <c r="CR20" s="39" cm="1">
        <f t="array" ref="CR20">_xlfn.IFS(CQ20=0, 1, CQ20&lt;&gt;0, 3)</f>
        <v>1</v>
      </c>
      <c r="CS20" s="72">
        <v>1</v>
      </c>
      <c r="CT20" s="44" t="s">
        <v>545</v>
      </c>
      <c r="CU20" s="82">
        <v>0</v>
      </c>
      <c r="CV20" s="82">
        <v>57914</v>
      </c>
      <c r="CW20" s="39" t="s">
        <v>542</v>
      </c>
      <c r="CX20" s="207" cm="1">
        <f t="array" ref="CX20">_xlfn.IFS(CT20="N", 0, CW20&lt;$CW$61, 2, CW20 = $CW$61, 2, CW20&gt;$CW$61, 3)</f>
        <v>0</v>
      </c>
      <c r="CY20" s="207" t="s">
        <v>542</v>
      </c>
      <c r="CZ20" s="207" t="str" cm="1">
        <f t="array" ref="CZ20">_xlfn.IFS(CY20="NA", "NA", CY20=0, 1, CY20=1, 2, CY20&gt;1, 3)</f>
        <v>NA</v>
      </c>
      <c r="DA20" s="201">
        <f t="shared" si="28"/>
        <v>0</v>
      </c>
      <c r="DB20" s="101">
        <v>7356</v>
      </c>
      <c r="DC20" s="61" cm="1">
        <f t="array" ref="DC20">_xlfn.IFS(DB20&gt;$DB$61, 3, DB20=0, 1, DB20&lt;$DB$61, 2, DB20=$DB$61, 2)</f>
        <v>3</v>
      </c>
      <c r="DD20" s="87">
        <v>34940</v>
      </c>
      <c r="DE20" s="44" cm="1">
        <f t="array" ref="DE20">_xlfn.IFS(DD20&gt;$DD$62, 3, DD20&lt;$DD$60, 1, DD20&gt;$DD$60, 2, DD20=$DD$60, 2)</f>
        <v>3</v>
      </c>
      <c r="DF20" s="44">
        <v>3638</v>
      </c>
      <c r="DG20" s="61" cm="1">
        <f t="array" ref="DG20">_xlfn.IFS(DF20=0, 1, DF20&lt;$DF$61, 2, DF20&gt;$DF$61, 3)</f>
        <v>3</v>
      </c>
      <c r="DH20" s="415">
        <f t="shared" si="29"/>
        <v>2.9999999999999964</v>
      </c>
      <c r="DI20" s="82">
        <v>1077225800</v>
      </c>
      <c r="DJ20" s="82">
        <f t="shared" si="30"/>
        <v>122970.98173515982</v>
      </c>
      <c r="DK20" s="88">
        <v>21407.500000000004</v>
      </c>
      <c r="DL20" s="89">
        <f t="shared" si="31"/>
        <v>0.174085785914151</v>
      </c>
      <c r="DM20" s="88" cm="1">
        <f t="array" ref="DM20">_xlfn.IFS(DL20&gt;$DL$60,3,(AND(DL20&lt;$DL$60,DL20&gt;$DL$59)),2,DL20&lt;$DL$59,1)</f>
        <v>2</v>
      </c>
      <c r="DN20" s="88">
        <v>24375</v>
      </c>
      <c r="DO20" s="90">
        <f t="shared" si="32"/>
        <v>2.2627567962074432E-2</v>
      </c>
      <c r="DP20" s="88" cm="1">
        <f t="array" ref="DP20">_xlfn.IFS(DO20&gt;DO$60,3,(AND(DO20&lt;DO$60,DO20&gt;DO$59)),2,DO20&lt;DO$59,1)</f>
        <v>2</v>
      </c>
      <c r="DQ20" s="91">
        <v>71909.3</v>
      </c>
      <c r="DR20" s="92">
        <f t="shared" si="33"/>
        <v>0.30475588636348105</v>
      </c>
      <c r="DS20" s="88" cm="1">
        <f t="array" ref="DS20">_xlfn.IFS(DR20&gt;DR$60,3,(AND(DR20&lt;DR$60,DR20&gt;DR$59)),2,DR20&lt;DR$59,1)</f>
        <v>2</v>
      </c>
      <c r="DT20" s="91" t="s">
        <v>563</v>
      </c>
      <c r="DU20" s="213" cm="1">
        <f t="array" ref="DU20">_xlfn.IFS(DT20="no data","",DT20="40-45", 1, DT20= "45-50", 1, DT20="50-55", 1, DT20 ="30-35", 2, DT20="25-30", 2, DT20="35-40", 2, DT20="20-25", 3, DT20="15-20", 3)</f>
        <v>2</v>
      </c>
      <c r="DV20" s="88">
        <v>7689415999.599453</v>
      </c>
      <c r="DW20" s="88" cm="1">
        <f t="array" ref="DW20">_xlfn.IFS(DV20&gt;DV$60,3,(AND(DV20&lt;DV$60,DV20&gt;DV$59)),2,DV20&lt;DV$59,1)</f>
        <v>2</v>
      </c>
      <c r="DX20" s="93">
        <v>5</v>
      </c>
      <c r="DY20" s="88" cm="1">
        <f t="array" ref="DY20">_xlfn.IFS(DX20&gt;6.99,1,AND(DX20 &gt; 3, DX20 &lt; 7),2,DX20&lt;3.99,3)</f>
        <v>2</v>
      </c>
      <c r="DZ20" s="94">
        <f t="shared" si="3"/>
        <v>1.9999999999999998</v>
      </c>
      <c r="EA20" s="95">
        <v>4002900</v>
      </c>
      <c r="EB20" s="95">
        <v>3839700</v>
      </c>
      <c r="EC20" s="82">
        <v>6768</v>
      </c>
      <c r="ED20" s="82">
        <v>0</v>
      </c>
      <c r="EE20" s="82">
        <v>0</v>
      </c>
      <c r="EF20" s="82">
        <f t="shared" si="34"/>
        <v>0</v>
      </c>
      <c r="EG20" s="204" cm="1">
        <f t="array" ref="EG20">_xlfn.IFS(EF20=0, 1, EF20&gt;2, 3, 0&gt;EF20&gt;3,2)</f>
        <v>1</v>
      </c>
      <c r="EH20" s="82">
        <v>0</v>
      </c>
      <c r="EI20" s="82">
        <v>0</v>
      </c>
      <c r="EJ20" s="82">
        <f t="shared" si="35"/>
        <v>0</v>
      </c>
      <c r="EK20" s="82" cm="1">
        <f t="array" ref="EK20">_xlfn.IFS(EH20+EI20=0, 1, EH20+EI20&gt;5, 3, EH20+EI20=5, 2, 0&gt;EH20+EI20&gt;5, 2)</f>
        <v>1</v>
      </c>
      <c r="EL20" s="82">
        <v>0</v>
      </c>
      <c r="EM20" s="82">
        <v>0</v>
      </c>
      <c r="EN20" s="82" cm="1">
        <f t="array" ref="EN20">_xlfn.IFS(EL20+EM20=0, 1, EL20+EM20&gt;10, 3, EL20+EM20 = 10, 2, 0&gt;EL20+EM20&gt;10, 2)</f>
        <v>1</v>
      </c>
      <c r="EO20" s="96">
        <f t="shared" si="4"/>
        <v>1</v>
      </c>
      <c r="EP20" s="44">
        <v>6</v>
      </c>
      <c r="EQ20" s="61" cm="1">
        <f t="array" ref="EQ20">_xlfn.IFS(EP20=0, 1, EP20&gt;$EP$60, 3, EP20&lt;$EP$60, 2)</f>
        <v>3</v>
      </c>
      <c r="ER20" s="100">
        <v>0</v>
      </c>
      <c r="ES20" s="100" cm="1">
        <f t="array" ref="ES20">_xlfn.IFS(ER20=0, 1, ER20&gt;$ER$59, 3, ER20&lt;$ER$59, 2)</f>
        <v>1</v>
      </c>
      <c r="ET20" s="44">
        <v>10</v>
      </c>
      <c r="EU20" s="44" cm="1">
        <f t="array" ref="EU20">_xlfn.IFS(ET20=0, 1, ET20=1, 2, ET20&gt;1, 3)</f>
        <v>3</v>
      </c>
      <c r="EV20" s="413">
        <f t="shared" si="36"/>
        <v>2.2000000000000002</v>
      </c>
      <c r="EW20" s="82">
        <v>83.33</v>
      </c>
      <c r="EX20" s="210" cm="1">
        <f t="array" ref="EX20">_xlfn.IFS(EW20&gt;EX$60,3,(AND(EW20&lt;EX$60,EW20&gt;EX$59)),2,EW20&lt;EX$59,1)</f>
        <v>3</v>
      </c>
      <c r="EY20" s="253">
        <v>6553062.6589125013</v>
      </c>
      <c r="EZ20" s="210" cm="1">
        <f t="array" ref="EZ20">_xlfn.IFS(EY20&gt;EZ$60,3,(AND(EY20&lt;EZ$60,EY20&gt;EZ$59)),2,EY20&lt;EZ$59,1)</f>
        <v>2</v>
      </c>
      <c r="FA20" s="253">
        <v>343851245250</v>
      </c>
      <c r="FB20" s="210" cm="1">
        <f t="array" ref="FB20">_xlfn.IFS(FA20&gt;FB$60,3,(AND(FA20&lt;FB$60,FA20&gt;FB$59)),2,FA20&lt;FB$59,1)</f>
        <v>2</v>
      </c>
      <c r="FC20" s="416">
        <f t="shared" si="5"/>
        <v>2.5</v>
      </c>
      <c r="FD20" s="81">
        <v>1.27</v>
      </c>
      <c r="FE20" s="81" cm="1">
        <f t="array" ref="FE20">_xlfn.IFS(FD20&gt;$FD$60, 3, FD20&lt;$FD$59, 1, FD20&gt;$FD$59, 2)</f>
        <v>2</v>
      </c>
      <c r="FF20" s="44">
        <v>0</v>
      </c>
      <c r="FG20" s="61" cm="1">
        <f t="array" ref="FG20">_xlfn.IFS(FF20&lt;$FF$59, 1, FF20&gt;$FF$60, 3, FF20 = $FF$60, 3, FF20&lt;$FF$60, 2)</f>
        <v>1</v>
      </c>
      <c r="FH20" s="97">
        <f t="shared" si="6"/>
        <v>1.6</v>
      </c>
      <c r="FI20" s="102">
        <v>12</v>
      </c>
      <c r="FJ20" s="44">
        <v>5</v>
      </c>
      <c r="FK20" s="98">
        <f t="shared" si="7"/>
        <v>17</v>
      </c>
      <c r="FL20" s="98" cm="1">
        <f t="array" ref="FL20">_xlfn.IFS(FK20&gt;$FK$60, 3, FK20&lt;$FK$59, 1, FK20&gt;$FK$59, 2, FK20=$FK$59, 2)</f>
        <v>3</v>
      </c>
      <c r="FM20" s="99">
        <f t="shared" si="8"/>
        <v>3</v>
      </c>
    </row>
    <row r="21" spans="1:169" ht="20.100000000000001" customHeight="1">
      <c r="A21" s="38" t="s">
        <v>112</v>
      </c>
      <c r="B21" s="44" t="s">
        <v>541</v>
      </c>
      <c r="C21" s="44">
        <v>1</v>
      </c>
      <c r="D21" s="44" t="s">
        <v>542</v>
      </c>
      <c r="E21" s="44">
        <v>1</v>
      </c>
      <c r="F21" s="61" t="s">
        <v>543</v>
      </c>
      <c r="G21" s="61" cm="1">
        <f t="array" ref="G21">_xlfn.IFS(F21= "Yes", 3, F21 &lt;&gt; "Yes", 1)</f>
        <v>1</v>
      </c>
      <c r="H21" s="44" t="s">
        <v>543</v>
      </c>
      <c r="I21" s="44">
        <v>1</v>
      </c>
      <c r="J21" s="44" t="s">
        <v>543</v>
      </c>
      <c r="K21" s="44">
        <v>1</v>
      </c>
      <c r="L21" s="193">
        <f t="shared" si="37"/>
        <v>0.99999999999999989</v>
      </c>
      <c r="M21" s="44" t="s">
        <v>543</v>
      </c>
      <c r="N21" s="44">
        <v>1</v>
      </c>
      <c r="O21" s="44" t="s">
        <v>543</v>
      </c>
      <c r="P21" s="44">
        <v>1</v>
      </c>
      <c r="Q21" s="44" t="s">
        <v>543</v>
      </c>
      <c r="R21" s="44">
        <v>1</v>
      </c>
      <c r="S21" s="48" t="s">
        <v>543</v>
      </c>
      <c r="T21" s="44">
        <v>1</v>
      </c>
      <c r="U21" s="44" t="s">
        <v>543</v>
      </c>
      <c r="V21" s="44">
        <v>1</v>
      </c>
      <c r="W21" s="44" t="s">
        <v>543</v>
      </c>
      <c r="X21" s="44">
        <v>1</v>
      </c>
      <c r="Y21" s="39" t="s">
        <v>543</v>
      </c>
      <c r="Z21" s="44">
        <v>1</v>
      </c>
      <c r="AA21" s="72">
        <f t="shared" si="9"/>
        <v>0.99999999999999978</v>
      </c>
      <c r="AB21" s="103" t="s">
        <v>586</v>
      </c>
      <c r="AC21" s="44" t="s">
        <v>545</v>
      </c>
      <c r="AD21" s="44">
        <v>2</v>
      </c>
      <c r="AE21" s="44" t="s">
        <v>543</v>
      </c>
      <c r="AF21" s="44" cm="1">
        <f t="array" ref="AF21">_xlfn.IFS(AE21="NA", 1, AE21="No", 1, AE21="Yes, implicit", 2, AE21="Yes, explicit", 3)</f>
        <v>1</v>
      </c>
      <c r="AG21" s="44" t="s">
        <v>543</v>
      </c>
      <c r="AH21" s="44" t="s">
        <v>543</v>
      </c>
      <c r="AI21" s="44">
        <v>1</v>
      </c>
      <c r="AJ21" s="73">
        <f t="shared" si="0"/>
        <v>1.5999999999999999</v>
      </c>
      <c r="AK21" s="76" t="s">
        <v>544</v>
      </c>
      <c r="AL21" s="74">
        <f t="shared" si="10"/>
        <v>1</v>
      </c>
      <c r="AM21" s="74" t="s">
        <v>545</v>
      </c>
      <c r="AN21" s="74">
        <f t="shared" si="11"/>
        <v>1</v>
      </c>
      <c r="AO21" s="74" t="s">
        <v>545</v>
      </c>
      <c r="AP21" s="74">
        <f t="shared" si="12"/>
        <v>1</v>
      </c>
      <c r="AQ21" s="75">
        <f t="shared" si="13"/>
        <v>0.30000000000000004</v>
      </c>
      <c r="AR21" s="74" t="s">
        <v>181</v>
      </c>
      <c r="AS21" s="74">
        <f t="shared" si="14"/>
        <v>3</v>
      </c>
      <c r="AT21" s="76" t="s">
        <v>181</v>
      </c>
      <c r="AU21" s="74">
        <f t="shared" si="15"/>
        <v>3</v>
      </c>
      <c r="AV21" s="74">
        <f t="shared" si="16"/>
        <v>0.60000000000000009</v>
      </c>
      <c r="AW21" s="76" t="s">
        <v>545</v>
      </c>
      <c r="AX21" s="195">
        <f t="shared" si="1"/>
        <v>0.4</v>
      </c>
      <c r="AY21" s="76" t="s">
        <v>546</v>
      </c>
      <c r="AZ21" s="76">
        <f t="shared" si="17"/>
        <v>3</v>
      </c>
      <c r="BA21" s="76" t="s">
        <v>181</v>
      </c>
      <c r="BB21" s="74">
        <f t="shared" si="18"/>
        <v>3</v>
      </c>
      <c r="BC21" s="76" t="s">
        <v>181</v>
      </c>
      <c r="BD21" s="74">
        <f t="shared" si="19"/>
        <v>3</v>
      </c>
      <c r="BE21" s="76">
        <f t="shared" si="20"/>
        <v>0.90000000000000013</v>
      </c>
      <c r="BF21" s="76"/>
      <c r="BG21" s="76"/>
      <c r="BH21" s="77">
        <f t="shared" si="38"/>
        <v>0</v>
      </c>
      <c r="BI21" s="77">
        <f t="shared" si="39"/>
        <v>0</v>
      </c>
      <c r="BJ21" s="77">
        <f t="shared" si="40"/>
        <v>0</v>
      </c>
      <c r="BK21" s="77">
        <f t="shared" si="41"/>
        <v>0</v>
      </c>
      <c r="BL21" s="78">
        <f t="shared" si="21"/>
        <v>2.2000000000000002</v>
      </c>
      <c r="BM21" s="76" t="s">
        <v>181</v>
      </c>
      <c r="BN21" s="197" cm="1">
        <f t="array" ref="BN21">_xlfn.IFS(BM21="Y", 3, BM21="N", 2)</f>
        <v>3</v>
      </c>
      <c r="BO21" s="76" t="s">
        <v>545</v>
      </c>
      <c r="BP21" s="197" cm="1">
        <f t="array" ref="BP21">_xlfn.IFS(BO21="Y", 3, BO21="N", 2)</f>
        <v>2</v>
      </c>
      <c r="BQ21" s="79">
        <f t="shared" si="22"/>
        <v>2.25</v>
      </c>
      <c r="BR21" s="44">
        <v>14800</v>
      </c>
      <c r="BS21" s="44">
        <f t="shared" si="23"/>
        <v>14800000</v>
      </c>
      <c r="BT21" s="44">
        <f t="shared" si="24"/>
        <v>23125</v>
      </c>
      <c r="BU21" s="80">
        <v>35826</v>
      </c>
      <c r="BV21" s="81">
        <f t="shared" si="25"/>
        <v>64.548093563333893</v>
      </c>
      <c r="BW21" s="82" cm="1">
        <f t="array" ref="BW21">_xlfn.IFS(BV21&gt;44, 3, BV21&lt;26, 1, 44&gt;BV21&gt;26, 2)</f>
        <v>3</v>
      </c>
      <c r="BX21" s="82">
        <v>19417521</v>
      </c>
      <c r="BY21" s="82" cm="1">
        <f t="array" ref="BY21">_xlfn.IFS(BX21&gt;12000000, 3, BX21&lt;4000000, 1, 4000000&gt;BX21&gt;12000000, 2)</f>
        <v>3</v>
      </c>
      <c r="BZ21" s="80">
        <v>6.448085629598638</v>
      </c>
      <c r="CA21" s="82" cm="1">
        <f t="array" ref="CA21">_xlfn.IFS(BZ21&gt;$BZ$60, 1, BZ21&lt;$BZ$59, 3, BZ21&gt;$BZ$59, 2, BZ21=$BZ$59, 2)</f>
        <v>2</v>
      </c>
      <c r="CB21" s="413">
        <f t="shared" si="26"/>
        <v>2.6500000000000004</v>
      </c>
      <c r="CC21" s="44">
        <v>5212641</v>
      </c>
      <c r="CD21" s="44" cm="1">
        <f t="array" ref="CD21">_xlfn.IFS(CC21&gt;4200000, 3, CC21&lt;1700000, 1, 4200000&gt;CC21&gt;1700000, 2)</f>
        <v>3</v>
      </c>
      <c r="CE21" s="44">
        <v>149521.65000000008</v>
      </c>
      <c r="CF21" s="44" cm="1">
        <f t="array" ref="CF21">_xlfn.IFS(CE21&lt;120000, 1, CE21&gt;620000, 3, 620000&gt;CE21&gt;120000, 2)</f>
        <v>2</v>
      </c>
      <c r="CG21" s="44">
        <v>7943622.3999999976</v>
      </c>
      <c r="CH21" s="44" cm="1">
        <f t="array" ref="CH21">_xlfn.IFS(CG21&lt;300000, 1, CG21&gt;1700000, 3, 300000&gt;CG21&gt;170000, 2)</f>
        <v>3</v>
      </c>
      <c r="CI21" s="44">
        <v>28.983662800000001</v>
      </c>
      <c r="CJ21" s="61" cm="1">
        <f t="array" ref="CJ21">_xlfn.IFS(CI21&lt;$CI$60, 1, CI21&gt;$CI$61, 3, CI21&lt;$CI$61, 2)</f>
        <v>1</v>
      </c>
      <c r="CK21" s="205">
        <f t="shared" si="27"/>
        <v>2.2999999999999998</v>
      </c>
      <c r="CL21" s="44">
        <v>2212261</v>
      </c>
      <c r="CM21" s="48" cm="1">
        <f t="array" ref="CM21">_xlfn.IFS(CL21&gt;4600000, 3, CL21&lt;430000, 1, 4600000&gt;CL21&gt;430000, 2)</f>
        <v>2</v>
      </c>
      <c r="CN21" s="72">
        <f t="shared" si="2"/>
        <v>2</v>
      </c>
      <c r="CO21" s="39">
        <v>0</v>
      </c>
      <c r="CP21" s="65" cm="1">
        <f t="array" ref="CP21">_xlfn.IFS(CO21=0, 1, CO21="active", 3, CO21="permitted", 2)</f>
        <v>1</v>
      </c>
      <c r="CQ21" s="39">
        <v>0</v>
      </c>
      <c r="CR21" s="39" cm="1">
        <f t="array" ref="CR21">_xlfn.IFS(CQ21=0, 1, CQ21&lt;&gt;0, 3)</f>
        <v>1</v>
      </c>
      <c r="CS21" s="72">
        <v>1</v>
      </c>
      <c r="CT21" s="44" t="s">
        <v>545</v>
      </c>
      <c r="CU21" s="82">
        <v>0</v>
      </c>
      <c r="CV21" s="82">
        <v>36420</v>
      </c>
      <c r="CW21" s="39" t="s">
        <v>542</v>
      </c>
      <c r="CX21" s="207" cm="1">
        <f t="array" ref="CX21">_xlfn.IFS(CT21="N", 0, CW21&lt;$CW$61, 2, CW21 = $CW$61, 2, CW21&gt;$CW$61, 3)</f>
        <v>0</v>
      </c>
      <c r="CY21" s="207" t="s">
        <v>542</v>
      </c>
      <c r="CZ21" s="207" t="str" cm="1">
        <f t="array" ref="CZ21">_xlfn.IFS(CY21="NA", "NA", CY21=0, 1, CY21=1, 2, CY21&gt;1, 3)</f>
        <v>NA</v>
      </c>
      <c r="DA21" s="201">
        <f t="shared" si="28"/>
        <v>0</v>
      </c>
      <c r="DB21" s="101">
        <v>1138</v>
      </c>
      <c r="DC21" s="61" cm="1">
        <f t="array" ref="DC21">_xlfn.IFS(DB21&gt;$DB$61, 3, DB21=0, 1, DB21&lt;$DB$61, 2, DB21=$DB$61, 2)</f>
        <v>3</v>
      </c>
      <c r="DD21" s="87">
        <v>17528</v>
      </c>
      <c r="DE21" s="44" cm="1">
        <f t="array" ref="DE21">_xlfn.IFS(DD21&gt;$DD$62, 3, DD21&lt;$DD$60, 1, DD21&gt;$DD$60, 2, DD21=$DD$60, 2)</f>
        <v>3</v>
      </c>
      <c r="DF21" s="44">
        <v>1313</v>
      </c>
      <c r="DG21" s="61" cm="1">
        <f t="array" ref="DG21">_xlfn.IFS(DF21=0, 1, DF21&lt;$DF$61, 2, DF21&gt;$DF$61, 3)</f>
        <v>3</v>
      </c>
      <c r="DH21" s="415">
        <f t="shared" si="29"/>
        <v>2.9999999999999964</v>
      </c>
      <c r="DI21" s="82">
        <v>767532618</v>
      </c>
      <c r="DJ21" s="82">
        <f t="shared" si="30"/>
        <v>87617.878767123286</v>
      </c>
      <c r="DK21" s="88">
        <v>5566.4000000000051</v>
      </c>
      <c r="DL21" s="89">
        <f t="shared" si="31"/>
        <v>6.3530412723124222E-2</v>
      </c>
      <c r="DM21" s="88" cm="1">
        <f t="array" ref="DM21">_xlfn.IFS(DL21&gt;$DL$60,3,(AND(DL21&lt;$DL$60,DL21&gt;$DL$59)),2,DL21&lt;$DL$59,1)</f>
        <v>1</v>
      </c>
      <c r="DN21" s="88">
        <v>12124</v>
      </c>
      <c r="DO21" s="90">
        <f t="shared" si="32"/>
        <v>1.5796071353413151E-2</v>
      </c>
      <c r="DP21" s="88" cm="1">
        <f t="array" ref="DP21">_xlfn.IFS(DO21&gt;DO$60,3,(AND(DO21&lt;DO$60,DO21&gt;DO$59)),2,DO21&lt;DO$59,1)</f>
        <v>2</v>
      </c>
      <c r="DQ21" s="91">
        <v>70016</v>
      </c>
      <c r="DR21" s="92">
        <f t="shared" si="33"/>
        <v>0.41595027119546352</v>
      </c>
      <c r="DS21" s="88" cm="1">
        <f t="array" ref="DS21">_xlfn.IFS(DR21&gt;DR$60,3,(AND(DR21&lt;DR$60,DR21&gt;DR$59)),2,DR21&lt;DR$59,1)</f>
        <v>3</v>
      </c>
      <c r="DT21" s="91" t="s">
        <v>563</v>
      </c>
      <c r="DU21" s="213" cm="1">
        <f t="array" ref="DU21">_xlfn.IFS(DT21="no data","",DT21="40-45", 1, DT21= "45-50", 1, DT21="50-55", 1, DT21 ="30-35", 2, DT21="25-30", 2, DT21="35-40", 2, DT21="20-25", 3, DT21="15-20", 3)</f>
        <v>2</v>
      </c>
      <c r="DV21" s="88">
        <v>4455898117.8013134</v>
      </c>
      <c r="DW21" s="88" cm="1">
        <f t="array" ref="DW21">_xlfn.IFS(DV21&gt;DV$60,3,(AND(DV21&lt;DV$60,DV21&gt;DV$59)),2,DV21&lt;DV$59,1)</f>
        <v>2</v>
      </c>
      <c r="DX21" s="93">
        <v>6</v>
      </c>
      <c r="DY21" s="88" cm="1">
        <f t="array" ref="DY21">_xlfn.IFS(DX21&gt;6.99,1,AND(DX21 &gt; 3, DX21 &lt; 7),2,DX21&lt;3.99,3)</f>
        <v>2</v>
      </c>
      <c r="DZ21" s="94">
        <f t="shared" si="3"/>
        <v>1.7999999999999998</v>
      </c>
      <c r="EA21" s="95">
        <v>632400</v>
      </c>
      <c r="EB21" s="95">
        <v>594800</v>
      </c>
      <c r="EC21" s="82">
        <v>3946</v>
      </c>
      <c r="ED21" s="82">
        <v>0</v>
      </c>
      <c r="EE21" s="82">
        <v>0</v>
      </c>
      <c r="EF21" s="82">
        <f t="shared" si="34"/>
        <v>0</v>
      </c>
      <c r="EG21" s="204" cm="1">
        <f t="array" ref="EG21">_xlfn.IFS(EF21=0, 1, EF21&gt;2, 3, 0&gt;EF21&gt;3,2)</f>
        <v>1</v>
      </c>
      <c r="EH21" s="82">
        <v>0</v>
      </c>
      <c r="EI21" s="82">
        <v>0</v>
      </c>
      <c r="EJ21" s="82">
        <f t="shared" si="35"/>
        <v>0</v>
      </c>
      <c r="EK21" s="82" cm="1">
        <f t="array" ref="EK21">_xlfn.IFS(EH21+EI21=0, 1, EH21+EI21&gt;5, 3, EH21+EI21=5, 2, 0&gt;EH21+EI21&gt;5, 2)</f>
        <v>1</v>
      </c>
      <c r="EL21" s="82">
        <v>0</v>
      </c>
      <c r="EM21" s="82">
        <v>0</v>
      </c>
      <c r="EN21" s="82" cm="1">
        <f t="array" ref="EN21">_xlfn.IFS(EL21+EM21=0, 1, EL21+EM21&gt;10, 3, EL21+EM21 = 10, 2, 0&gt;EL21+EM21&gt;10, 2)</f>
        <v>1</v>
      </c>
      <c r="EO21" s="96">
        <f t="shared" si="4"/>
        <v>1</v>
      </c>
      <c r="EP21" s="44">
        <v>6</v>
      </c>
      <c r="EQ21" s="61" cm="1">
        <f t="array" ref="EQ21">_xlfn.IFS(EP21=0, 1, EP21&gt;$EP$60, 3, EP21&lt;$EP$60, 2)</f>
        <v>3</v>
      </c>
      <c r="ER21" s="100">
        <v>0</v>
      </c>
      <c r="ES21" s="100" cm="1">
        <f t="array" ref="ES21">_xlfn.IFS(ER21=0, 1, ER21&gt;$ER$59, 3, ER21&lt;$ER$59, 2)</f>
        <v>1</v>
      </c>
      <c r="ET21" s="44">
        <v>3</v>
      </c>
      <c r="EU21" s="44" cm="1">
        <f t="array" ref="EU21">_xlfn.IFS(ET21=0, 1, ET21=1, 2, ET21&gt;1, 3)</f>
        <v>3</v>
      </c>
      <c r="EV21" s="413">
        <f t="shared" si="36"/>
        <v>2.2000000000000002</v>
      </c>
      <c r="EW21" s="82">
        <v>66.849999999999994</v>
      </c>
      <c r="EX21" s="210" cm="1">
        <f t="array" ref="EX21">_xlfn.IFS(EW21&gt;EX$60,3,(AND(EW21&lt;EX$60,EW21&gt;EX$59)),2,EW21&lt;EX$59,1)</f>
        <v>3</v>
      </c>
      <c r="EY21" s="82">
        <v>0</v>
      </c>
      <c r="EZ21" s="210" cm="1">
        <f t="array" ref="EZ21">_xlfn.IFS(EY21&gt;EZ$60,3,(AND(EY21&lt;EZ$60,EY21&gt;EZ$59)),2,EY21&lt;EZ$59,1)</f>
        <v>1</v>
      </c>
      <c r="FA21" s="82">
        <v>0</v>
      </c>
      <c r="FB21" s="210" cm="1">
        <f t="array" ref="FB21">_xlfn.IFS(FA21&gt;FB$60,3,(AND(FA21&lt;FB$60,FA21&gt;FB$59)),2,FA21&lt;FB$59,1)</f>
        <v>1</v>
      </c>
      <c r="FC21" s="416">
        <f t="shared" si="5"/>
        <v>2</v>
      </c>
      <c r="FD21" s="81">
        <v>1.4</v>
      </c>
      <c r="FE21" s="81" cm="1">
        <f t="array" ref="FE21">_xlfn.IFS(FD21&gt;$FD$60, 3, FD21&lt;$FD$59, 1, FD21&gt;$FD$59, 2)</f>
        <v>2</v>
      </c>
      <c r="FF21" s="44">
        <v>2</v>
      </c>
      <c r="FG21" s="61" cm="1">
        <f t="array" ref="FG21">_xlfn.IFS(FF21&lt;$FF$59, 1, FF21&gt;$FF$60, 3, FF21 = $FF$60, 3, FF21&lt;$FF$60, 2)</f>
        <v>3</v>
      </c>
      <c r="FH21" s="97">
        <f t="shared" si="6"/>
        <v>2.4000000000000004</v>
      </c>
      <c r="FI21" s="102">
        <v>0</v>
      </c>
      <c r="FJ21" s="44">
        <v>7</v>
      </c>
      <c r="FK21" s="98">
        <f t="shared" si="7"/>
        <v>7</v>
      </c>
      <c r="FL21" s="98" cm="1">
        <f t="array" ref="FL21">_xlfn.IFS(FK21&gt;$FK$60, 3, FK21&lt;$FK$59, 1, FK21&gt;$FK$59, 2, FK21=$FK$59, 2)</f>
        <v>3</v>
      </c>
      <c r="FM21" s="99">
        <f t="shared" si="8"/>
        <v>3</v>
      </c>
    </row>
    <row r="22" spans="1:169" ht="20.100000000000001" customHeight="1">
      <c r="A22" s="38" t="s">
        <v>115</v>
      </c>
      <c r="B22" s="44" t="s">
        <v>541</v>
      </c>
      <c r="C22" s="44">
        <v>1</v>
      </c>
      <c r="D22" s="44" t="s">
        <v>542</v>
      </c>
      <c r="E22" s="44">
        <v>1</v>
      </c>
      <c r="F22" s="61" t="s">
        <v>543</v>
      </c>
      <c r="G22" s="61" cm="1">
        <f t="array" ref="G22">_xlfn.IFS(F22= "Yes", 3, F22 &lt;&gt; "Yes", 1)</f>
        <v>1</v>
      </c>
      <c r="H22" s="44" t="s">
        <v>553</v>
      </c>
      <c r="I22" s="44">
        <v>3</v>
      </c>
      <c r="J22" s="44" t="s">
        <v>543</v>
      </c>
      <c r="K22" s="44">
        <v>1</v>
      </c>
      <c r="L22" s="193">
        <f t="shared" si="37"/>
        <v>1.5</v>
      </c>
      <c r="M22" s="44" t="s">
        <v>543</v>
      </c>
      <c r="N22" s="44">
        <v>1</v>
      </c>
      <c r="O22" s="44" t="s">
        <v>543</v>
      </c>
      <c r="P22" s="44">
        <v>1</v>
      </c>
      <c r="Q22" s="44" t="s">
        <v>543</v>
      </c>
      <c r="R22" s="44">
        <v>1</v>
      </c>
      <c r="S22" s="48" t="s">
        <v>543</v>
      </c>
      <c r="T22" s="44">
        <v>1</v>
      </c>
      <c r="U22" s="44" t="s">
        <v>543</v>
      </c>
      <c r="V22" s="44">
        <v>1</v>
      </c>
      <c r="W22" s="44" t="s">
        <v>543</v>
      </c>
      <c r="X22" s="44">
        <v>1</v>
      </c>
      <c r="Y22" s="39" t="s">
        <v>543</v>
      </c>
      <c r="Z22" s="44">
        <v>1</v>
      </c>
      <c r="AA22" s="72">
        <f t="shared" si="9"/>
        <v>0.99999999999999978</v>
      </c>
      <c r="AB22" s="39" t="s">
        <v>543</v>
      </c>
      <c r="AC22" s="44" t="s">
        <v>542</v>
      </c>
      <c r="AD22" s="44">
        <v>1</v>
      </c>
      <c r="AE22" s="44" t="s">
        <v>543</v>
      </c>
      <c r="AF22" s="44" cm="1">
        <f t="array" ref="AF22">_xlfn.IFS(AE22="NA", 1, AE22="No", 1, AE22="Yes, implicit", 2, AE22="Yes, explicit", 3)</f>
        <v>1</v>
      </c>
      <c r="AG22" s="44" t="s">
        <v>543</v>
      </c>
      <c r="AH22" s="44" t="s">
        <v>543</v>
      </c>
      <c r="AI22" s="44">
        <v>1</v>
      </c>
      <c r="AJ22" s="73">
        <f t="shared" si="0"/>
        <v>1</v>
      </c>
      <c r="AK22" s="76" t="s">
        <v>544</v>
      </c>
      <c r="AL22" s="74">
        <f t="shared" si="10"/>
        <v>1</v>
      </c>
      <c r="AM22" s="74" t="s">
        <v>545</v>
      </c>
      <c r="AN22" s="74">
        <f t="shared" si="11"/>
        <v>1</v>
      </c>
      <c r="AO22" s="74" t="s">
        <v>545</v>
      </c>
      <c r="AP22" s="74">
        <f t="shared" si="12"/>
        <v>1</v>
      </c>
      <c r="AQ22" s="75">
        <f t="shared" si="13"/>
        <v>0.30000000000000004</v>
      </c>
      <c r="AR22" s="74" t="s">
        <v>545</v>
      </c>
      <c r="AS22" s="74">
        <f t="shared" si="14"/>
        <v>1</v>
      </c>
      <c r="AT22" s="74" t="s">
        <v>545</v>
      </c>
      <c r="AU22" s="74">
        <f t="shared" si="15"/>
        <v>1</v>
      </c>
      <c r="AV22" s="74">
        <f t="shared" si="16"/>
        <v>0.2</v>
      </c>
      <c r="AW22" s="76" t="s">
        <v>545</v>
      </c>
      <c r="AX22" s="195">
        <f t="shared" si="1"/>
        <v>0.4</v>
      </c>
      <c r="AY22" s="76" t="s">
        <v>545</v>
      </c>
      <c r="AZ22" s="76">
        <f t="shared" si="17"/>
        <v>1</v>
      </c>
      <c r="BA22" s="76" t="s">
        <v>181</v>
      </c>
      <c r="BB22" s="74">
        <f t="shared" si="18"/>
        <v>3</v>
      </c>
      <c r="BC22" s="76" t="s">
        <v>181</v>
      </c>
      <c r="BD22" s="74">
        <f t="shared" si="19"/>
        <v>3</v>
      </c>
      <c r="BE22" s="76">
        <f t="shared" si="20"/>
        <v>0.70000000000000007</v>
      </c>
      <c r="BF22" s="76"/>
      <c r="BG22" s="76"/>
      <c r="BH22" s="77">
        <f t="shared" si="38"/>
        <v>0</v>
      </c>
      <c r="BI22" s="77">
        <f t="shared" si="39"/>
        <v>0</v>
      </c>
      <c r="BJ22" s="77">
        <f t="shared" si="40"/>
        <v>0</v>
      </c>
      <c r="BK22" s="77">
        <f t="shared" si="41"/>
        <v>0</v>
      </c>
      <c r="BL22" s="78">
        <f t="shared" si="21"/>
        <v>1.6</v>
      </c>
      <c r="BM22" s="76" t="s">
        <v>545</v>
      </c>
      <c r="BN22" s="197" cm="1">
        <f t="array" ref="BN22">_xlfn.IFS(BM22="Y", 3, BM22="N", 2)</f>
        <v>2</v>
      </c>
      <c r="BO22" s="76" t="s">
        <v>545</v>
      </c>
      <c r="BP22" s="197" cm="1">
        <f t="array" ref="BP22">_xlfn.IFS(BO22="Y", 3, BO22="N", 2)</f>
        <v>2</v>
      </c>
      <c r="BQ22" s="79">
        <f>SUMPRODUCT($BM$6:$BP$6, BM22:BP22)</f>
        <v>2</v>
      </c>
      <c r="BR22" s="44">
        <v>30500</v>
      </c>
      <c r="BS22" s="44">
        <f t="shared" si="23"/>
        <v>30500000</v>
      </c>
      <c r="BT22" s="44">
        <f t="shared" si="24"/>
        <v>47656.25</v>
      </c>
      <c r="BU22" s="80">
        <v>55857</v>
      </c>
      <c r="BV22" s="81">
        <f t="shared" si="25"/>
        <v>85.318312834559691</v>
      </c>
      <c r="BW22" s="82" cm="1">
        <f t="array" ref="BW22">_xlfn.IFS(BV22&gt;44, 3, BV22&lt;26, 1, 44&gt;BV22&gt;26, 2)</f>
        <v>3</v>
      </c>
      <c r="BX22" s="82">
        <v>47406537</v>
      </c>
      <c r="BY22" s="82" cm="1">
        <f t="array" ref="BY22">_xlfn.IFS(BX22&gt;12000000, 3, BX22&lt;4000000, 1, 4000000&gt;BX22&gt;12000000, 2)</f>
        <v>3</v>
      </c>
      <c r="BZ22" s="80">
        <v>6.7009911757370917</v>
      </c>
      <c r="CA22" s="82" cm="1">
        <f t="array" ref="CA22">_xlfn.IFS(BZ22&gt;$BZ$60, 1, BZ22&lt;$BZ$59, 3, BZ22&gt;$BZ$59, 2, BZ22=$BZ$59, 2)</f>
        <v>2</v>
      </c>
      <c r="CB22" s="413">
        <f t="shared" si="26"/>
        <v>2.6500000000000004</v>
      </c>
      <c r="CC22" s="44">
        <v>6576260</v>
      </c>
      <c r="CD22" s="44" cm="1">
        <f t="array" ref="CD22">_xlfn.IFS(CC22&gt;4200000, 3, CC22&lt;1700000, 1, 4200000&gt;CC22&gt;1700000, 2)</f>
        <v>3</v>
      </c>
      <c r="CE22" s="44">
        <v>119455.85</v>
      </c>
      <c r="CF22" s="44" cm="1">
        <f t="array" ref="CF22">_xlfn.IFS(CE22&lt;120000, 1, CE22&gt;620000, 3, 620000&gt;CE22&gt;120000, 2)</f>
        <v>1</v>
      </c>
      <c r="CG22" s="44">
        <v>17475328.000000004</v>
      </c>
      <c r="CH22" s="44" cm="1">
        <f t="array" ref="CH22">_xlfn.IFS(CG22&lt;300000, 1, CG22&gt;1700000, 3, 300000&gt;CG22&gt;170000, 2)</f>
        <v>3</v>
      </c>
      <c r="CI22" s="44">
        <v>30.033070120000001</v>
      </c>
      <c r="CJ22" s="61" cm="1">
        <f t="array" ref="CJ22">_xlfn.IFS(CI22&lt;$CI$60, 1, CI22&gt;$CI$61, 3, CI22&lt;$CI$61, 2)</f>
        <v>1</v>
      </c>
      <c r="CK22" s="205">
        <f t="shared" si="27"/>
        <v>2.0999999999999996</v>
      </c>
      <c r="CL22" s="44">
        <v>5233443</v>
      </c>
      <c r="CM22" s="48" cm="1">
        <f t="array" ref="CM22">_xlfn.IFS(CL22&gt;4600000, 3, CL22&lt;430000, 1, 4600000&gt;CL22&gt;430000, 2)</f>
        <v>3</v>
      </c>
      <c r="CN22" s="72">
        <f t="shared" si="2"/>
        <v>3</v>
      </c>
      <c r="CO22" s="39">
        <v>0</v>
      </c>
      <c r="CP22" s="65" cm="1">
        <f t="array" ref="CP22">_xlfn.IFS(CO22=0, 1, CO22="active", 3, CO22="permitted", 2)</f>
        <v>1</v>
      </c>
      <c r="CQ22" s="39">
        <v>0</v>
      </c>
      <c r="CR22" s="39" cm="1">
        <f t="array" ref="CR22">_xlfn.IFS(CQ22=0, 1, CQ22&lt;&gt;0, 3)</f>
        <v>1</v>
      </c>
      <c r="CS22" s="72">
        <v>1</v>
      </c>
      <c r="CT22" s="44" t="s">
        <v>545</v>
      </c>
      <c r="CU22" s="82">
        <v>0</v>
      </c>
      <c r="CV22" s="82">
        <v>56273</v>
      </c>
      <c r="CW22" s="39" t="s">
        <v>542</v>
      </c>
      <c r="CX22" s="207" cm="1">
        <f t="array" ref="CX22">_xlfn.IFS(CT22="N", 0, CW22&lt;$CW$61, 2, CW22 = $CW$61, 2, CW22&gt;$CW$61, 3)</f>
        <v>0</v>
      </c>
      <c r="CY22" s="207" t="s">
        <v>542</v>
      </c>
      <c r="CZ22" s="207" t="str" cm="1">
        <f t="array" ref="CZ22">_xlfn.IFS(CY22="NA", "NA", CY22=0, 1, CY22=1, 2, CY22&gt;1, 3)</f>
        <v>NA</v>
      </c>
      <c r="DA22" s="201">
        <f t="shared" si="28"/>
        <v>0</v>
      </c>
      <c r="DB22" s="86">
        <v>5</v>
      </c>
      <c r="DC22" s="61" cm="1">
        <f t="array" ref="DC22">_xlfn.IFS(DB22&gt;$DB$61, 3, DB22=0, 1, DB22&lt;$DB$61, 2, DB22=$DB$61, 2)</f>
        <v>2</v>
      </c>
      <c r="DD22" s="87">
        <v>5633</v>
      </c>
      <c r="DE22" s="44" cm="1">
        <f t="array" ref="DE22">_xlfn.IFS(DD22&gt;$DD$62, 3, DD22&lt;$DD$60, 1, DD22&gt;$DD$60, 2, DD22=$DD$60, 2)</f>
        <v>2</v>
      </c>
      <c r="DF22" s="44">
        <v>0</v>
      </c>
      <c r="DG22" s="61" cm="1">
        <f t="array" ref="DG22">_xlfn.IFS(DF22=0, 1, DF22&lt;$DF$61, 2, DF22&gt;$DF$61, 3)</f>
        <v>1</v>
      </c>
      <c r="DH22" s="415">
        <f t="shared" si="29"/>
        <v>1.666666666666665</v>
      </c>
      <c r="DI22" s="82">
        <v>417111349</v>
      </c>
      <c r="DJ22" s="82">
        <f t="shared" si="30"/>
        <v>47615.450799086757</v>
      </c>
      <c r="DK22" s="88">
        <v>13247.299999999997</v>
      </c>
      <c r="DL22" s="89">
        <f t="shared" si="31"/>
        <v>0.27821431442278971</v>
      </c>
      <c r="DM22" s="88" cm="1">
        <f t="array" ref="DM22">_xlfn.IFS(DL22&gt;$DL$60,3,(AND(DL22&lt;$DL$60,DL22&gt;$DL$59)),2,DL22&lt;$DL$59,1)</f>
        <v>3</v>
      </c>
      <c r="DN22" s="88">
        <v>43348</v>
      </c>
      <c r="DO22" s="90">
        <f t="shared" si="32"/>
        <v>0.10392428809219478</v>
      </c>
      <c r="DP22" s="88" cm="1">
        <f t="array" ref="DP22">_xlfn.IFS(DO22&gt;DO$60,3,(AND(DO22&lt;DO$60,DO22&gt;DO$59)),2,DO22&lt;DO$59,1)</f>
        <v>3</v>
      </c>
      <c r="DQ22" s="91">
        <v>14323.4</v>
      </c>
      <c r="DR22" s="92">
        <f t="shared" si="33"/>
        <v>0.16691341468913801</v>
      </c>
      <c r="DS22" s="88" cm="1">
        <f t="array" ref="DS22">_xlfn.IFS(DR22&gt;DR$60,3,(AND(DR22&lt;DR$60,DR22&gt;DR$59)),2,DR22&lt;DR$59,1)</f>
        <v>1</v>
      </c>
      <c r="DT22" s="91" t="s">
        <v>587</v>
      </c>
      <c r="DU22" s="213" cm="1">
        <f t="array" ref="DU22">_xlfn.IFS(DT22="no data","",DT22="40-45", 1, DT22= "45-50", 1, DT22="50-55", 1, DT22 ="30-35", 2, DT22="25-30", 2, DT22="35-40", 2, DT22="20-25", 3, DT22="15-20", 3)</f>
        <v>2</v>
      </c>
      <c r="DV22" s="88">
        <v>7275272825.2878647</v>
      </c>
      <c r="DW22" s="88" cm="1">
        <f t="array" ref="DW22">_xlfn.IFS(DV22&gt;DV$60,3,(AND(DV22&lt;DV$60,DV22&gt;DV$59)),2,DV22&lt;DV$59,1)</f>
        <v>2</v>
      </c>
      <c r="DX22" s="93">
        <v>5</v>
      </c>
      <c r="DY22" s="88" cm="1">
        <f t="array" ref="DY22">_xlfn.IFS(DX22&gt;6.99,1,AND(DX22 &gt; 3, DX22 &lt; 7),2,DX22&lt;3.99,3)</f>
        <v>2</v>
      </c>
      <c r="DZ22" s="94">
        <f t="shared" si="3"/>
        <v>2.5000000000000004</v>
      </c>
      <c r="EA22" s="95">
        <v>517100</v>
      </c>
      <c r="EB22" s="95">
        <v>257300</v>
      </c>
      <c r="EC22" s="82">
        <v>3827</v>
      </c>
      <c r="ED22" s="82">
        <v>0</v>
      </c>
      <c r="EE22" s="82">
        <v>0</v>
      </c>
      <c r="EF22" s="82">
        <f t="shared" si="34"/>
        <v>0</v>
      </c>
      <c r="EG22" s="204" cm="1">
        <f t="array" ref="EG22">_xlfn.IFS(EF22=0, 1, EF22&gt;2, 3, 0&gt;EF22&gt;3,2)</f>
        <v>1</v>
      </c>
      <c r="EH22" s="82">
        <v>0</v>
      </c>
      <c r="EI22" s="82">
        <v>0</v>
      </c>
      <c r="EJ22" s="82">
        <f t="shared" si="35"/>
        <v>0</v>
      </c>
      <c r="EK22" s="82" cm="1">
        <f t="array" ref="EK22">_xlfn.IFS(EH22+EI22=0, 1, EH22+EI22&gt;5, 3, EH22+EI22=5, 2, 0&gt;EH22+EI22&gt;5, 2)</f>
        <v>1</v>
      </c>
      <c r="EL22" s="82">
        <v>0</v>
      </c>
      <c r="EM22" s="82">
        <v>0</v>
      </c>
      <c r="EN22" s="82" cm="1">
        <f t="array" ref="EN22">_xlfn.IFS(EL22+EM22=0, 1, EL22+EM22&gt;10, 3, EL22+EM22 = 10, 2, 0&gt;EL22+EM22&gt;10, 2)</f>
        <v>1</v>
      </c>
      <c r="EO22" s="96">
        <f t="shared" si="4"/>
        <v>1</v>
      </c>
      <c r="EP22" s="44">
        <v>7</v>
      </c>
      <c r="EQ22" s="61" cm="1">
        <f t="array" ref="EQ22">_xlfn.IFS(EP22=0, 1, EP22&gt;$EP$60, 3, EP22&lt;$EP$60, 2)</f>
        <v>3</v>
      </c>
      <c r="ER22" s="100">
        <v>0</v>
      </c>
      <c r="ES22" s="100" cm="1">
        <f t="array" ref="ES22">_xlfn.IFS(ER22=0, 1, ER22&gt;$ER$59, 3, ER22&lt;$ER$59, 2)</f>
        <v>1</v>
      </c>
      <c r="ET22" s="44">
        <v>0</v>
      </c>
      <c r="EU22" s="44" cm="1">
        <f t="array" ref="EU22">_xlfn.IFS(ET22=0, 1, ET22=1, 2, ET22&gt;1, 3)</f>
        <v>1</v>
      </c>
      <c r="EV22" s="413">
        <f t="shared" si="36"/>
        <v>1.4</v>
      </c>
      <c r="EW22" s="82">
        <v>0.01</v>
      </c>
      <c r="EX22" s="210" cm="1">
        <f t="array" ref="EX22">_xlfn.IFS(EW22&gt;EX$60,3,(AND(EW22&lt;EX$60,EW22&gt;EX$59)),2,EW22&lt;EX$59,1)</f>
        <v>1</v>
      </c>
      <c r="EY22" s="82">
        <v>0</v>
      </c>
      <c r="EZ22" s="210" cm="1">
        <f t="array" ref="EZ22">_xlfn.IFS(EY22&gt;EZ$60,3,(AND(EY22&lt;EZ$60,EY22&gt;EZ$59)),2,EY22&lt;EZ$59,1)</f>
        <v>1</v>
      </c>
      <c r="FA22" s="82">
        <v>0</v>
      </c>
      <c r="FB22" s="210" cm="1">
        <f t="array" ref="FB22">_xlfn.IFS(FA22&gt;FB$60,3,(AND(FA22&lt;FB$60,FA22&gt;FB$59)),2,FA22&lt;FB$59,1)</f>
        <v>1</v>
      </c>
      <c r="FC22" s="416">
        <f t="shared" si="5"/>
        <v>1</v>
      </c>
      <c r="FD22" s="81">
        <v>0.86</v>
      </c>
      <c r="FE22" s="81" cm="1">
        <f t="array" ref="FE22">_xlfn.IFS(FD22&gt;$FD$60, 3, FD22&lt;$FD$59, 1, FD22&gt;$FD$59, 2)</f>
        <v>2</v>
      </c>
      <c r="FF22" s="44">
        <v>4</v>
      </c>
      <c r="FG22" s="61" cm="1">
        <f t="array" ref="FG22">_xlfn.IFS(FF22&lt;$FF$59, 1, FF22&gt;$FF$60, 3, FF22 = $FF$60, 3, FF22&lt;$FF$60, 2)</f>
        <v>3</v>
      </c>
      <c r="FH22" s="97">
        <f t="shared" si="6"/>
        <v>2.4000000000000004</v>
      </c>
      <c r="FI22" s="102">
        <v>16</v>
      </c>
      <c r="FJ22" s="44">
        <v>6</v>
      </c>
      <c r="FK22" s="98">
        <f t="shared" si="7"/>
        <v>22</v>
      </c>
      <c r="FL22" s="98" cm="1">
        <f t="array" ref="FL22">_xlfn.IFS(FK22&gt;$FK$60, 3, FK22&lt;$FK$59, 1, FK22&gt;$FK$59, 2, FK22=$FK$59, 2)</f>
        <v>3</v>
      </c>
      <c r="FM22" s="99">
        <f t="shared" si="8"/>
        <v>3</v>
      </c>
    </row>
    <row r="23" spans="1:169" ht="20.100000000000001" customHeight="1">
      <c r="A23" s="38" t="s">
        <v>118</v>
      </c>
      <c r="B23" s="44" t="s">
        <v>541</v>
      </c>
      <c r="C23" s="44">
        <v>1</v>
      </c>
      <c r="D23" s="44" t="s">
        <v>542</v>
      </c>
      <c r="E23" s="44">
        <v>1</v>
      </c>
      <c r="F23" s="61" t="s">
        <v>543</v>
      </c>
      <c r="G23" s="61" cm="1">
        <f t="array" ref="G23">_xlfn.IFS(F23= "Yes", 3, F23 &lt;&gt; "Yes", 1)</f>
        <v>1</v>
      </c>
      <c r="H23" s="44" t="s">
        <v>543</v>
      </c>
      <c r="I23" s="44">
        <v>1</v>
      </c>
      <c r="J23" s="44" t="s">
        <v>543</v>
      </c>
      <c r="K23" s="44">
        <v>1</v>
      </c>
      <c r="L23" s="193">
        <f t="shared" si="37"/>
        <v>0.99999999999999989</v>
      </c>
      <c r="M23" s="44" t="s">
        <v>543</v>
      </c>
      <c r="N23" s="44"/>
      <c r="O23" s="44" t="s">
        <v>543</v>
      </c>
      <c r="P23" s="44">
        <v>1</v>
      </c>
      <c r="Q23" s="44" t="s">
        <v>543</v>
      </c>
      <c r="R23" s="44">
        <v>1</v>
      </c>
      <c r="S23" s="48" t="s">
        <v>543</v>
      </c>
      <c r="T23" s="44">
        <v>1</v>
      </c>
      <c r="U23" s="44" t="s">
        <v>543</v>
      </c>
      <c r="V23" s="44">
        <v>1</v>
      </c>
      <c r="W23" s="44" t="s">
        <v>543</v>
      </c>
      <c r="X23" s="44">
        <v>1</v>
      </c>
      <c r="Y23" s="39" t="s">
        <v>543</v>
      </c>
      <c r="Z23" s="44">
        <v>1</v>
      </c>
      <c r="AA23" s="72">
        <f t="shared" si="9"/>
        <v>0.79999999999999993</v>
      </c>
      <c r="AB23" s="39" t="s">
        <v>543</v>
      </c>
      <c r="AC23" s="44" t="s">
        <v>542</v>
      </c>
      <c r="AD23" s="44">
        <v>1</v>
      </c>
      <c r="AE23" s="44" t="s">
        <v>543</v>
      </c>
      <c r="AF23" s="44" cm="1">
        <f t="array" ref="AF23">_xlfn.IFS(AE23="NA", 1, AE23="No", 1, AE23="Yes, implicit", 2, AE23="Yes, explicit", 3)</f>
        <v>1</v>
      </c>
      <c r="AG23" s="44" t="s">
        <v>543</v>
      </c>
      <c r="AH23" s="44" t="s">
        <v>543</v>
      </c>
      <c r="AI23" s="44">
        <v>1</v>
      </c>
      <c r="AJ23" s="73">
        <f t="shared" si="0"/>
        <v>1</v>
      </c>
      <c r="AK23" s="76" t="s">
        <v>544</v>
      </c>
      <c r="AL23" s="74">
        <f t="shared" si="10"/>
        <v>1</v>
      </c>
      <c r="AM23" s="74" t="s">
        <v>545</v>
      </c>
      <c r="AN23" s="74">
        <f t="shared" si="11"/>
        <v>1</v>
      </c>
      <c r="AO23" s="74" t="s">
        <v>545</v>
      </c>
      <c r="AP23" s="74">
        <f t="shared" si="12"/>
        <v>1</v>
      </c>
      <c r="AQ23" s="75">
        <f t="shared" si="13"/>
        <v>0.30000000000000004</v>
      </c>
      <c r="AR23" s="74" t="s">
        <v>545</v>
      </c>
      <c r="AS23" s="74">
        <f t="shared" si="14"/>
        <v>1</v>
      </c>
      <c r="AT23" s="76" t="s">
        <v>181</v>
      </c>
      <c r="AU23" s="74">
        <f t="shared" si="15"/>
        <v>3</v>
      </c>
      <c r="AV23" s="74">
        <f t="shared" si="16"/>
        <v>0.4</v>
      </c>
      <c r="AW23" s="76" t="s">
        <v>545</v>
      </c>
      <c r="AX23" s="195">
        <f t="shared" si="1"/>
        <v>0.4</v>
      </c>
      <c r="AY23" s="76" t="s">
        <v>545</v>
      </c>
      <c r="AZ23" s="76">
        <f t="shared" si="17"/>
        <v>1</v>
      </c>
      <c r="BA23" s="76" t="s">
        <v>545</v>
      </c>
      <c r="BB23" s="74">
        <f t="shared" si="18"/>
        <v>1</v>
      </c>
      <c r="BC23" s="76" t="s">
        <v>545</v>
      </c>
      <c r="BD23" s="74">
        <f t="shared" si="19"/>
        <v>1</v>
      </c>
      <c r="BE23" s="76">
        <f t="shared" si="20"/>
        <v>0.30000000000000004</v>
      </c>
      <c r="BF23" s="76"/>
      <c r="BG23" s="76"/>
      <c r="BH23" s="77">
        <f t="shared" si="38"/>
        <v>0</v>
      </c>
      <c r="BI23" s="77">
        <f t="shared" si="39"/>
        <v>0</v>
      </c>
      <c r="BJ23" s="77">
        <f t="shared" si="40"/>
        <v>0</v>
      </c>
      <c r="BK23" s="77">
        <f t="shared" si="41"/>
        <v>0</v>
      </c>
      <c r="BL23" s="78">
        <f t="shared" si="21"/>
        <v>1.4000000000000001</v>
      </c>
      <c r="BM23" s="76" t="s">
        <v>181</v>
      </c>
      <c r="BN23" s="197" cm="1">
        <f t="array" ref="BN23">_xlfn.IFS(BM23="Y", 3, BM23="N", 2)</f>
        <v>3</v>
      </c>
      <c r="BO23" s="76" t="s">
        <v>181</v>
      </c>
      <c r="BP23" s="197" cm="1">
        <f t="array" ref="BP23">_xlfn.IFS(BO23="Y", 3, BO23="N", 2)</f>
        <v>3</v>
      </c>
      <c r="BQ23" s="79">
        <f t="shared" si="22"/>
        <v>3</v>
      </c>
      <c r="BR23" s="44">
        <v>45700</v>
      </c>
      <c r="BS23" s="44">
        <f t="shared" si="23"/>
        <v>45700000</v>
      </c>
      <c r="BT23" s="44">
        <f t="shared" si="24"/>
        <v>71406.25</v>
      </c>
      <c r="BU23" s="80">
        <v>81759</v>
      </c>
      <c r="BV23" s="81">
        <f t="shared" si="25"/>
        <v>87.337479665847184</v>
      </c>
      <c r="BW23" s="82" cm="1">
        <f t="array" ref="BW23">_xlfn.IFS(BV23&gt;44, 3, BV23&lt;26, 1, 44&gt;BV23&gt;26, 2)</f>
        <v>3</v>
      </c>
      <c r="BX23" s="82">
        <v>24902762</v>
      </c>
      <c r="BY23" s="82" cm="1">
        <f t="array" ref="BY23">_xlfn.IFS(BX23&gt;12000000, 3, BX23&lt;4000000, 1, 4000000&gt;BX23&gt;12000000, 2)</f>
        <v>3</v>
      </c>
      <c r="BZ23" s="80">
        <v>7.3169491751658944</v>
      </c>
      <c r="CA23" s="82" cm="1">
        <f t="array" ref="CA23">_xlfn.IFS(BZ23&gt;$BZ$60, 1, BZ23&lt;$BZ$59, 3, BZ23&gt;$BZ$59, 2, BZ23=$BZ$59, 2)</f>
        <v>1</v>
      </c>
      <c r="CB23" s="413">
        <f t="shared" si="26"/>
        <v>2.3000000000000003</v>
      </c>
      <c r="CC23" s="44">
        <v>4405791</v>
      </c>
      <c r="CD23" s="44" cm="1">
        <f t="array" ref="CD23">_xlfn.IFS(CC23&gt;4200000, 3, CC23&lt;1700000, 1, 4200000&gt;CC23&gt;1700000, 2)</f>
        <v>3</v>
      </c>
      <c r="CE23" s="44">
        <v>71593.619999999981</v>
      </c>
      <c r="CF23" s="44" cm="1">
        <f t="array" ref="CF23">_xlfn.IFS(CE23&lt;120000, 1, CE23&gt;620000, 3, 620000&gt;CE23&gt;120000, 2)</f>
        <v>1</v>
      </c>
      <c r="CG23" s="44">
        <v>4677318.4000000004</v>
      </c>
      <c r="CH23" s="44" cm="1">
        <f t="array" ref="CH23">_xlfn.IFS(CG23&lt;300000, 1, CG23&gt;1700000, 3, 300000&gt;CG23&gt;170000, 2)</f>
        <v>3</v>
      </c>
      <c r="CI23" s="44">
        <v>48.239928489999997</v>
      </c>
      <c r="CJ23" s="61" cm="1">
        <f t="array" ref="CJ23">_xlfn.IFS(CI23&lt;$CI$60, 1, CI23&gt;$CI$61, 3, CI23&lt;$CI$61, 2)</f>
        <v>2</v>
      </c>
      <c r="CK23" s="205">
        <f t="shared" si="27"/>
        <v>2.3499999999999996</v>
      </c>
      <c r="CL23" s="108">
        <v>47000000</v>
      </c>
      <c r="CM23" s="48" cm="1">
        <f t="array" ref="CM23">_xlfn.IFS(CL23&gt;4600000, 3, CL23&lt;430000, 1, 4600000&gt;CL23&gt;430000, 2)</f>
        <v>3</v>
      </c>
      <c r="CN23" s="72">
        <f t="shared" si="2"/>
        <v>3</v>
      </c>
      <c r="CO23" s="39">
        <v>0</v>
      </c>
      <c r="CP23" s="65" cm="1">
        <f t="array" ref="CP23">_xlfn.IFS(CO23=0, 1, CO23="active", 3, CO23="permitted", 2)</f>
        <v>1</v>
      </c>
      <c r="CQ23" s="39">
        <v>0</v>
      </c>
      <c r="CR23" s="39" cm="1">
        <f t="array" ref="CR23">_xlfn.IFS(CQ23=0, 1, CQ23&lt;&gt;0, 3)</f>
        <v>1</v>
      </c>
      <c r="CS23" s="72">
        <v>1</v>
      </c>
      <c r="CT23" s="44" t="s">
        <v>545</v>
      </c>
      <c r="CU23" s="82">
        <v>0</v>
      </c>
      <c r="CV23" s="82">
        <v>82278</v>
      </c>
      <c r="CW23" s="39" t="s">
        <v>542</v>
      </c>
      <c r="CX23" s="207" cm="1">
        <f t="array" ref="CX23">_xlfn.IFS(CT23="N", 0, CW23&lt;$CW$61, 2, CW23 = $CW$61, 2, CW23&gt;$CW$61, 3)</f>
        <v>0</v>
      </c>
      <c r="CY23" s="207" t="s">
        <v>542</v>
      </c>
      <c r="CZ23" s="207" t="str" cm="1">
        <f t="array" ref="CZ23">_xlfn.IFS(CY23="NA", "NA", CY23=0, 1, CY23=1, 2, CY23&gt;1, 3)</f>
        <v>NA</v>
      </c>
      <c r="DA23" s="201">
        <f t="shared" si="28"/>
        <v>0</v>
      </c>
      <c r="DB23" s="101">
        <v>16311</v>
      </c>
      <c r="DC23" s="61" cm="1">
        <f t="array" ref="DC23">_xlfn.IFS(DB23&gt;$DB$61, 3, DB23=0, 1, DB23&lt;$DB$61, 2, DB23=$DB$61, 2)</f>
        <v>3</v>
      </c>
      <c r="DD23" s="87">
        <v>9883</v>
      </c>
      <c r="DE23" s="44" cm="1">
        <f t="array" ref="DE23">_xlfn.IFS(DD23&gt;$DD$62, 3, DD23&lt;$DD$60, 1, DD23&gt;$DD$60, 2, DD23=$DD$60, 2)</f>
        <v>2</v>
      </c>
      <c r="DF23" s="44">
        <v>5349</v>
      </c>
      <c r="DG23" s="61" cm="1">
        <f t="array" ref="DG23">_xlfn.IFS(DF23=0, 1, DF23&lt;$DF$61, 2, DF23&gt;$DF$61, 3)</f>
        <v>3</v>
      </c>
      <c r="DH23" s="415">
        <f t="shared" si="29"/>
        <v>2.6666666666666634</v>
      </c>
      <c r="DI23" s="82">
        <v>293282081</v>
      </c>
      <c r="DJ23" s="82">
        <f t="shared" si="30"/>
        <v>33479.689611872149</v>
      </c>
      <c r="DK23" s="88">
        <v>9786.6999999999989</v>
      </c>
      <c r="DL23" s="89">
        <f t="shared" si="31"/>
        <v>0.29231752484734991</v>
      </c>
      <c r="DM23" s="88" cm="1">
        <f t="array" ref="DM23">_xlfn.IFS(DL23&gt;$DL$60,3,(AND(DL23&lt;$DL$60,DL23&gt;$DL$59)),2,DL23&lt;$DL$59,1)</f>
        <v>3</v>
      </c>
      <c r="DN23" s="88">
        <v>27618</v>
      </c>
      <c r="DO23" s="90">
        <f t="shared" si="32"/>
        <v>9.4168726250957013E-2</v>
      </c>
      <c r="DP23" s="88" cm="1">
        <f t="array" ref="DP23">_xlfn.IFS(DO23&gt;DO$60,3,(AND(DO23&lt;DO$60,DO23&gt;DO$59)),2,DO23&lt;DO$59,1)</f>
        <v>3</v>
      </c>
      <c r="DQ23" s="91">
        <v>31914</v>
      </c>
      <c r="DR23" s="92">
        <f t="shared" si="33"/>
        <v>0.34536938726151029</v>
      </c>
      <c r="DS23" s="88" cm="1">
        <f t="array" ref="DS23">_xlfn.IFS(DR23&gt;DR$60,3,(AND(DR23&lt;DR$60,DR23&gt;DR$59)),2,DR23&lt;DR$59,1)</f>
        <v>3</v>
      </c>
      <c r="DT23" s="91" t="s">
        <v>563</v>
      </c>
      <c r="DU23" s="213" cm="1">
        <f t="array" ref="DU23">_xlfn.IFS(DT23="no data","",DT23="40-45", 1, DT23= "45-50", 1, DT23="50-55", 1, DT23 ="30-35", 2, DT23="25-30", 2, DT23="35-40", 2, DT23="20-25", 3, DT23="15-20", 3)</f>
        <v>2</v>
      </c>
      <c r="DV23" s="88">
        <v>30628691821.690174</v>
      </c>
      <c r="DW23" s="88" cm="1">
        <f t="array" ref="DW23">_xlfn.IFS(DV23&gt;DV$60,3,(AND(DV23&lt;DV$60,DV23&gt;DV$59)),2,DV23&lt;DV$59,1)</f>
        <v>3</v>
      </c>
      <c r="DX23" s="93">
        <v>6</v>
      </c>
      <c r="DY23" s="88" cm="1">
        <f t="array" ref="DY23">_xlfn.IFS(DX23&gt;6.99,1,AND(DX23 &gt; 3, DX23 &lt; 7),2,DX23&lt;3.99,3)</f>
        <v>2</v>
      </c>
      <c r="DZ23" s="94">
        <f t="shared" si="3"/>
        <v>2.8</v>
      </c>
      <c r="EA23" s="95">
        <v>458600</v>
      </c>
      <c r="EB23" s="95">
        <v>368500</v>
      </c>
      <c r="EC23" s="82">
        <v>4748</v>
      </c>
      <c r="ED23" s="82">
        <v>0</v>
      </c>
      <c r="EE23" s="82">
        <v>0</v>
      </c>
      <c r="EF23" s="82">
        <f t="shared" si="34"/>
        <v>0</v>
      </c>
      <c r="EG23" s="204" cm="1">
        <f t="array" ref="EG23">_xlfn.IFS(EF23=0, 1, EF23&gt;2, 3, 0&gt;EF23&gt;3,2)</f>
        <v>1</v>
      </c>
      <c r="EH23" s="82">
        <v>0</v>
      </c>
      <c r="EI23" s="82">
        <v>0</v>
      </c>
      <c r="EJ23" s="82">
        <f t="shared" si="35"/>
        <v>0</v>
      </c>
      <c r="EK23" s="82" cm="1">
        <f t="array" ref="EK23">_xlfn.IFS(EH23+EI23=0, 1, EH23+EI23&gt;5, 3, EH23+EI23=5, 2, 0&gt;EH23+EI23&gt;5, 2)</f>
        <v>1</v>
      </c>
      <c r="EL23" s="82">
        <v>0</v>
      </c>
      <c r="EM23" s="82">
        <v>0</v>
      </c>
      <c r="EN23" s="82" cm="1">
        <f t="array" ref="EN23">_xlfn.IFS(EL23+EM23=0, 1, EL23+EM23&gt;10, 3, EL23+EM23 = 10, 2, 0&gt;EL23+EM23&gt;10, 2)</f>
        <v>1</v>
      </c>
      <c r="EO23" s="96">
        <f t="shared" si="4"/>
        <v>1</v>
      </c>
      <c r="EP23" s="44">
        <v>2</v>
      </c>
      <c r="EQ23" s="61" cm="1">
        <f t="array" ref="EQ23">_xlfn.IFS(EP23=0, 1, EP23&gt;$EP$60, 3, EP23&lt;$EP$60, 2)</f>
        <v>3</v>
      </c>
      <c r="ER23" s="100">
        <v>29.2</v>
      </c>
      <c r="ES23" s="100" cm="1">
        <f t="array" ref="ES23">_xlfn.IFS(ER23=0, 1, ER23&gt;$ER$59, 3, ER23&lt;$ER$59, 2)</f>
        <v>2</v>
      </c>
      <c r="ET23" s="44">
        <v>0</v>
      </c>
      <c r="EU23" s="44" cm="1">
        <f t="array" ref="EU23">_xlfn.IFS(ET23=0, 1, ET23=1, 2, ET23&gt;1, 3)</f>
        <v>1</v>
      </c>
      <c r="EV23" s="413">
        <f t="shared" si="36"/>
        <v>1.8000000000000003</v>
      </c>
      <c r="EW23" s="82">
        <v>35.65</v>
      </c>
      <c r="EX23" s="210" cm="1">
        <f t="array" ref="EX23">_xlfn.IFS(EW23&gt;EX$60,3,(AND(EW23&lt;EX$60,EW23&gt;EX$59)),2,EW23&lt;EX$59,1)</f>
        <v>2</v>
      </c>
      <c r="EY23" s="253">
        <v>41018937225</v>
      </c>
      <c r="EZ23" s="210" cm="1">
        <f t="array" ref="EZ23">_xlfn.IFS(EY23&gt;EZ$60,3,(AND(EY23&lt;EZ$60,EY23&gt;EZ$59)),2,EY23&lt;EZ$59,1)</f>
        <v>3</v>
      </c>
      <c r="FA23" s="253">
        <v>71057692.079999998</v>
      </c>
      <c r="FB23" s="210" cm="1">
        <f t="array" ref="FB23">_xlfn.IFS(FA23&gt;FB$60,3,(AND(FA23&lt;FB$60,FA23&gt;FB$59)),2,FA23&lt;FB$59,1)</f>
        <v>2</v>
      </c>
      <c r="FC23" s="416">
        <f t="shared" si="5"/>
        <v>2.25</v>
      </c>
      <c r="FD23" s="81">
        <v>1.19</v>
      </c>
      <c r="FE23" s="81" cm="1">
        <f t="array" ref="FE23">_xlfn.IFS(FD23&gt;$FD$60, 3, FD23&lt;$FD$59, 1, FD23&gt;$FD$59, 2)</f>
        <v>2</v>
      </c>
      <c r="FF23" s="44">
        <v>2</v>
      </c>
      <c r="FG23" s="61" cm="1">
        <f t="array" ref="FG23">_xlfn.IFS(FF23&lt;$FF$59, 1, FF23&gt;$FF$60, 3, FF23 = $FF$60, 3, FF23&lt;$FF$60, 2)</f>
        <v>3</v>
      </c>
      <c r="FH23" s="97">
        <f t="shared" si="6"/>
        <v>2.4000000000000004</v>
      </c>
      <c r="FI23" s="102">
        <v>6</v>
      </c>
      <c r="FJ23" s="44">
        <v>5</v>
      </c>
      <c r="FK23" s="98">
        <f t="shared" si="7"/>
        <v>11</v>
      </c>
      <c r="FL23" s="98" cm="1">
        <f t="array" ref="FL23">_xlfn.IFS(FK23&gt;$FK$60, 3, FK23&lt;$FK$59, 1, FK23&gt;$FK$59, 2, FK23=$FK$59, 2)</f>
        <v>3</v>
      </c>
      <c r="FM23" s="99">
        <f t="shared" si="8"/>
        <v>3</v>
      </c>
    </row>
    <row r="24" spans="1:169" ht="20.100000000000001" customHeight="1">
      <c r="A24" s="38" t="s">
        <v>121</v>
      </c>
      <c r="B24" s="44" t="s">
        <v>588</v>
      </c>
      <c r="C24" s="44">
        <v>2</v>
      </c>
      <c r="D24" s="44" t="s">
        <v>589</v>
      </c>
      <c r="E24" s="44">
        <v>2</v>
      </c>
      <c r="F24" s="61" t="s">
        <v>543</v>
      </c>
      <c r="G24" s="61" cm="1">
        <f t="array" ref="G24">_xlfn.IFS(F24= "Yes", 3, F24 &lt;&gt; "Yes", 1)</f>
        <v>1</v>
      </c>
      <c r="H24" s="44" t="s">
        <v>553</v>
      </c>
      <c r="I24" s="44">
        <v>3</v>
      </c>
      <c r="J24" s="44" t="s">
        <v>543</v>
      </c>
      <c r="K24" s="44">
        <v>1</v>
      </c>
      <c r="L24" s="193">
        <f t="shared" si="37"/>
        <v>1.95</v>
      </c>
      <c r="M24" s="44" t="s">
        <v>543</v>
      </c>
      <c r="N24" s="44">
        <v>1</v>
      </c>
      <c r="O24" s="44" t="s">
        <v>543</v>
      </c>
      <c r="P24" s="44">
        <v>1</v>
      </c>
      <c r="Q24" s="44" t="s">
        <v>543</v>
      </c>
      <c r="R24" s="44">
        <v>1</v>
      </c>
      <c r="S24" s="48" t="s">
        <v>543</v>
      </c>
      <c r="T24" s="44">
        <v>1</v>
      </c>
      <c r="U24" s="44" t="s">
        <v>543</v>
      </c>
      <c r="V24" s="44">
        <v>1</v>
      </c>
      <c r="W24" s="44" t="s">
        <v>543</v>
      </c>
      <c r="X24" s="44">
        <v>1</v>
      </c>
      <c r="Y24" s="39" t="s">
        <v>543</v>
      </c>
      <c r="Z24" s="44">
        <v>1</v>
      </c>
      <c r="AA24" s="72">
        <f t="shared" si="9"/>
        <v>0.99999999999999978</v>
      </c>
      <c r="AB24" s="39" t="s">
        <v>543</v>
      </c>
      <c r="AC24" s="44" t="s">
        <v>542</v>
      </c>
      <c r="AD24" s="44">
        <v>1</v>
      </c>
      <c r="AE24" s="44" t="s">
        <v>543</v>
      </c>
      <c r="AF24" s="44" cm="1">
        <f t="array" ref="AF24">_xlfn.IFS(AE24="NA", 1, AE24="No", 1, AE24="Yes, implicit", 2, AE24="Yes, explicit", 3)</f>
        <v>1</v>
      </c>
      <c r="AG24" s="44" t="s">
        <v>543</v>
      </c>
      <c r="AH24" s="44" t="s">
        <v>543</v>
      </c>
      <c r="AI24" s="44">
        <v>1</v>
      </c>
      <c r="AJ24" s="73">
        <f t="shared" si="0"/>
        <v>1</v>
      </c>
      <c r="AK24" s="76" t="s">
        <v>544</v>
      </c>
      <c r="AL24" s="74">
        <f t="shared" si="10"/>
        <v>1</v>
      </c>
      <c r="AM24" s="76" t="s">
        <v>181</v>
      </c>
      <c r="AN24" s="74">
        <f t="shared" si="11"/>
        <v>3</v>
      </c>
      <c r="AO24" s="74" t="s">
        <v>545</v>
      </c>
      <c r="AP24" s="74">
        <f t="shared" si="12"/>
        <v>1</v>
      </c>
      <c r="AQ24" s="75">
        <f t="shared" si="13"/>
        <v>0.5</v>
      </c>
      <c r="AR24" s="74" t="s">
        <v>545</v>
      </c>
      <c r="AS24" s="74">
        <f t="shared" si="14"/>
        <v>1</v>
      </c>
      <c r="AT24" s="74" t="s">
        <v>545</v>
      </c>
      <c r="AU24" s="74">
        <f t="shared" si="15"/>
        <v>1</v>
      </c>
      <c r="AV24" s="74">
        <f t="shared" si="16"/>
        <v>0.2</v>
      </c>
      <c r="AW24" s="76" t="s">
        <v>545</v>
      </c>
      <c r="AX24" s="195">
        <f t="shared" si="1"/>
        <v>0.4</v>
      </c>
      <c r="AY24" s="76" t="s">
        <v>545</v>
      </c>
      <c r="AZ24" s="76">
        <f t="shared" si="17"/>
        <v>1</v>
      </c>
      <c r="BA24" s="76" t="s">
        <v>181</v>
      </c>
      <c r="BB24" s="74">
        <f t="shared" si="18"/>
        <v>3</v>
      </c>
      <c r="BC24" s="76" t="s">
        <v>181</v>
      </c>
      <c r="BD24" s="74">
        <f t="shared" si="19"/>
        <v>3</v>
      </c>
      <c r="BE24" s="76">
        <f t="shared" si="20"/>
        <v>0.70000000000000007</v>
      </c>
      <c r="BF24" s="76"/>
      <c r="BG24" s="76"/>
      <c r="BH24" s="77">
        <f t="shared" si="38"/>
        <v>0</v>
      </c>
      <c r="BI24" s="77">
        <f t="shared" si="39"/>
        <v>0</v>
      </c>
      <c r="BJ24" s="77">
        <f t="shared" si="40"/>
        <v>0</v>
      </c>
      <c r="BK24" s="77">
        <f t="shared" si="41"/>
        <v>0</v>
      </c>
      <c r="BL24" s="78">
        <f t="shared" si="21"/>
        <v>1.8</v>
      </c>
      <c r="BM24" s="76" t="s">
        <v>181</v>
      </c>
      <c r="BN24" s="197" cm="1">
        <f t="array" ref="BN24">_xlfn.IFS(BM24="Y", 3, BM24="N", 2)</f>
        <v>3</v>
      </c>
      <c r="BO24" s="76" t="s">
        <v>545</v>
      </c>
      <c r="BP24" s="197" cm="1">
        <f t="array" ref="BP24">_xlfn.IFS(BO24="Y", 3, BO24="N", 2)</f>
        <v>2</v>
      </c>
      <c r="BQ24" s="79">
        <f t="shared" si="22"/>
        <v>2.25</v>
      </c>
      <c r="BR24" s="44">
        <v>12900</v>
      </c>
      <c r="BS24" s="44">
        <f t="shared" si="23"/>
        <v>12900000</v>
      </c>
      <c r="BT24" s="44">
        <f t="shared" si="24"/>
        <v>20156.25</v>
      </c>
      <c r="BU24" s="80">
        <v>39486</v>
      </c>
      <c r="BV24" s="81">
        <f t="shared" si="25"/>
        <v>51.04657346907765</v>
      </c>
      <c r="BW24" s="82" cm="1">
        <f t="array" ref="BW24">_xlfn.IFS(BV24&gt;44, 3, BV24&lt;26, 1, 44&gt;BV24&gt;26, 2)</f>
        <v>3</v>
      </c>
      <c r="BX24" s="82">
        <v>8675478</v>
      </c>
      <c r="BY24" s="82" cm="1">
        <f t="array" ref="BY24">_xlfn.IFS(BX24&gt;12000000, 3, BX24&lt;4000000, 1, 4000000&gt;BX24&gt;12000000, 2)</f>
        <v>2</v>
      </c>
      <c r="BZ24" s="80">
        <v>5.5608380209911097</v>
      </c>
      <c r="CA24" s="82" cm="1">
        <f t="array" ref="CA24">_xlfn.IFS(BZ24&gt;$BZ$60, 1, BZ24&lt;$BZ$59, 3, BZ24&gt;$BZ$59, 2, BZ24=$BZ$59, 2)</f>
        <v>3</v>
      </c>
      <c r="CB24" s="413">
        <f t="shared" si="26"/>
        <v>2.75</v>
      </c>
      <c r="CC24" s="44">
        <v>2595115</v>
      </c>
      <c r="CD24" s="44" cm="1">
        <f t="array" ref="CD24">_xlfn.IFS(CC24&gt;4200000, 3, CC24&lt;1700000, 1, 4200000&gt;CC24&gt;1700000, 2)</f>
        <v>2</v>
      </c>
      <c r="CE24" s="44">
        <v>651138.81999999995</v>
      </c>
      <c r="CF24" s="44" cm="1">
        <f t="array" ref="CF24">_xlfn.IFS(CE24&lt;120000, 1, CE24&gt;620000, 3, 620000&gt;CE24&gt;120000, 2)</f>
        <v>3</v>
      </c>
      <c r="CG24" s="44">
        <v>2044797.4000000006</v>
      </c>
      <c r="CH24" s="44" cm="1">
        <f t="array" ref="CH24">_xlfn.IFS(CG24&lt;300000, 1, CG24&gt;1700000, 3, 300000&gt;CG24&gt;170000, 2)</f>
        <v>3</v>
      </c>
      <c r="CI24" s="44">
        <v>38.27977516</v>
      </c>
      <c r="CJ24" s="61" cm="1">
        <f t="array" ref="CJ24">_xlfn.IFS(CI24&lt;$CI$60, 1, CI24&gt;$CI$61, 3, CI24&lt;$CI$61, 2)</f>
        <v>1</v>
      </c>
      <c r="CK24" s="205">
        <f t="shared" si="27"/>
        <v>2.2999999999999998</v>
      </c>
      <c r="CL24" s="44">
        <v>9916861</v>
      </c>
      <c r="CM24" s="48" cm="1">
        <f t="array" ref="CM24">_xlfn.IFS(CL24&gt;4600000, 3, CL24&lt;430000, 1, 4600000&gt;CL24&gt;430000, 2)</f>
        <v>3</v>
      </c>
      <c r="CN24" s="72">
        <f t="shared" si="2"/>
        <v>3</v>
      </c>
      <c r="CO24" s="39">
        <v>0</v>
      </c>
      <c r="CP24" s="65" cm="1">
        <f t="array" ref="CP24">_xlfn.IFS(CO24=0, 1, CO24="active", 3, CO24="permitted", 2)</f>
        <v>1</v>
      </c>
      <c r="CQ24" s="39">
        <v>0</v>
      </c>
      <c r="CR24" s="39" cm="1">
        <f t="array" ref="CR24">_xlfn.IFS(CQ24=0, 1, CQ24&lt;&gt;0, 3)</f>
        <v>1</v>
      </c>
      <c r="CS24" s="72">
        <v>1</v>
      </c>
      <c r="CT24" s="44" t="s">
        <v>545</v>
      </c>
      <c r="CU24" s="82">
        <v>0</v>
      </c>
      <c r="CV24" s="82">
        <v>40408</v>
      </c>
      <c r="CW24" s="39" t="s">
        <v>542</v>
      </c>
      <c r="CX24" s="207" cm="1">
        <f t="array" ref="CX24">_xlfn.IFS(CT24="N", 0, CW24&lt;$CW$61, 2, CW24 = $CW$61, 2, CW24&gt;$CW$61, 3)</f>
        <v>0</v>
      </c>
      <c r="CY24" s="207" t="s">
        <v>542</v>
      </c>
      <c r="CZ24" s="207" t="str" cm="1">
        <f t="array" ref="CZ24">_xlfn.IFS(CY24="NA", "NA", CY24=0, 1, CY24=1, 2, CY24&gt;1, 3)</f>
        <v>NA</v>
      </c>
      <c r="DA24" s="201">
        <f t="shared" si="28"/>
        <v>0</v>
      </c>
      <c r="DB24" s="101">
        <v>3493</v>
      </c>
      <c r="DC24" s="61" cm="1">
        <f t="array" ref="DC24">_xlfn.IFS(DB24&gt;$DB$61, 3, DB24=0, 1, DB24&lt;$DB$61, 2, DB24=$DB$61, 2)</f>
        <v>3</v>
      </c>
      <c r="DD24" s="87">
        <v>14427</v>
      </c>
      <c r="DE24" s="44" cm="1">
        <f t="array" ref="DE24">_xlfn.IFS(DD24&gt;$DD$62, 3, DD24&lt;$DD$60, 1, DD24&gt;$DD$60, 2, DD24=$DD$60, 2)</f>
        <v>3</v>
      </c>
      <c r="DF24" s="44">
        <v>13034</v>
      </c>
      <c r="DG24" s="61" cm="1">
        <f t="array" ref="DG24">_xlfn.IFS(DF24=0, 1, DF24&lt;$DF$61, 2, DF24&gt;$DF$61, 3)</f>
        <v>3</v>
      </c>
      <c r="DH24" s="415">
        <f t="shared" si="29"/>
        <v>2.9999999999999964</v>
      </c>
      <c r="DI24" s="82">
        <v>490370618</v>
      </c>
      <c r="DJ24" s="82">
        <f t="shared" si="30"/>
        <v>55978.381050228309</v>
      </c>
      <c r="DK24" s="88">
        <v>1286.0000000000002</v>
      </c>
      <c r="DL24" s="89">
        <f t="shared" si="31"/>
        <v>2.2973154562045971E-2</v>
      </c>
      <c r="DM24" s="88" cm="1">
        <f t="array" ref="DM24">_xlfn.IFS(DL24&gt;$DL$60,3,(AND(DL24&lt;$DL$60,DL24&gt;$DL$59)),2,DL24&lt;$DL$59,1)</f>
        <v>1</v>
      </c>
      <c r="DN24" s="88">
        <v>5254</v>
      </c>
      <c r="DO24" s="90">
        <f t="shared" si="32"/>
        <v>1.0714345042589807E-2</v>
      </c>
      <c r="DP24" s="88" cm="1">
        <f t="array" ref="DP24">_xlfn.IFS(DO24&gt;DO$60,3,(AND(DO24&lt;DO$60,DO24&gt;DO$59)),2,DO24&lt;DO$59,1)</f>
        <v>1</v>
      </c>
      <c r="DQ24" s="91">
        <v>23089.8</v>
      </c>
      <c r="DR24" s="92">
        <f t="shared" si="33"/>
        <v>0.28531520715599074</v>
      </c>
      <c r="DS24" s="88" cm="1">
        <f t="array" ref="DS24">_xlfn.IFS(DR24&gt;DR$60,3,(AND(DR24&lt;DR$60,DR24&gt;DR$59)),2,DR24&lt;DR$59,1)</f>
        <v>2</v>
      </c>
      <c r="DT24" s="91" t="s">
        <v>590</v>
      </c>
      <c r="DU24" s="213" cm="1">
        <f t="array" ref="DU24">_xlfn.IFS(DT24="no data","",DT24="40-45", 1, DT24= "45-50", 1, DT24="50-55", 1, DT24 ="30-35", 2, DT24="25-30", 2, DT24="35-40", 2, DT24="20-25", 3, DT24="15-20", 3)</f>
        <v>1</v>
      </c>
      <c r="DV24" s="88">
        <v>2396710555.2337928</v>
      </c>
      <c r="DW24" s="88" cm="1">
        <f t="array" ref="DW24">_xlfn.IFS(DV24&gt;DV$60,3,(AND(DV24&lt;DV$60,DV24&gt;DV$59)),2,DV24&lt;DV$59,1)</f>
        <v>1</v>
      </c>
      <c r="DX24" s="93">
        <v>5</v>
      </c>
      <c r="DY24" s="88" cm="1">
        <f t="array" ref="DY24">_xlfn.IFS(DX24&gt;6.99,1,AND(DX24 &gt; 3, DX24 &lt; 7),2,DX24&lt;3.99,3)</f>
        <v>2</v>
      </c>
      <c r="DZ24" s="94">
        <f t="shared" si="3"/>
        <v>1.2</v>
      </c>
      <c r="EA24" s="95">
        <v>366400</v>
      </c>
      <c r="EB24" s="82">
        <v>269400</v>
      </c>
      <c r="EC24" s="82">
        <v>2673</v>
      </c>
      <c r="ED24" s="82">
        <v>0</v>
      </c>
      <c r="EE24" s="82">
        <v>0</v>
      </c>
      <c r="EF24" s="82">
        <f t="shared" si="34"/>
        <v>0</v>
      </c>
      <c r="EG24" s="204" cm="1">
        <f t="array" ref="EG24">_xlfn.IFS(EF24=0, 1, EF24&gt;2, 3, 0&gt;EF24&gt;3,2)</f>
        <v>1</v>
      </c>
      <c r="EH24" s="82">
        <v>0</v>
      </c>
      <c r="EI24" s="82">
        <v>0</v>
      </c>
      <c r="EJ24" s="82">
        <f t="shared" si="35"/>
        <v>0</v>
      </c>
      <c r="EK24" s="82" cm="1">
        <f t="array" ref="EK24">_xlfn.IFS(EH24+EI24=0, 1, EH24+EI24&gt;5, 3, EH24+EI24=5, 2, 0&gt;EH24+EI24&gt;5, 2)</f>
        <v>1</v>
      </c>
      <c r="EL24" s="82">
        <v>0</v>
      </c>
      <c r="EM24" s="82">
        <v>0</v>
      </c>
      <c r="EN24" s="82" cm="1">
        <f t="array" ref="EN24">_xlfn.IFS(EL24+EM24=0, 1, EL24+EM24&gt;10, 3, EL24+EM24 = 10, 2, 0&gt;EL24+EM24&gt;10, 2)</f>
        <v>1</v>
      </c>
      <c r="EO24" s="96">
        <f t="shared" si="4"/>
        <v>1</v>
      </c>
      <c r="EP24" s="44">
        <v>1.5</v>
      </c>
      <c r="EQ24" s="61" cm="1">
        <f t="array" ref="EQ24">_xlfn.IFS(EP24=0, 1, EP24&gt;$EP$60, 3, EP24&lt;$EP$60, 2)</f>
        <v>2</v>
      </c>
      <c r="ER24" s="100">
        <v>0</v>
      </c>
      <c r="ES24" s="100" cm="1">
        <f t="array" ref="ES24">_xlfn.IFS(ER24=0, 1, ER24&gt;$ER$59, 3, ER24&lt;$ER$59, 2)</f>
        <v>1</v>
      </c>
      <c r="ET24" s="44">
        <v>0</v>
      </c>
      <c r="EU24" s="44" cm="1">
        <f t="array" ref="EU24">_xlfn.IFS(ET24=0, 1, ET24=1, 2, ET24&gt;1, 3)</f>
        <v>1</v>
      </c>
      <c r="EV24" s="413">
        <f t="shared" si="36"/>
        <v>1.2000000000000002</v>
      </c>
      <c r="EW24" s="82">
        <v>48.36</v>
      </c>
      <c r="EX24" s="210" cm="1">
        <f t="array" ref="EX24">_xlfn.IFS(EW24&gt;EX$60,3,(AND(EW24&lt;EX$60,EW24&gt;EX$59)),2,EW24&lt;EX$59,1)</f>
        <v>2</v>
      </c>
      <c r="EY24" s="253">
        <v>58080188.688749999</v>
      </c>
      <c r="EZ24" s="210" cm="1">
        <f t="array" ref="EZ24">_xlfn.IFS(EY24&gt;EZ$60,3,(AND(EY24&lt;EZ$60,EY24&gt;EZ$59)),2,EY24&lt;EZ$59,1)</f>
        <v>2</v>
      </c>
      <c r="FA24" s="82">
        <v>0</v>
      </c>
      <c r="FB24" s="210" cm="1">
        <f t="array" ref="FB24">_xlfn.IFS(FA24&gt;FB$60,3,(AND(FA24&lt;FB$60,FA24&gt;FB$59)),2,FA24&lt;FB$59,1)</f>
        <v>1</v>
      </c>
      <c r="FC24" s="416">
        <f t="shared" si="5"/>
        <v>1.75</v>
      </c>
      <c r="FD24" s="81">
        <v>0.82</v>
      </c>
      <c r="FE24" s="81" cm="1">
        <f t="array" ref="FE24">_xlfn.IFS(FD24&gt;$FD$60, 3, FD24&lt;$FD$59, 1, FD24&gt;$FD$59, 2)</f>
        <v>2</v>
      </c>
      <c r="FF24" s="44">
        <v>1</v>
      </c>
      <c r="FG24" s="61" cm="1">
        <f t="array" ref="FG24">_xlfn.IFS(FF24&lt;$FF$59, 1, FF24&gt;$FF$60, 3, FF24 = $FF$60, 3, FF24&lt;$FF$60, 2)</f>
        <v>2</v>
      </c>
      <c r="FH24" s="97">
        <f t="shared" si="6"/>
        <v>2</v>
      </c>
      <c r="FI24" s="102">
        <v>0</v>
      </c>
      <c r="FJ24" s="44">
        <v>3</v>
      </c>
      <c r="FK24" s="98">
        <f t="shared" si="7"/>
        <v>3</v>
      </c>
      <c r="FL24" s="98" cm="1">
        <f t="array" ref="FL24">_xlfn.IFS(FK24&gt;$FK$60, 3, FK24&lt;$FK$59, 1, FK24&gt;$FK$59, 2, FK24=$FK$59, 2)</f>
        <v>2</v>
      </c>
      <c r="FM24" s="99">
        <f t="shared" si="8"/>
        <v>2</v>
      </c>
    </row>
    <row r="25" spans="1:169" ht="20.100000000000001" customHeight="1">
      <c r="A25" s="38" t="s">
        <v>124</v>
      </c>
      <c r="B25" s="44" t="s">
        <v>576</v>
      </c>
      <c r="C25" s="44">
        <v>2</v>
      </c>
      <c r="D25" s="44" t="s">
        <v>591</v>
      </c>
      <c r="E25" s="44">
        <v>3</v>
      </c>
      <c r="F25" s="61" t="s">
        <v>543</v>
      </c>
      <c r="G25" s="61" cm="1">
        <f t="array" ref="G25">_xlfn.IFS(F25= "Yes", 3, F25 &lt;&gt; "Yes", 1)</f>
        <v>1</v>
      </c>
      <c r="H25" s="44" t="s">
        <v>553</v>
      </c>
      <c r="I25" s="44">
        <v>3</v>
      </c>
      <c r="J25" s="44" t="s">
        <v>543</v>
      </c>
      <c r="K25" s="44">
        <v>1</v>
      </c>
      <c r="L25" s="193">
        <f t="shared" si="37"/>
        <v>2.0999999999999996</v>
      </c>
      <c r="M25" s="44" t="s">
        <v>543</v>
      </c>
      <c r="N25" s="44"/>
      <c r="O25" s="44" t="s">
        <v>543</v>
      </c>
      <c r="P25" s="44">
        <v>1</v>
      </c>
      <c r="Q25" s="44" t="s">
        <v>543</v>
      </c>
      <c r="R25" s="44">
        <v>1</v>
      </c>
      <c r="S25" s="48" t="s">
        <v>543</v>
      </c>
      <c r="T25" s="44">
        <v>1</v>
      </c>
      <c r="U25" s="44" t="s">
        <v>543</v>
      </c>
      <c r="V25" s="44">
        <v>1</v>
      </c>
      <c r="W25" s="44" t="s">
        <v>543</v>
      </c>
      <c r="X25" s="44">
        <v>1</v>
      </c>
      <c r="Y25" s="39" t="s">
        <v>543</v>
      </c>
      <c r="Z25" s="44">
        <v>1</v>
      </c>
      <c r="AA25" s="72">
        <f t="shared" si="9"/>
        <v>0.79999999999999993</v>
      </c>
      <c r="AB25" s="39" t="s">
        <v>543</v>
      </c>
      <c r="AC25" s="44" t="s">
        <v>542</v>
      </c>
      <c r="AD25" s="44">
        <v>1</v>
      </c>
      <c r="AE25" s="44" t="s">
        <v>543</v>
      </c>
      <c r="AF25" s="44" cm="1">
        <f t="array" ref="AF25">_xlfn.IFS(AE25="NA", 1, AE25="No", 1, AE25="Yes, implicit", 2, AE25="Yes, explicit", 3)</f>
        <v>1</v>
      </c>
      <c r="AG25" s="44" t="s">
        <v>556</v>
      </c>
      <c r="AH25" s="44" t="s">
        <v>543</v>
      </c>
      <c r="AI25" s="44">
        <v>2</v>
      </c>
      <c r="AJ25" s="73">
        <f t="shared" si="0"/>
        <v>1.2000000000000002</v>
      </c>
      <c r="AK25" s="76" t="s">
        <v>562</v>
      </c>
      <c r="AL25" s="74">
        <f t="shared" si="10"/>
        <v>3</v>
      </c>
      <c r="AM25" s="74" t="s">
        <v>545</v>
      </c>
      <c r="AN25" s="74">
        <f t="shared" si="11"/>
        <v>1</v>
      </c>
      <c r="AO25" s="74" t="s">
        <v>545</v>
      </c>
      <c r="AP25" s="74">
        <f t="shared" si="12"/>
        <v>1</v>
      </c>
      <c r="AQ25" s="75">
        <f t="shared" si="13"/>
        <v>0.5</v>
      </c>
      <c r="AR25" s="76" t="s">
        <v>181</v>
      </c>
      <c r="AS25" s="74">
        <f t="shared" si="14"/>
        <v>3</v>
      </c>
      <c r="AT25" s="74" t="s">
        <v>545</v>
      </c>
      <c r="AU25" s="74">
        <f t="shared" si="15"/>
        <v>1</v>
      </c>
      <c r="AV25" s="74">
        <f t="shared" si="16"/>
        <v>0.4</v>
      </c>
      <c r="AW25" s="76" t="s">
        <v>181</v>
      </c>
      <c r="AX25" s="195">
        <f t="shared" si="1"/>
        <v>0.60000000000000009</v>
      </c>
      <c r="AY25" s="76" t="s">
        <v>546</v>
      </c>
      <c r="AZ25" s="76">
        <f t="shared" si="17"/>
        <v>3</v>
      </c>
      <c r="BA25" s="76" t="s">
        <v>181</v>
      </c>
      <c r="BB25" s="74">
        <f t="shared" si="18"/>
        <v>3</v>
      </c>
      <c r="BC25" s="76" t="s">
        <v>181</v>
      </c>
      <c r="BD25" s="74">
        <f t="shared" si="19"/>
        <v>3</v>
      </c>
      <c r="BE25" s="76">
        <f t="shared" si="20"/>
        <v>0.90000000000000013</v>
      </c>
      <c r="BF25" s="76"/>
      <c r="BG25" s="76"/>
      <c r="BH25" s="77">
        <f t="shared" si="38"/>
        <v>0</v>
      </c>
      <c r="BI25" s="77">
        <f t="shared" si="39"/>
        <v>0</v>
      </c>
      <c r="BJ25" s="77">
        <f t="shared" si="40"/>
        <v>0</v>
      </c>
      <c r="BK25" s="77">
        <f t="shared" si="41"/>
        <v>0</v>
      </c>
      <c r="BL25" s="78">
        <f t="shared" si="21"/>
        <v>2.4000000000000004</v>
      </c>
      <c r="BM25" s="76" t="s">
        <v>181</v>
      </c>
      <c r="BN25" s="197" cm="1">
        <f t="array" ref="BN25">_xlfn.IFS(BM25="Y", 3, BM25="N", 2)</f>
        <v>3</v>
      </c>
      <c r="BO25" s="76" t="s">
        <v>181</v>
      </c>
      <c r="BP25" s="197" cm="1">
        <f t="array" ref="BP25">_xlfn.IFS(BO25="Y", 3, BO25="N", 2)</f>
        <v>3</v>
      </c>
      <c r="BQ25" s="79">
        <f t="shared" si="22"/>
        <v>3</v>
      </c>
      <c r="BR25" s="44">
        <v>8000</v>
      </c>
      <c r="BS25" s="44">
        <f t="shared" si="23"/>
        <v>8000000</v>
      </c>
      <c r="BT25" s="44">
        <f t="shared" si="24"/>
        <v>12500</v>
      </c>
      <c r="BU25" s="80">
        <v>43204</v>
      </c>
      <c r="BV25" s="81">
        <f t="shared" si="25"/>
        <v>28.932506249421351</v>
      </c>
      <c r="BW25" s="82" cm="1">
        <f t="array" ref="BW25">_xlfn.IFS(BV25&gt;44, 3, BV25&lt;26, 1, 44&gt;BV25&gt;26, 2)</f>
        <v>2</v>
      </c>
      <c r="BX25" s="82">
        <v>4503650</v>
      </c>
      <c r="BY25" s="82" cm="1">
        <f t="array" ref="BY25">_xlfn.IFS(BX25&gt;12000000, 3, BX25&lt;4000000, 1, 4000000&gt;BX25&gt;12000000, 2)</f>
        <v>2</v>
      </c>
      <c r="BZ25" s="80">
        <v>6.0953930838401087</v>
      </c>
      <c r="CA25" s="82" cm="1">
        <f t="array" ref="CA25">_xlfn.IFS(BZ25&gt;$BZ$60, 1, BZ25&lt;$BZ$59, 3, BZ25&gt;$BZ$59, 2, BZ25=$BZ$59, 2)</f>
        <v>3</v>
      </c>
      <c r="CB25" s="413">
        <f t="shared" si="26"/>
        <v>2.3499999999999996</v>
      </c>
      <c r="CC25" s="44">
        <v>2753626</v>
      </c>
      <c r="CD25" s="44" cm="1">
        <f t="array" ref="CD25">_xlfn.IFS(CC25&gt;4200000, 3, CC25&lt;1700000, 1, 4200000&gt;CC25&gt;1700000, 2)</f>
        <v>2</v>
      </c>
      <c r="CE25" s="44">
        <v>1039634.379999999</v>
      </c>
      <c r="CF25" s="44" cm="1">
        <f t="array" ref="CF25">_xlfn.IFS(CE25&lt;120000, 1, CE25&gt;620000, 3, 620000&gt;CE25&gt;120000, 2)</f>
        <v>3</v>
      </c>
      <c r="CG25" s="44">
        <v>1529100.1999999997</v>
      </c>
      <c r="CH25" s="44" cm="1">
        <f t="array" ref="CH25">_xlfn.IFS(CG25&lt;300000, 1, CG25&gt;1700000, 3, 300000&gt;CG25&gt;170000, 2)</f>
        <v>2</v>
      </c>
      <c r="CI25" s="44">
        <v>44.437042630000001</v>
      </c>
      <c r="CJ25" s="61" cm="1">
        <f t="array" ref="CJ25">_xlfn.IFS(CI25&lt;$CI$60, 1, CI25&gt;$CI$61, 3, CI25&lt;$CI$61, 2)</f>
        <v>2</v>
      </c>
      <c r="CK25" s="205">
        <f t="shared" si="27"/>
        <v>2.2000000000000002</v>
      </c>
      <c r="CL25" s="44">
        <v>9041806</v>
      </c>
      <c r="CM25" s="48" cm="1">
        <f t="array" ref="CM25">_xlfn.IFS(CL25&gt;4600000, 3, CL25&lt;430000, 1, 4600000&gt;CL25&gt;430000, 2)</f>
        <v>3</v>
      </c>
      <c r="CN25" s="72">
        <f t="shared" si="2"/>
        <v>3</v>
      </c>
      <c r="CO25" s="39">
        <v>0</v>
      </c>
      <c r="CP25" s="65" cm="1">
        <f t="array" ref="CP25">_xlfn.IFS(CO25=0, 1, CO25="active", 3, CO25="permitted", 2)</f>
        <v>1</v>
      </c>
      <c r="CQ25" s="39">
        <v>1210000</v>
      </c>
      <c r="CR25" s="39" cm="1">
        <f t="array" ref="CR25">_xlfn.IFS(CQ25=0, 1, CQ25&lt;&gt;0, 3)</f>
        <v>3</v>
      </c>
      <c r="CS25" s="72">
        <v>3</v>
      </c>
      <c r="CT25" s="48" t="s">
        <v>181</v>
      </c>
      <c r="CU25" s="107">
        <v>4612</v>
      </c>
      <c r="CV25" s="107">
        <v>52378</v>
      </c>
      <c r="CW25" s="39">
        <f>CU25/CV25</f>
        <v>8.8052235671465112E-2</v>
      </c>
      <c r="CX25" s="207" cm="1">
        <f t="array" ref="CX25">_xlfn.IFS(CT25="N", 0, CW25&lt;$CW$61, 2, CW25 = $CW$61, 2, CW25&gt;$CW$61, 3)</f>
        <v>3</v>
      </c>
      <c r="CY25" s="207">
        <v>5</v>
      </c>
      <c r="CZ25" s="207" cm="1">
        <f t="array" ref="CZ25">_xlfn.IFS(CY25="NA", "NA", CY25=0, 1, CY25=1, 2, CY25&gt;1, 3)</f>
        <v>3</v>
      </c>
      <c r="DA25" s="201">
        <f t="shared" si="28"/>
        <v>3</v>
      </c>
      <c r="DB25" s="101">
        <v>3380</v>
      </c>
      <c r="DC25" s="61" cm="1">
        <f t="array" ref="DC25">_xlfn.IFS(DB25&gt;$DB$61, 3, DB25=0, 1, DB25&lt;$DB$61, 2, DB25=$DB$61, 2)</f>
        <v>3</v>
      </c>
      <c r="DD25" s="87">
        <v>1107</v>
      </c>
      <c r="DE25" s="44" cm="1">
        <f t="array" ref="DE25">_xlfn.IFS(DD25&gt;$DD$62, 3, DD25&lt;$DD$60, 1, DD25&gt;$DD$60, 2, DD25=$DD$60, 2)</f>
        <v>1</v>
      </c>
      <c r="DF25" s="44">
        <v>4588</v>
      </c>
      <c r="DG25" s="61" cm="1">
        <f t="array" ref="DG25">_xlfn.IFS(DF25=0, 1, DF25&lt;$DF$61, 2, DF25&gt;$DF$61, 3)</f>
        <v>3</v>
      </c>
      <c r="DH25" s="415">
        <f t="shared" si="29"/>
        <v>2.3333333333333308</v>
      </c>
      <c r="DI25" s="82">
        <v>1244375661</v>
      </c>
      <c r="DJ25" s="82">
        <f t="shared" si="30"/>
        <v>142052.0160958904</v>
      </c>
      <c r="DK25" s="88">
        <v>3687.5</v>
      </c>
      <c r="DL25" s="89">
        <f t="shared" si="31"/>
        <v>2.5958800876932295E-2</v>
      </c>
      <c r="DM25" s="88" cm="1">
        <f t="array" ref="DM25">_xlfn.IFS(DL25&gt;$DL$60,3,(AND(DL25&lt;$DL$60,DL25&gt;$DL$59)),2,DL25&lt;$DL$59,1)</f>
        <v>1</v>
      </c>
      <c r="DN25" s="88">
        <v>3204</v>
      </c>
      <c r="DO25" s="90">
        <f t="shared" si="32"/>
        <v>2.5747851717263697E-3</v>
      </c>
      <c r="DP25" s="88" cm="1">
        <f t="array" ref="DP25">_xlfn.IFS(DO25&gt;DO$60,3,(AND(DO25&lt;DO$60,DO25&gt;DO$59)),2,DO25&lt;DO$59,1)</f>
        <v>1</v>
      </c>
      <c r="DQ25" s="91">
        <v>34225</v>
      </c>
      <c r="DR25" s="92">
        <f t="shared" si="33"/>
        <v>0.18911461504347632</v>
      </c>
      <c r="DS25" s="88" cm="1">
        <f t="array" ref="DS25">_xlfn.IFS(DR25&gt;DR$60,3,(AND(DR25&lt;DR$60,DR25&gt;DR$59)),2,DR25&lt;DR$59,1)</f>
        <v>1</v>
      </c>
      <c r="DT25" s="91" t="s">
        <v>547</v>
      </c>
      <c r="DU25" s="213" cm="1">
        <f t="array" ref="DU25">_xlfn.IFS(DT25="no data","",DT25="40-45", 1, DT25= "45-50", 1, DT25="50-55", 1, DT25 ="30-35", 2, DT25="25-30", 2, DT25="35-40", 2, DT25="20-25", 3, DT25="15-20", 3)</f>
        <v>2</v>
      </c>
      <c r="DV25" s="88">
        <v>6339460424.4997816</v>
      </c>
      <c r="DW25" s="88" cm="1">
        <f t="array" ref="DW25">_xlfn.IFS(DV25&gt;DV$60,3,(AND(DV25&lt;DV$60,DV25&gt;DV$59)),2,DV25&lt;DV$59,1)</f>
        <v>2</v>
      </c>
      <c r="DX25" s="93">
        <v>6</v>
      </c>
      <c r="DY25" s="88" cm="1">
        <f t="array" ref="DY25">_xlfn.IFS(DX25&gt;6.99,1,AND(DX25 &gt; 3, DX25 &lt; 7),2,DX25&lt;3.99,3)</f>
        <v>2</v>
      </c>
      <c r="DZ25" s="94">
        <f t="shared" si="3"/>
        <v>1.2999999999999998</v>
      </c>
      <c r="EA25" s="95">
        <v>444200</v>
      </c>
      <c r="EB25" s="82">
        <v>423300</v>
      </c>
      <c r="EC25" s="82">
        <v>3001</v>
      </c>
      <c r="ED25" s="82">
        <v>0</v>
      </c>
      <c r="EE25" s="82">
        <v>0</v>
      </c>
      <c r="EF25" s="82">
        <f t="shared" si="34"/>
        <v>0</v>
      </c>
      <c r="EG25" s="204" cm="1">
        <f t="array" ref="EG25">_xlfn.IFS(EF25=0, 1, EF25&gt;2, 3, 0&gt;EF25&gt;3,2)</f>
        <v>1</v>
      </c>
      <c r="EH25" s="82">
        <v>0</v>
      </c>
      <c r="EI25" s="82">
        <v>0</v>
      </c>
      <c r="EJ25" s="82">
        <f t="shared" si="35"/>
        <v>0</v>
      </c>
      <c r="EK25" s="82" cm="1">
        <f t="array" ref="EK25">_xlfn.IFS(EH25+EI25=0, 1, EH25+EI25&gt;5, 3, EH25+EI25=5, 2, 0&gt;EH25+EI25&gt;5, 2)</f>
        <v>1</v>
      </c>
      <c r="EL25" s="82">
        <v>0</v>
      </c>
      <c r="EM25" s="82">
        <v>0</v>
      </c>
      <c r="EN25" s="82" cm="1">
        <f t="array" ref="EN25">_xlfn.IFS(EL25+EM25=0, 1, EL25+EM25&gt;10, 3, EL25+EM25 = 10, 2, 0&gt;EL25+EM25&gt;10, 2)</f>
        <v>1</v>
      </c>
      <c r="EO25" s="96">
        <f t="shared" si="4"/>
        <v>1</v>
      </c>
      <c r="EP25" s="44">
        <v>21</v>
      </c>
      <c r="EQ25" s="61" cm="1">
        <f t="array" ref="EQ25">_xlfn.IFS(EP25=0, 1, EP25&gt;$EP$60, 3, EP25&lt;$EP$60, 2)</f>
        <v>3</v>
      </c>
      <c r="ER25" s="100">
        <v>316.8</v>
      </c>
      <c r="ES25" s="100" cm="1">
        <f t="array" ref="ES25">_xlfn.IFS(ER25=0, 1, ER25&gt;$ER$59, 3, ER25&lt;$ER$59, 2)</f>
        <v>3</v>
      </c>
      <c r="ET25" s="44">
        <v>15</v>
      </c>
      <c r="EU25" s="44" cm="1">
        <f t="array" ref="EU25">_xlfn.IFS(ET25=0, 1, ET25=1, 2, ET25&gt;1, 3)</f>
        <v>3</v>
      </c>
      <c r="EV25" s="413">
        <f t="shared" si="36"/>
        <v>3.0000000000000004</v>
      </c>
      <c r="EW25" s="82">
        <v>753.14</v>
      </c>
      <c r="EX25" s="210" cm="1">
        <f t="array" ref="EX25">_xlfn.IFS(EW25&gt;EX$60,3,(AND(EW25&lt;EX$60,EW25&gt;EX$59)),2,EW25&lt;EX$59,1)</f>
        <v>3</v>
      </c>
      <c r="EY25" s="82">
        <v>0</v>
      </c>
      <c r="EZ25" s="210" cm="1">
        <f t="array" ref="EZ25">_xlfn.IFS(EY25&gt;EZ$60,3,(AND(EY25&lt;EZ$60,EY25&gt;EZ$59)),2,EY25&lt;EZ$59,1)</f>
        <v>1</v>
      </c>
      <c r="FA25" s="82">
        <v>0</v>
      </c>
      <c r="FB25" s="210" cm="1">
        <f t="array" ref="FB25">_xlfn.IFS(FA25&gt;FB$60,3,(AND(FA25&lt;FB$60,FA25&gt;FB$59)),2,FA25&lt;FB$59,1)</f>
        <v>1</v>
      </c>
      <c r="FC25" s="416">
        <f t="shared" si="5"/>
        <v>2</v>
      </c>
      <c r="FD25" s="81">
        <v>1.05</v>
      </c>
      <c r="FE25" s="81" cm="1">
        <f t="array" ref="FE25">_xlfn.IFS(FD25&gt;$FD$60, 3, FD25&lt;$FD$59, 1, FD25&gt;$FD$59, 2)</f>
        <v>2</v>
      </c>
      <c r="FF25" s="44">
        <v>0</v>
      </c>
      <c r="FG25" s="61" cm="1">
        <f t="array" ref="FG25">_xlfn.IFS(FF25&lt;$FF$59, 1, FF25&gt;$FF$60, 3, FF25 = $FF$60, 3, FF25&lt;$FF$60, 2)</f>
        <v>1</v>
      </c>
      <c r="FH25" s="97">
        <f t="shared" si="6"/>
        <v>1.6</v>
      </c>
      <c r="FI25" s="102">
        <v>0</v>
      </c>
      <c r="FJ25" s="44">
        <v>1</v>
      </c>
      <c r="FK25" s="98">
        <f t="shared" si="7"/>
        <v>1</v>
      </c>
      <c r="FL25" s="98" cm="1">
        <f t="array" ref="FL25">_xlfn.IFS(FK25&gt;$FK$60, 3, FK25&lt;$FK$59, 1, FK25&gt;$FK$59, 2, FK25=$FK$59, 2)</f>
        <v>1</v>
      </c>
      <c r="FM25" s="99">
        <f t="shared" si="8"/>
        <v>1</v>
      </c>
    </row>
    <row r="26" spans="1:169" ht="20.100000000000001" customHeight="1">
      <c r="A26" s="38" t="s">
        <v>125</v>
      </c>
      <c r="B26" s="44" t="s">
        <v>554</v>
      </c>
      <c r="C26" s="44">
        <v>3</v>
      </c>
      <c r="D26" s="44" t="s">
        <v>592</v>
      </c>
      <c r="E26" s="44">
        <v>3</v>
      </c>
      <c r="F26" s="61" t="s">
        <v>543</v>
      </c>
      <c r="G26" s="61" cm="1">
        <f t="array" ref="G26">_xlfn.IFS(F26= "Yes", 3, F26 &lt;&gt; "Yes", 1)</f>
        <v>1</v>
      </c>
      <c r="H26" s="44" t="s">
        <v>553</v>
      </c>
      <c r="I26" s="44">
        <v>3</v>
      </c>
      <c r="J26" s="44" t="s">
        <v>543</v>
      </c>
      <c r="K26" s="44">
        <v>1</v>
      </c>
      <c r="L26" s="193">
        <f t="shared" si="37"/>
        <v>2.4</v>
      </c>
      <c r="M26" s="44" t="s">
        <v>543</v>
      </c>
      <c r="N26" s="44">
        <v>1</v>
      </c>
      <c r="O26" s="44" t="s">
        <v>543</v>
      </c>
      <c r="P26" s="44">
        <v>1</v>
      </c>
      <c r="Q26" s="44" t="s">
        <v>556</v>
      </c>
      <c r="R26" s="44">
        <v>3</v>
      </c>
      <c r="S26" s="48" t="s">
        <v>543</v>
      </c>
      <c r="T26" s="44">
        <v>1</v>
      </c>
      <c r="U26" s="44" t="s">
        <v>543</v>
      </c>
      <c r="V26" s="44">
        <v>1</v>
      </c>
      <c r="W26" s="44" t="s">
        <v>543</v>
      </c>
      <c r="X26" s="44">
        <v>1</v>
      </c>
      <c r="Y26" s="85" t="s">
        <v>570</v>
      </c>
      <c r="Z26" s="44">
        <v>2</v>
      </c>
      <c r="AA26" s="72">
        <f t="shared" si="9"/>
        <v>1.2749999999999999</v>
      </c>
      <c r="AB26" s="39" t="s">
        <v>543</v>
      </c>
      <c r="AC26" s="44" t="s">
        <v>542</v>
      </c>
      <c r="AD26" s="44">
        <v>1</v>
      </c>
      <c r="AE26" s="44" t="s">
        <v>543</v>
      </c>
      <c r="AF26" s="44" cm="1">
        <f t="array" ref="AF26">_xlfn.IFS(AE26="NA", 1, AE26="No", 1, AE26="Yes, implicit", 2, AE26="Yes, explicit", 3)</f>
        <v>1</v>
      </c>
      <c r="AG26" s="44" t="s">
        <v>556</v>
      </c>
      <c r="AH26" s="44" t="s">
        <v>543</v>
      </c>
      <c r="AI26" s="44">
        <v>2</v>
      </c>
      <c r="AJ26" s="73">
        <f t="shared" si="0"/>
        <v>1.2000000000000002</v>
      </c>
      <c r="AK26" s="76" t="s">
        <v>544</v>
      </c>
      <c r="AL26" s="74">
        <f t="shared" si="10"/>
        <v>1</v>
      </c>
      <c r="AM26" s="74" t="s">
        <v>545</v>
      </c>
      <c r="AN26" s="74">
        <f t="shared" si="11"/>
        <v>1</v>
      </c>
      <c r="AO26" s="74" t="s">
        <v>545</v>
      </c>
      <c r="AP26" s="74">
        <f t="shared" si="12"/>
        <v>1</v>
      </c>
      <c r="AQ26" s="75">
        <f t="shared" si="13"/>
        <v>0.30000000000000004</v>
      </c>
      <c r="AR26" s="74" t="s">
        <v>545</v>
      </c>
      <c r="AS26" s="74">
        <f t="shared" si="14"/>
        <v>1</v>
      </c>
      <c r="AT26" s="74" t="s">
        <v>545</v>
      </c>
      <c r="AU26" s="74">
        <f t="shared" si="15"/>
        <v>1</v>
      </c>
      <c r="AV26" s="74">
        <f t="shared" si="16"/>
        <v>0.2</v>
      </c>
      <c r="AW26" s="76" t="s">
        <v>545</v>
      </c>
      <c r="AX26" s="195">
        <f t="shared" si="1"/>
        <v>0.4</v>
      </c>
      <c r="AY26" s="76" t="s">
        <v>545</v>
      </c>
      <c r="AZ26" s="76">
        <f t="shared" si="17"/>
        <v>1</v>
      </c>
      <c r="BA26" s="76" t="s">
        <v>545</v>
      </c>
      <c r="BB26" s="74">
        <f t="shared" si="18"/>
        <v>1</v>
      </c>
      <c r="BC26" s="76" t="s">
        <v>545</v>
      </c>
      <c r="BD26" s="74">
        <f t="shared" si="19"/>
        <v>1</v>
      </c>
      <c r="BE26" s="76">
        <f t="shared" si="20"/>
        <v>0.30000000000000004</v>
      </c>
      <c r="BF26" s="76"/>
      <c r="BG26" s="76"/>
      <c r="BH26" s="77">
        <f t="shared" si="38"/>
        <v>0</v>
      </c>
      <c r="BI26" s="77">
        <f t="shared" si="39"/>
        <v>0</v>
      </c>
      <c r="BJ26" s="77">
        <f t="shared" si="40"/>
        <v>0</v>
      </c>
      <c r="BK26" s="77">
        <f t="shared" si="41"/>
        <v>0</v>
      </c>
      <c r="BL26" s="78">
        <f t="shared" si="21"/>
        <v>1.2000000000000002</v>
      </c>
      <c r="BM26" s="76" t="s">
        <v>181</v>
      </c>
      <c r="BN26" s="197" cm="1">
        <f t="array" ref="BN26">_xlfn.IFS(BM26="Y", 3, BM26="N", 2)</f>
        <v>3</v>
      </c>
      <c r="BO26" s="76" t="s">
        <v>181</v>
      </c>
      <c r="BP26" s="197" cm="1">
        <f t="array" ref="BP26">_xlfn.IFS(BO26="Y", 3, BO26="N", 2)</f>
        <v>3</v>
      </c>
      <c r="BQ26" s="79">
        <f t="shared" si="22"/>
        <v>3</v>
      </c>
      <c r="BR26" s="44">
        <v>1300</v>
      </c>
      <c r="BS26" s="44">
        <f t="shared" si="23"/>
        <v>1300000</v>
      </c>
      <c r="BT26" s="44">
        <f t="shared" si="24"/>
        <v>2031.25</v>
      </c>
      <c r="BU26" s="80">
        <v>30843</v>
      </c>
      <c r="BV26" s="81">
        <f t="shared" si="25"/>
        <v>6.5857731089712424</v>
      </c>
      <c r="BW26" s="82" cm="1">
        <f t="array" ref="BW26">_xlfn.IFS(BV26&gt;44, 3, BV26&lt;26, 1, 44&gt;BV26&gt;26, 2)</f>
        <v>1</v>
      </c>
      <c r="BX26" s="82">
        <v>994954</v>
      </c>
      <c r="BY26" s="82" cm="1">
        <f t="array" ref="BY26">_xlfn.IFS(BX26&gt;12000000, 3, BX26&lt;4000000, 1, 4000000&gt;BX26&gt;12000000, 2)</f>
        <v>1</v>
      </c>
      <c r="BZ26" s="80">
        <v>5.4876667236020591</v>
      </c>
      <c r="CA26" s="82" cm="1">
        <f t="array" ref="CA26">_xlfn.IFS(BZ26&gt;$BZ$60, 1, BZ26&lt;$BZ$59, 3, BZ26&gt;$BZ$59, 2, BZ26=$BZ$59, 2)</f>
        <v>3</v>
      </c>
      <c r="CB26" s="413">
        <f t="shared" si="26"/>
        <v>1.6999999999999997</v>
      </c>
      <c r="CC26" s="44">
        <v>457551</v>
      </c>
      <c r="CD26" s="44" cm="1">
        <f t="array" ref="CD26">_xlfn.IFS(CC26&gt;4200000, 3, CC26&lt;1700000, 1, 4200000&gt;CC26&gt;1700000, 2)</f>
        <v>1</v>
      </c>
      <c r="CE26" s="44">
        <v>525666.18000000005</v>
      </c>
      <c r="CF26" s="44" cm="1">
        <f t="array" ref="CF26">_xlfn.IFS(CE26&lt;120000, 1, CE26&gt;620000, 3, 620000&gt;CE26&gt;120000, 2)</f>
        <v>2</v>
      </c>
      <c r="CG26" s="44">
        <v>45424.900000000009</v>
      </c>
      <c r="CH26" s="44" cm="1">
        <f t="array" ref="CH26">_xlfn.IFS(CG26&lt;300000, 1, CG26&gt;1700000, 3, 300000&gt;CG26&gt;170000, 2)</f>
        <v>1</v>
      </c>
      <c r="CI26" s="44">
        <v>39.935968819999999</v>
      </c>
      <c r="CJ26" s="61" cm="1">
        <f t="array" ref="CJ26">_xlfn.IFS(CI26&lt;$CI$60, 1, CI26&gt;$CI$61, 3, CI26&lt;$CI$61, 2)</f>
        <v>1</v>
      </c>
      <c r="CK26" s="205">
        <f t="shared" si="27"/>
        <v>1.2000000000000002</v>
      </c>
      <c r="CL26" s="44">
        <v>322935</v>
      </c>
      <c r="CM26" s="48" cm="1">
        <f t="array" ref="CM26">_xlfn.IFS(CL26&gt;4600000, 3, CL26&lt;430000, 1, 4600000&gt;CL26&gt;430000, 2)</f>
        <v>1</v>
      </c>
      <c r="CN26" s="72">
        <f t="shared" si="2"/>
        <v>1</v>
      </c>
      <c r="CO26" s="39" t="s">
        <v>549</v>
      </c>
      <c r="CP26" s="65" cm="1">
        <f t="array" ref="CP26">_xlfn.IFS(CO26=0, 1, CO26="active", 3, CO26="permitted", 2)</f>
        <v>3</v>
      </c>
      <c r="CQ26" s="39">
        <v>0</v>
      </c>
      <c r="CR26" s="39" cm="1">
        <f t="array" ref="CR26">_xlfn.IFS(CQ26=0, 1, CQ26&lt;&gt;0, 3)</f>
        <v>1</v>
      </c>
      <c r="CS26" s="72">
        <v>3</v>
      </c>
      <c r="CT26" s="48" t="s">
        <v>181</v>
      </c>
      <c r="CU26" s="107">
        <v>2224</v>
      </c>
      <c r="CV26" s="107">
        <v>35380</v>
      </c>
      <c r="CW26" s="39">
        <f>CU26/CV26</f>
        <v>6.2860373092142457E-2</v>
      </c>
      <c r="CX26" s="207" cm="1">
        <f t="array" ref="CX26">_xlfn.IFS(CT26="N", 0, CW26&lt;$CW$61, 2, CW26 = $CW$61, 2, CW26&gt;$CW$61, 3)</f>
        <v>3</v>
      </c>
      <c r="CY26" s="207">
        <v>0</v>
      </c>
      <c r="CZ26" s="207" cm="1">
        <f t="array" ref="CZ26">_xlfn.IFS(CY26="NA", "NA", CY26=0, 1, CY26=1, 2, CY26&gt;1, 3)</f>
        <v>1</v>
      </c>
      <c r="DA26" s="201">
        <f t="shared" si="28"/>
        <v>2.5</v>
      </c>
      <c r="DB26" s="86">
        <v>0</v>
      </c>
      <c r="DC26" s="61" cm="1">
        <f t="array" ref="DC26">_xlfn.IFS(DB26&gt;$DB$61, 3, DB26=0, 1, DB26&lt;$DB$61, 2, DB26=$DB$61, 2)</f>
        <v>1</v>
      </c>
      <c r="DD26" s="87">
        <v>2229</v>
      </c>
      <c r="DE26" s="44" cm="1">
        <f t="array" ref="DE26">_xlfn.IFS(DD26&gt;$DD$62, 3, DD26&lt;$DD$60, 1, DD26&gt;$DD$60, 2, DD26=$DD$60, 2)</f>
        <v>1</v>
      </c>
      <c r="DF26" s="44">
        <v>0</v>
      </c>
      <c r="DG26" s="61" cm="1">
        <f t="array" ref="DG26">_xlfn.IFS(DF26=0, 1, DF26&lt;$DF$61, 2, DF26&gt;$DF$61, 3)</f>
        <v>1</v>
      </c>
      <c r="DH26" s="415">
        <f t="shared" si="29"/>
        <v>0.99999999999999889</v>
      </c>
      <c r="DI26" s="82">
        <v>98275522</v>
      </c>
      <c r="DJ26" s="82">
        <f t="shared" si="30"/>
        <v>11218.666894977168</v>
      </c>
      <c r="DK26" s="88">
        <v>2703.9</v>
      </c>
      <c r="DL26" s="89">
        <f t="shared" si="31"/>
        <v>0.24101794137506594</v>
      </c>
      <c r="DM26" s="88" cm="1">
        <f t="array" ref="DM26">_xlfn.IFS(DL26&gt;$DL$60,3,(AND(DL26&lt;$DL$60,DL26&gt;$DL$59)),2,DL26&lt;$DL$59,1)</f>
        <v>3</v>
      </c>
      <c r="DN26" s="88">
        <v>7647</v>
      </c>
      <c r="DO26" s="90">
        <f t="shared" si="32"/>
        <v>7.7811848203665615E-2</v>
      </c>
      <c r="DP26" s="88" cm="1">
        <f t="array" ref="DP26">_xlfn.IFS(DO26&gt;DO$60,3,(AND(DO26&lt;DO$60,DO26&gt;DO$59)),2,DO26&lt;DO$59,1)</f>
        <v>3</v>
      </c>
      <c r="DQ26" s="91">
        <v>6456.9999999999982</v>
      </c>
      <c r="DR26" s="92">
        <f t="shared" si="33"/>
        <v>0.27725953321364216</v>
      </c>
      <c r="DS26" s="88" cm="1">
        <f t="array" ref="DS26">_xlfn.IFS(DR26&gt;DR$60,3,(AND(DR26&lt;DR$60,DR26&gt;DR$59)),2,DR26&lt;DR$59,1)</f>
        <v>2</v>
      </c>
      <c r="DT26" s="91" t="s">
        <v>547</v>
      </c>
      <c r="DU26" s="213" cm="1">
        <f t="array" ref="DU26">_xlfn.IFS(DT26="no data","",DT26="40-45", 1, DT26= "45-50", 1, DT26="50-55", 1, DT26 ="30-35", 2, DT26="25-30", 2, DT26="35-40", 2, DT26="20-25", 3, DT26="15-20", 3)</f>
        <v>2</v>
      </c>
      <c r="DV26" s="88">
        <v>2136518900.4060011</v>
      </c>
      <c r="DW26" s="88" cm="1">
        <f t="array" ref="DW26">_xlfn.IFS(DV26&gt;DV$60,3,(AND(DV26&lt;DV$60,DV26&gt;DV$59)),2,DV26&lt;DV$59,1)</f>
        <v>1</v>
      </c>
      <c r="DX26" s="93">
        <v>6</v>
      </c>
      <c r="DY26" s="88" cm="1">
        <f t="array" ref="DY26">_xlfn.IFS(DX26&gt;6.99,1,AND(DX26 &gt; 3, DX26 &lt; 7),2,DX26&lt;3.99,3)</f>
        <v>2</v>
      </c>
      <c r="DZ26" s="94">
        <f t="shared" si="3"/>
        <v>2.5</v>
      </c>
      <c r="EA26" s="95">
        <v>23400</v>
      </c>
      <c r="EB26" s="82">
        <v>22500</v>
      </c>
      <c r="EC26" s="82">
        <v>1116</v>
      </c>
      <c r="ED26" s="82">
        <v>0</v>
      </c>
      <c r="EE26" s="82">
        <v>0</v>
      </c>
      <c r="EF26" s="82">
        <f t="shared" si="34"/>
        <v>0</v>
      </c>
      <c r="EG26" s="204" cm="1">
        <f t="array" ref="EG26">_xlfn.IFS(EF26=0, 1, EF26&gt;2, 3, 0&gt;EF26&gt;3,2)</f>
        <v>1</v>
      </c>
      <c r="EH26" s="82">
        <v>0</v>
      </c>
      <c r="EI26" s="82">
        <v>0</v>
      </c>
      <c r="EJ26" s="82">
        <f t="shared" si="35"/>
        <v>0</v>
      </c>
      <c r="EK26" s="82" cm="1">
        <f t="array" ref="EK26">_xlfn.IFS(EH26+EI26=0, 1, EH26+EI26&gt;5, 3, EH26+EI26=5, 2, 0&gt;EH26+EI26&gt;5, 2)</f>
        <v>1</v>
      </c>
      <c r="EL26" s="82">
        <v>1</v>
      </c>
      <c r="EM26" s="82">
        <v>2</v>
      </c>
      <c r="EN26" s="82" cm="1">
        <f t="array" ref="EN26">_xlfn.IFS(EL26+EM26=0, 1, EL26+EM26&gt;10, 3, EL26+EM26 = 10, 2, 0&gt;EL26+EM26&gt;10, 2)</f>
        <v>2</v>
      </c>
      <c r="EO26" s="96">
        <f t="shared" si="4"/>
        <v>1.3333333333333333</v>
      </c>
      <c r="EP26" s="44">
        <v>0</v>
      </c>
      <c r="EQ26" s="61" cm="1">
        <f t="array" ref="EQ26">_xlfn.IFS(EP26=0, 1, EP26&gt;$EP$60, 3, EP26&lt;$EP$60, 2)</f>
        <v>1</v>
      </c>
      <c r="ER26" s="100">
        <v>0</v>
      </c>
      <c r="ES26" s="100" cm="1">
        <f t="array" ref="ES26">_xlfn.IFS(ER26=0, 1, ER26&gt;$ER$59, 3, ER26&lt;$ER$59, 2)</f>
        <v>1</v>
      </c>
      <c r="ET26" s="44">
        <v>0</v>
      </c>
      <c r="EU26" s="44" cm="1">
        <f t="array" ref="EU26">_xlfn.IFS(ET26=0, 1, ET26=1, 2, ET26&gt;1, 3)</f>
        <v>1</v>
      </c>
      <c r="EV26" s="413">
        <f t="shared" si="36"/>
        <v>1</v>
      </c>
      <c r="EW26" s="82">
        <v>0</v>
      </c>
      <c r="EX26" s="210" cm="1">
        <f t="array" ref="EX26">_xlfn.IFS(EW26&gt;EX$60,3,(AND(EW26&lt;EX$60,EW26&gt;EX$59)),2,EW26&lt;EX$59,1)</f>
        <v>1</v>
      </c>
      <c r="EY26" s="253">
        <v>118832460807.26337</v>
      </c>
      <c r="EZ26" s="210" cm="1">
        <f t="array" ref="EZ26">_xlfn.IFS(EY26&gt;EZ$60,3,(AND(EY26&lt;EZ$60,EY26&gt;EZ$59)),2,EY26&lt;EZ$59,1)</f>
        <v>3</v>
      </c>
      <c r="FA26" s="253">
        <v>7739532779800</v>
      </c>
      <c r="FB26" s="210" cm="1">
        <f t="array" ref="FB26">_xlfn.IFS(FA26&gt;FB$60,3,(AND(FA26&lt;FB$60,FA26&gt;FB$59)),2,FA26&lt;FB$59,1)</f>
        <v>3</v>
      </c>
      <c r="FC26" s="416">
        <f t="shared" si="5"/>
        <v>2</v>
      </c>
      <c r="FD26" s="81">
        <v>0.1</v>
      </c>
      <c r="FE26" s="81" cm="1">
        <f t="array" ref="FE26">_xlfn.IFS(FD26&gt;$FD$60, 3, FD26&lt;$FD$59, 1, FD26&gt;$FD$59, 2)</f>
        <v>1</v>
      </c>
      <c r="FF26" s="44">
        <v>0</v>
      </c>
      <c r="FG26" s="61" cm="1">
        <f t="array" ref="FG26">_xlfn.IFS(FF26&lt;$FF$59, 1, FF26&gt;$FF$60, 3, FF26 = $FF$60, 3, FF26&lt;$FF$60, 2)</f>
        <v>1</v>
      </c>
      <c r="FH26" s="97">
        <f t="shared" si="6"/>
        <v>1</v>
      </c>
      <c r="FI26" s="102">
        <v>0</v>
      </c>
      <c r="FJ26" s="44">
        <v>0</v>
      </c>
      <c r="FK26" s="98">
        <f t="shared" si="7"/>
        <v>0</v>
      </c>
      <c r="FL26" s="98" cm="1">
        <f t="array" ref="FL26">_xlfn.IFS(FK26&gt;$FK$60, 3, FK26&lt;$FK$59, 1, FK26&gt;$FK$59, 2, FK26=$FK$59, 2)</f>
        <v>1</v>
      </c>
      <c r="FM26" s="99">
        <f t="shared" si="8"/>
        <v>1</v>
      </c>
    </row>
    <row r="27" spans="1:169" ht="20.100000000000001" customHeight="1">
      <c r="A27" s="38" t="s">
        <v>127</v>
      </c>
      <c r="B27" s="44" t="s">
        <v>564</v>
      </c>
      <c r="C27" s="44">
        <v>3</v>
      </c>
      <c r="D27" s="44" t="s">
        <v>593</v>
      </c>
      <c r="E27" s="44">
        <v>3</v>
      </c>
      <c r="F27" s="61" t="s">
        <v>543</v>
      </c>
      <c r="G27" s="61" cm="1">
        <f t="array" ref="G27">_xlfn.IFS(F27= "Yes", 3, F27 &lt;&gt; "Yes", 1)</f>
        <v>1</v>
      </c>
      <c r="H27" s="44" t="s">
        <v>553</v>
      </c>
      <c r="I27" s="44">
        <v>3</v>
      </c>
      <c r="J27" s="44" t="s">
        <v>543</v>
      </c>
      <c r="K27" s="44">
        <v>1</v>
      </c>
      <c r="L27" s="193">
        <f t="shared" si="37"/>
        <v>2.4</v>
      </c>
      <c r="M27" s="44" t="s">
        <v>543</v>
      </c>
      <c r="N27" s="44"/>
      <c r="O27" s="44" t="s">
        <v>543</v>
      </c>
      <c r="P27" s="44">
        <v>1</v>
      </c>
      <c r="Q27" s="44" t="s">
        <v>556</v>
      </c>
      <c r="R27" s="44">
        <v>3</v>
      </c>
      <c r="S27" s="48" t="s">
        <v>543</v>
      </c>
      <c r="T27" s="44">
        <v>1</v>
      </c>
      <c r="U27" s="44" t="s">
        <v>543</v>
      </c>
      <c r="V27" s="44">
        <v>1</v>
      </c>
      <c r="W27" s="44" t="s">
        <v>543</v>
      </c>
      <c r="X27" s="44">
        <v>1</v>
      </c>
      <c r="Y27" s="85" t="s">
        <v>570</v>
      </c>
      <c r="Z27" s="44">
        <v>2</v>
      </c>
      <c r="AA27" s="72">
        <f t="shared" si="9"/>
        <v>1.075</v>
      </c>
      <c r="AB27" s="103" t="s">
        <v>594</v>
      </c>
      <c r="AC27" s="44" t="s">
        <v>545</v>
      </c>
      <c r="AD27" s="44">
        <v>2</v>
      </c>
      <c r="AE27" s="44" t="s">
        <v>568</v>
      </c>
      <c r="AF27" s="44" cm="1">
        <f t="array" ref="AF27">_xlfn.IFS(AE27="NA", 1, AE27="No", 1, AE27="Yes, implicit", 2, AE27="Yes, explicit", 3)</f>
        <v>2</v>
      </c>
      <c r="AG27" s="44" t="s">
        <v>556</v>
      </c>
      <c r="AH27" s="44" t="s">
        <v>543</v>
      </c>
      <c r="AI27" s="44">
        <v>2</v>
      </c>
      <c r="AJ27" s="73">
        <f t="shared" si="0"/>
        <v>2</v>
      </c>
      <c r="AK27" s="76" t="s">
        <v>544</v>
      </c>
      <c r="AL27" s="74">
        <f t="shared" si="10"/>
        <v>1</v>
      </c>
      <c r="AM27" s="74" t="s">
        <v>545</v>
      </c>
      <c r="AN27" s="74">
        <f t="shared" si="11"/>
        <v>1</v>
      </c>
      <c r="AO27" s="74" t="s">
        <v>545</v>
      </c>
      <c r="AP27" s="74">
        <f t="shared" si="12"/>
        <v>1</v>
      </c>
      <c r="AQ27" s="75">
        <f t="shared" si="13"/>
        <v>0.30000000000000004</v>
      </c>
      <c r="AR27" s="74" t="s">
        <v>545</v>
      </c>
      <c r="AS27" s="74">
        <f t="shared" si="14"/>
        <v>1</v>
      </c>
      <c r="AT27" s="74" t="s">
        <v>545</v>
      </c>
      <c r="AU27" s="74">
        <f t="shared" si="15"/>
        <v>1</v>
      </c>
      <c r="AV27" s="74">
        <f t="shared" si="16"/>
        <v>0.2</v>
      </c>
      <c r="AW27" s="76" t="s">
        <v>545</v>
      </c>
      <c r="AX27" s="195">
        <f t="shared" si="1"/>
        <v>0.4</v>
      </c>
      <c r="AY27" s="76" t="s">
        <v>546</v>
      </c>
      <c r="AZ27" s="76">
        <f t="shared" si="17"/>
        <v>3</v>
      </c>
      <c r="BA27" s="76" t="s">
        <v>181</v>
      </c>
      <c r="BB27" s="74">
        <f t="shared" si="18"/>
        <v>3</v>
      </c>
      <c r="BC27" s="76" t="s">
        <v>545</v>
      </c>
      <c r="BD27" s="74">
        <f t="shared" si="19"/>
        <v>1</v>
      </c>
      <c r="BE27" s="76">
        <f t="shared" si="20"/>
        <v>0.70000000000000007</v>
      </c>
      <c r="BF27" s="76"/>
      <c r="BG27" s="76"/>
      <c r="BH27" s="77">
        <f t="shared" si="38"/>
        <v>0</v>
      </c>
      <c r="BI27" s="77">
        <f t="shared" si="39"/>
        <v>0</v>
      </c>
      <c r="BJ27" s="77">
        <f t="shared" si="40"/>
        <v>0</v>
      </c>
      <c r="BK27" s="77">
        <f t="shared" si="41"/>
        <v>0</v>
      </c>
      <c r="BL27" s="78">
        <f t="shared" si="21"/>
        <v>1.6</v>
      </c>
      <c r="BM27" s="76" t="s">
        <v>181</v>
      </c>
      <c r="BN27" s="197" cm="1">
        <f t="array" ref="BN27">_xlfn.IFS(BM27="Y", 3, BM27="N", 2)</f>
        <v>3</v>
      </c>
      <c r="BO27" s="76" t="s">
        <v>181</v>
      </c>
      <c r="BP27" s="197" cm="1">
        <f t="array" ref="BP27">_xlfn.IFS(BO27="Y", 3, BO27="N", 2)</f>
        <v>3</v>
      </c>
      <c r="BQ27" s="79">
        <f t="shared" si="22"/>
        <v>3</v>
      </c>
      <c r="BR27" s="44">
        <v>2000</v>
      </c>
      <c r="BS27" s="44">
        <f t="shared" si="23"/>
        <v>2000000</v>
      </c>
      <c r="BT27" s="44">
        <f t="shared" si="24"/>
        <v>3125</v>
      </c>
      <c r="BU27" s="80">
        <v>9707</v>
      </c>
      <c r="BV27" s="81">
        <f t="shared" si="25"/>
        <v>32.193262594004331</v>
      </c>
      <c r="BW27" s="82" cm="1">
        <f t="array" ref="BW27">_xlfn.IFS(BV27&gt;44, 3, BV27&lt;26, 1, 44&gt;BV27&gt;26, 2)</f>
        <v>2</v>
      </c>
      <c r="BX27" s="82">
        <v>3459440</v>
      </c>
      <c r="BY27" s="82" cm="1">
        <f t="array" ref="BY27">_xlfn.IFS(BX27&gt;12000000, 3, BX27&lt;4000000, 1, 4000000&gt;BX27&gt;12000000, 2)</f>
        <v>1</v>
      </c>
      <c r="BZ27" s="80">
        <v>4.9218822192709668</v>
      </c>
      <c r="CA27" s="82" cm="1">
        <f t="array" ref="CA27">_xlfn.IFS(BZ27&gt;$BZ$60, 1, BZ27&lt;$BZ$59, 3, BZ27&gt;$BZ$59, 2, BZ27=$BZ$59, 2)</f>
        <v>3</v>
      </c>
      <c r="CB27" s="413">
        <f t="shared" si="26"/>
        <v>2.0999999999999996</v>
      </c>
      <c r="CC27" s="44">
        <v>2057792</v>
      </c>
      <c r="CD27" s="44" cm="1">
        <f t="array" ref="CD27">_xlfn.IFS(CC27&gt;4200000, 3, CC27&lt;1700000, 1, 4200000&gt;CC27&gt;1700000, 2)</f>
        <v>2</v>
      </c>
      <c r="CE27" s="44">
        <v>190805.18000000002</v>
      </c>
      <c r="CF27" s="44" cm="1">
        <f t="array" ref="CF27">_xlfn.IFS(CE27&lt;120000, 1, CE27&gt;620000, 3, 620000&gt;CE27&gt;120000, 2)</f>
        <v>2</v>
      </c>
      <c r="CG27" s="44">
        <v>499898.3000000001</v>
      </c>
      <c r="CH27" s="44" cm="1">
        <f t="array" ref="CH27">_xlfn.IFS(CG27&lt;300000, 1, CG27&gt;1700000, 3, 300000&gt;CG27&gt;170000, 2)</f>
        <v>2</v>
      </c>
      <c r="CI27" s="44">
        <v>48.194400250000001</v>
      </c>
      <c r="CJ27" s="61" cm="1">
        <f t="array" ref="CJ27">_xlfn.IFS(CI27&lt;$CI$60, 1, CI27&gt;$CI$61, 3, CI27&lt;$CI$61, 2)</f>
        <v>2</v>
      </c>
      <c r="CK27" s="205">
        <f t="shared" si="27"/>
        <v>2</v>
      </c>
      <c r="CL27" s="44">
        <v>364257</v>
      </c>
      <c r="CM27" s="48" cm="1">
        <f t="array" ref="CM27">_xlfn.IFS(CL27&gt;4600000, 3, CL27&lt;430000, 1, 4600000&gt;CL27&gt;430000, 2)</f>
        <v>1</v>
      </c>
      <c r="CN27" s="72">
        <f t="shared" si="2"/>
        <v>1</v>
      </c>
      <c r="CO27" s="39">
        <v>0</v>
      </c>
      <c r="CP27" s="65" cm="1">
        <f t="array" ref="CP27">_xlfn.IFS(CO27=0, 1, CO27="active", 3, CO27="permitted", 2)</f>
        <v>1</v>
      </c>
      <c r="CQ27" s="39">
        <v>0</v>
      </c>
      <c r="CR27" s="39" cm="1">
        <f t="array" ref="CR27">_xlfn.IFS(CQ27=0, 1, CQ27&lt;&gt;0, 3)</f>
        <v>1</v>
      </c>
      <c r="CS27" s="72">
        <v>1</v>
      </c>
      <c r="CT27" s="48" t="s">
        <v>181</v>
      </c>
      <c r="CU27" s="107">
        <v>1931</v>
      </c>
      <c r="CV27" s="107">
        <v>12406</v>
      </c>
      <c r="CW27" s="39">
        <f>CU27/CV27</f>
        <v>0.1556504916975657</v>
      </c>
      <c r="CX27" s="207" cm="1">
        <f t="array" ref="CX27">_xlfn.IFS(CT27="N", 0, CW27&lt;$CW$61, 2, CW27 = $CW$61, 2, CW27&gt;$CW$61, 3)</f>
        <v>3</v>
      </c>
      <c r="CY27" s="207">
        <v>1</v>
      </c>
      <c r="CZ27" s="207" cm="1">
        <f t="array" ref="CZ27">_xlfn.IFS(CY27="NA", "NA", CY27=0, 1, CY27=1, 2, CY27&gt;1, 3)</f>
        <v>2</v>
      </c>
      <c r="DA27" s="201">
        <f t="shared" si="28"/>
        <v>2.75</v>
      </c>
      <c r="DB27" s="86">
        <v>0</v>
      </c>
      <c r="DC27" s="61" cm="1">
        <f t="array" ref="DC27">_xlfn.IFS(DB27&gt;$DB$61, 3, DB27=0, 1, DB27&lt;$DB$61, 2, DB27=$DB$61, 2)</f>
        <v>1</v>
      </c>
      <c r="DD27" s="87">
        <v>13636</v>
      </c>
      <c r="DE27" s="44" cm="1">
        <f t="array" ref="DE27">_xlfn.IFS(DD27&gt;$DD$62, 3, DD27&lt;$DD$60, 1, DD27&gt;$DD$60, 2, DD27=$DD$60, 2)</f>
        <v>3</v>
      </c>
      <c r="DF27" s="44">
        <v>0</v>
      </c>
      <c r="DG27" s="61" cm="1">
        <f t="array" ref="DG27">_xlfn.IFS(DF27=0, 1, DF27&lt;$DF$61, 2, DF27&gt;$DF$61, 3)</f>
        <v>1</v>
      </c>
      <c r="DH27" s="415">
        <f t="shared" si="29"/>
        <v>1.666666666666665</v>
      </c>
      <c r="DI27" s="82">
        <v>352509107</v>
      </c>
      <c r="DJ27" s="82">
        <f t="shared" si="30"/>
        <v>40240.765639269404</v>
      </c>
      <c r="DK27" s="88">
        <v>3333.3999999999996</v>
      </c>
      <c r="DL27" s="89">
        <f t="shared" si="31"/>
        <v>8.2836396053733719E-2</v>
      </c>
      <c r="DM27" s="88" cm="1">
        <f t="array" ref="DM27">_xlfn.IFS(DL27&gt;$DL$60,3,(AND(DL27&lt;$DL$60,DL27&gt;$DL$59)),2,DL27&lt;$DL$59,1)</f>
        <v>1</v>
      </c>
      <c r="DN27" s="88">
        <v>3637</v>
      </c>
      <c r="DO27" s="90">
        <f t="shared" si="32"/>
        <v>1.0317463940016734E-2</v>
      </c>
      <c r="DP27" s="88" cm="1">
        <f t="array" ref="DP27">_xlfn.IFS(DO27&gt;DO$60,3,(AND(DO27&lt;DO$60,DO27&gt;DO$59)),2,DO27&lt;DO$59,1)</f>
        <v>1</v>
      </c>
      <c r="DQ27" s="91">
        <v>8532.09</v>
      </c>
      <c r="DR27" s="92">
        <f t="shared" si="33"/>
        <v>0.16044421248308766</v>
      </c>
      <c r="DS27" s="88" cm="1">
        <f t="array" ref="DS27">_xlfn.IFS(DR27&gt;DR$60,3,(AND(DR27&lt;DR$60,DR27&gt;DR$59)),2,DR27&lt;DR$59,1)</f>
        <v>1</v>
      </c>
      <c r="DT27" s="91" t="s">
        <v>587</v>
      </c>
      <c r="DU27" s="213" cm="1">
        <f t="array" ref="DU27">_xlfn.IFS(DT27="no data","",DT27="40-45", 1, DT27= "45-50", 1, DT27="50-55", 1, DT27 ="30-35", 2, DT27="25-30", 2, DT27="35-40", 2, DT27="20-25", 3, DT27="15-20", 3)</f>
        <v>2</v>
      </c>
      <c r="DV27" s="88">
        <v>764472505.86090982</v>
      </c>
      <c r="DW27" s="88" cm="1">
        <f t="array" ref="DW27">_xlfn.IFS(DV27&gt;DV$60,3,(AND(DV27&lt;DV$60,DV27&gt;DV$59)),2,DV27&lt;DV$59,1)</f>
        <v>1</v>
      </c>
      <c r="DX27" s="93">
        <v>4</v>
      </c>
      <c r="DY27" s="88" cm="1">
        <f t="array" ref="DY27">_xlfn.IFS(DX27&gt;6.99,1,AND(DX27 &gt; 3, DX27 &lt; 7),2,DX27&lt;3.99,3)</f>
        <v>2</v>
      </c>
      <c r="DZ27" s="94">
        <f t="shared" si="3"/>
        <v>1.2</v>
      </c>
      <c r="EA27" s="95">
        <v>77800</v>
      </c>
      <c r="EB27" s="82">
        <v>342900</v>
      </c>
      <c r="EC27" s="44">
        <v>722</v>
      </c>
      <c r="ED27" s="44">
        <v>0</v>
      </c>
      <c r="EE27" s="82">
        <v>0</v>
      </c>
      <c r="EF27" s="82">
        <f>ED27+EE27</f>
        <v>0</v>
      </c>
      <c r="EG27" s="204" cm="1">
        <f t="array" ref="EG27">_xlfn.IFS(EF27=0, 1, EF27&gt;2, 3, 0&gt;EF27&gt;3,2)</f>
        <v>1</v>
      </c>
      <c r="EH27" s="82">
        <v>0</v>
      </c>
      <c r="EI27" s="82">
        <v>0</v>
      </c>
      <c r="EJ27" s="82">
        <f t="shared" si="35"/>
        <v>0</v>
      </c>
      <c r="EK27" s="82" cm="1">
        <f t="array" ref="EK27">_xlfn.IFS(EH27+EI27=0, 1, EH27+EI27&gt;5, 3, EH27+EI27=5, 2, 0&gt;EH27+EI27&gt;5, 2)</f>
        <v>1</v>
      </c>
      <c r="EL27" s="82">
        <v>0</v>
      </c>
      <c r="EM27" s="82">
        <v>0</v>
      </c>
      <c r="EN27" s="82" cm="1">
        <f t="array" ref="EN27">_xlfn.IFS(EL27+EM27=0, 1, EL27+EM27&gt;10, 3, EL27+EM27 = 10, 2, 0&gt;EL27+EM27&gt;10, 2)</f>
        <v>1</v>
      </c>
      <c r="EO27" s="96">
        <f t="shared" si="4"/>
        <v>1</v>
      </c>
      <c r="EP27" s="44">
        <v>0</v>
      </c>
      <c r="EQ27" s="61" cm="1">
        <f t="array" ref="EQ27">_xlfn.IFS(EP27=0, 1, EP27&gt;$EP$60, 3, EP27&lt;$EP$60, 2)</f>
        <v>1</v>
      </c>
      <c r="ER27" s="100">
        <v>0</v>
      </c>
      <c r="ES27" s="100" cm="1">
        <f t="array" ref="ES27">_xlfn.IFS(ER27=0, 1, ER27&gt;$ER$59, 3, ER27&lt;$ER$59, 2)</f>
        <v>1</v>
      </c>
      <c r="ET27" s="44">
        <v>0</v>
      </c>
      <c r="EU27" s="44" cm="1">
        <f t="array" ref="EU27">_xlfn.IFS(ET27=0, 1, ET27=1, 2, ET27&gt;1, 3)</f>
        <v>1</v>
      </c>
      <c r="EV27" s="413">
        <f t="shared" si="36"/>
        <v>1</v>
      </c>
      <c r="EW27" s="82">
        <v>1.88</v>
      </c>
      <c r="EX27" s="210" cm="1">
        <f t="array" ref="EX27">_xlfn.IFS(EW27&gt;EX$60,3,(AND(EW27&lt;EX$60,EW27&gt;EX$59)),2,EW27&lt;EX$59,1)</f>
        <v>2</v>
      </c>
      <c r="EY27" s="253">
        <v>314542614404.10693</v>
      </c>
      <c r="EZ27" s="210" cm="1">
        <f t="array" ref="EZ27">_xlfn.IFS(EY27&gt;EZ$60,3,(AND(EY27&lt;EZ$60,EY27&gt;EZ$59)),2,EY27&lt;EZ$59,1)</f>
        <v>3</v>
      </c>
      <c r="FA27" s="253">
        <v>325517103425</v>
      </c>
      <c r="FB27" s="210" cm="1">
        <f t="array" ref="FB27">_xlfn.IFS(FA27&gt;FB$60,3,(AND(FA27&lt;FB$60,FA27&gt;FB$59)),2,FA27&lt;FB$59,1)</f>
        <v>2</v>
      </c>
      <c r="FC27" s="416">
        <f t="shared" si="5"/>
        <v>2.25</v>
      </c>
      <c r="FD27" s="81">
        <v>0.42</v>
      </c>
      <c r="FE27" s="81" cm="1">
        <f t="array" ref="FE27">_xlfn.IFS(FD27&gt;$FD$60, 3, FD27&lt;$FD$59, 1, FD27&gt;$FD$59, 2)</f>
        <v>1</v>
      </c>
      <c r="FF27" s="44">
        <v>2</v>
      </c>
      <c r="FG27" s="61" cm="1">
        <f t="array" ref="FG27">_xlfn.IFS(FF27&lt;$FF$59, 1, FF27&gt;$FF$60, 3, FF27 = $FF$60, 3, FF27&lt;$FF$60, 2)</f>
        <v>3</v>
      </c>
      <c r="FH27" s="97">
        <f t="shared" si="6"/>
        <v>1.8000000000000003</v>
      </c>
      <c r="FI27" s="102">
        <v>0</v>
      </c>
      <c r="FJ27" s="44">
        <v>0</v>
      </c>
      <c r="FK27" s="98">
        <f t="shared" si="7"/>
        <v>0</v>
      </c>
      <c r="FL27" s="98" cm="1">
        <f t="array" ref="FL27">_xlfn.IFS(FK27&gt;$FK$60, 3, FK27&lt;$FK$59, 1, FK27&gt;$FK$59, 2, FK27=$FK$59, 2)</f>
        <v>1</v>
      </c>
      <c r="FM27" s="99">
        <f t="shared" si="8"/>
        <v>1</v>
      </c>
    </row>
    <row r="28" spans="1:169" ht="20.100000000000001" customHeight="1">
      <c r="A28" s="38" t="s">
        <v>128</v>
      </c>
      <c r="B28" s="44" t="s">
        <v>564</v>
      </c>
      <c r="C28" s="44">
        <v>3</v>
      </c>
      <c r="D28" s="44" t="s">
        <v>595</v>
      </c>
      <c r="E28" s="44">
        <v>3</v>
      </c>
      <c r="F28" s="61" t="s">
        <v>543</v>
      </c>
      <c r="G28" s="61" cm="1">
        <f t="array" ref="G28">_xlfn.IFS(F28= "Yes", 3, F28 &lt;&gt; "Yes", 1)</f>
        <v>1</v>
      </c>
      <c r="H28" s="44" t="s">
        <v>553</v>
      </c>
      <c r="I28" s="44">
        <v>3</v>
      </c>
      <c r="J28" s="44" t="s">
        <v>543</v>
      </c>
      <c r="K28" s="44">
        <v>1</v>
      </c>
      <c r="L28" s="193">
        <f t="shared" si="37"/>
        <v>2.4</v>
      </c>
      <c r="M28" s="44" t="s">
        <v>543</v>
      </c>
      <c r="N28" s="44">
        <v>1</v>
      </c>
      <c r="O28" s="44" t="s">
        <v>543</v>
      </c>
      <c r="P28" s="44">
        <v>1</v>
      </c>
      <c r="Q28" s="44" t="s">
        <v>556</v>
      </c>
      <c r="R28" s="44">
        <v>3</v>
      </c>
      <c r="S28" s="48" t="s">
        <v>596</v>
      </c>
      <c r="T28" s="44">
        <v>1</v>
      </c>
      <c r="U28" s="44" t="s">
        <v>543</v>
      </c>
      <c r="V28" s="44">
        <v>1</v>
      </c>
      <c r="W28" s="44" t="s">
        <v>543</v>
      </c>
      <c r="X28" s="44">
        <v>1</v>
      </c>
      <c r="Y28" s="85" t="s">
        <v>570</v>
      </c>
      <c r="Z28" s="44">
        <v>2</v>
      </c>
      <c r="AA28" s="72">
        <f t="shared" si="9"/>
        <v>1.2749999999999999</v>
      </c>
      <c r="AB28" s="103" t="s">
        <v>597</v>
      </c>
      <c r="AC28" s="104" t="s">
        <v>572</v>
      </c>
      <c r="AD28" s="44">
        <v>3</v>
      </c>
      <c r="AE28" s="44" t="s">
        <v>561</v>
      </c>
      <c r="AF28" s="44" cm="1">
        <f t="array" ref="AF28">_xlfn.IFS(AE28="NA", 1, AE28="No", 1, AE28="Yes, implicit", 2, AE28="Yes, explicit", 3)</f>
        <v>3</v>
      </c>
      <c r="AG28" s="44" t="s">
        <v>556</v>
      </c>
      <c r="AH28" s="44" t="s">
        <v>556</v>
      </c>
      <c r="AI28" s="44">
        <v>3</v>
      </c>
      <c r="AJ28" s="73">
        <f t="shared" si="0"/>
        <v>3</v>
      </c>
      <c r="AK28" s="76" t="s">
        <v>544</v>
      </c>
      <c r="AL28" s="74">
        <f t="shared" si="10"/>
        <v>1</v>
      </c>
      <c r="AM28" s="74" t="s">
        <v>545</v>
      </c>
      <c r="AN28" s="74">
        <f t="shared" si="11"/>
        <v>1</v>
      </c>
      <c r="AO28" s="74" t="s">
        <v>545</v>
      </c>
      <c r="AP28" s="74">
        <f t="shared" si="12"/>
        <v>1</v>
      </c>
      <c r="AQ28" s="75">
        <f t="shared" si="13"/>
        <v>0.30000000000000004</v>
      </c>
      <c r="AR28" s="74" t="s">
        <v>545</v>
      </c>
      <c r="AS28" s="74">
        <f t="shared" si="14"/>
        <v>1</v>
      </c>
      <c r="AT28" s="74" t="s">
        <v>545</v>
      </c>
      <c r="AU28" s="74">
        <f t="shared" si="15"/>
        <v>1</v>
      </c>
      <c r="AV28" s="74">
        <f t="shared" si="16"/>
        <v>0.2</v>
      </c>
      <c r="AW28" s="76" t="s">
        <v>545</v>
      </c>
      <c r="AX28" s="195">
        <f t="shared" si="1"/>
        <v>0.4</v>
      </c>
      <c r="AY28" s="76" t="s">
        <v>545</v>
      </c>
      <c r="AZ28" s="76">
        <f t="shared" si="17"/>
        <v>1</v>
      </c>
      <c r="BA28" s="76" t="s">
        <v>545</v>
      </c>
      <c r="BB28" s="74">
        <f t="shared" si="18"/>
        <v>1</v>
      </c>
      <c r="BC28" s="76" t="s">
        <v>545</v>
      </c>
      <c r="BD28" s="74">
        <f t="shared" si="19"/>
        <v>1</v>
      </c>
      <c r="BE28" s="76">
        <f t="shared" si="20"/>
        <v>0.30000000000000004</v>
      </c>
      <c r="BF28" s="76"/>
      <c r="BG28" s="76"/>
      <c r="BH28" s="77">
        <f t="shared" si="38"/>
        <v>0</v>
      </c>
      <c r="BI28" s="77">
        <f t="shared" si="39"/>
        <v>0</v>
      </c>
      <c r="BJ28" s="77">
        <f t="shared" si="40"/>
        <v>0</v>
      </c>
      <c r="BK28" s="77">
        <f t="shared" si="41"/>
        <v>0</v>
      </c>
      <c r="BL28" s="78">
        <f t="shared" si="21"/>
        <v>1.2000000000000002</v>
      </c>
      <c r="BM28" s="76" t="s">
        <v>181</v>
      </c>
      <c r="BN28" s="197" cm="1">
        <f t="array" ref="BN28">_xlfn.IFS(BM28="Y", 3, BM28="N", 2)</f>
        <v>3</v>
      </c>
      <c r="BO28" s="76" t="s">
        <v>181</v>
      </c>
      <c r="BP28" s="197" cm="1">
        <f t="array" ref="BP28">_xlfn.IFS(BO28="Y", 3, BO28="N", 2)</f>
        <v>3</v>
      </c>
      <c r="BQ28" s="79">
        <f t="shared" si="22"/>
        <v>3</v>
      </c>
      <c r="BR28" s="44">
        <v>500</v>
      </c>
      <c r="BS28" s="44">
        <f t="shared" si="23"/>
        <v>500000</v>
      </c>
      <c r="BT28" s="44">
        <f t="shared" si="24"/>
        <v>781.25</v>
      </c>
      <c r="BU28" s="80">
        <v>7800</v>
      </c>
      <c r="BV28" s="81">
        <f t="shared" si="25"/>
        <v>10.016025641025642</v>
      </c>
      <c r="BW28" s="82" cm="1">
        <f t="array" ref="BW28">_xlfn.IFS(BV28&gt;44, 3, BV28&lt;26, 1, 44&gt;BV28&gt;26, 2)</f>
        <v>1</v>
      </c>
      <c r="BX28" s="82">
        <v>532793</v>
      </c>
      <c r="BY28" s="82" cm="1">
        <f t="array" ref="BY28">_xlfn.IFS(BX28&gt;12000000, 3, BX28&lt;4000000, 1, 4000000&gt;BX28&gt;12000000, 2)</f>
        <v>1</v>
      </c>
      <c r="BZ28" s="80">
        <v>5.2228346656782412</v>
      </c>
      <c r="CA28" s="82" cm="1">
        <f t="array" ref="CA28">_xlfn.IFS(BZ28&gt;$BZ$60, 1, BZ28&lt;$BZ$59, 3, BZ28&gt;$BZ$59, 2, BZ28=$BZ$59, 2)</f>
        <v>3</v>
      </c>
      <c r="CB28" s="413">
        <f t="shared" si="26"/>
        <v>1.6999999999999997</v>
      </c>
      <c r="CC28" s="44">
        <v>2134615</v>
      </c>
      <c r="CD28" s="44" cm="1">
        <f t="array" ref="CD28">_xlfn.IFS(CC28&gt;4200000, 3, CC28&lt;1700000, 1, 4200000&gt;CC28&gt;1700000, 2)</f>
        <v>2</v>
      </c>
      <c r="CE28" s="44">
        <v>120310.38999999997</v>
      </c>
      <c r="CF28" s="44" cm="1">
        <f t="array" ref="CF28">_xlfn.IFS(CE28&lt;120000, 1, CE28&gt;620000, 3, 620000&gt;CE28&gt;120000, 2)</f>
        <v>2</v>
      </c>
      <c r="CG28" s="44">
        <v>21593.8</v>
      </c>
      <c r="CH28" s="44" cm="1">
        <f t="array" ref="CH28">_xlfn.IFS(CG28&lt;300000, 1, CG28&gt;1700000, 3, 300000&gt;CG28&gt;170000, 2)</f>
        <v>1</v>
      </c>
      <c r="CI28" s="44">
        <v>54.586155169999998</v>
      </c>
      <c r="CJ28" s="61" cm="1">
        <f t="array" ref="CJ28">_xlfn.IFS(CI28&lt;$CI$60, 1, CI28&gt;$CI$61, 3, CI28&lt;$CI$61, 2)</f>
        <v>2</v>
      </c>
      <c r="CK28" s="205">
        <f t="shared" si="27"/>
        <v>1.65</v>
      </c>
      <c r="CL28" s="44">
        <v>158127</v>
      </c>
      <c r="CM28" s="48" cm="1">
        <f t="array" ref="CM28">_xlfn.IFS(CL28&gt;4600000, 3, CL28&lt;430000, 1, 4600000&gt;CL28&gt;430000, 2)</f>
        <v>1</v>
      </c>
      <c r="CN28" s="72">
        <f t="shared" si="2"/>
        <v>1</v>
      </c>
      <c r="CO28" s="39" t="s">
        <v>549</v>
      </c>
      <c r="CP28" s="65" cm="1">
        <f t="array" ref="CP28">_xlfn.IFS(CO28=0, 1, CO28="active", 3, CO28="permitted", 2)</f>
        <v>3</v>
      </c>
      <c r="CQ28" s="39">
        <v>0</v>
      </c>
      <c r="CR28" s="39" cm="1">
        <f t="array" ref="CR28">_xlfn.IFS(CQ28=0, 1, CQ28&lt;&gt;0, 3)</f>
        <v>1</v>
      </c>
      <c r="CS28" s="72">
        <v>3</v>
      </c>
      <c r="CT28" s="48" t="s">
        <v>181</v>
      </c>
      <c r="CU28" s="107">
        <v>2269</v>
      </c>
      <c r="CV28" s="107">
        <v>10554</v>
      </c>
      <c r="CW28" s="39">
        <f>CU28/CV28</f>
        <v>0.21498957741140801</v>
      </c>
      <c r="CX28" s="207" cm="1">
        <f t="array" ref="CX28">_xlfn.IFS(CT28="N", 0, CW28&lt;$CW$61, 2, CW28 = $CW$61, 2, CW28&gt;$CW$61, 3)</f>
        <v>3</v>
      </c>
      <c r="CY28" s="207">
        <v>0</v>
      </c>
      <c r="CZ28" s="207" cm="1">
        <f t="array" ref="CZ28">_xlfn.IFS(CY28="NA", "NA", CY28=0, 1, CY28=1, 2, CY28&gt;1, 3)</f>
        <v>1</v>
      </c>
      <c r="DA28" s="201">
        <f t="shared" si="28"/>
        <v>2.5</v>
      </c>
      <c r="DB28" s="86">
        <v>0</v>
      </c>
      <c r="DC28" s="61" cm="1">
        <f t="array" ref="DC28">_xlfn.IFS(DB28&gt;$DB$61, 3, DB28=0, 1, DB28&lt;$DB$61, 2, DB28=$DB$61, 2)</f>
        <v>1</v>
      </c>
      <c r="DD28" s="87">
        <v>2755</v>
      </c>
      <c r="DE28" s="44" cm="1">
        <f t="array" ref="DE28">_xlfn.IFS(DD28&gt;$DD$62, 3, DD28&lt;$DD$60, 1, DD28&gt;$DD$60, 2, DD28=$DD$60, 2)</f>
        <v>1</v>
      </c>
      <c r="DF28" s="44">
        <v>0</v>
      </c>
      <c r="DG28" s="61" cm="1">
        <f t="array" ref="DG28">_xlfn.IFS(DF28=0, 1, DF28&lt;$DF$61, 2, DF28&gt;$DF$61, 3)</f>
        <v>1</v>
      </c>
      <c r="DH28" s="415">
        <f t="shared" si="29"/>
        <v>0.99999999999999889</v>
      </c>
      <c r="DI28" s="82">
        <v>385445899</v>
      </c>
      <c r="DJ28" s="82">
        <f t="shared" si="30"/>
        <v>44000.673401826483</v>
      </c>
      <c r="DK28" s="88">
        <v>4072.7000000000053</v>
      </c>
      <c r="DL28" s="89">
        <f t="shared" si="31"/>
        <v>9.2559947044604685E-2</v>
      </c>
      <c r="DM28" s="88" cm="1">
        <f t="array" ref="DM28">_xlfn.IFS(DL28&gt;$DL$60,3,(AND(DL28&lt;$DL$60,DL28&gt;$DL$59)),2,DL28&lt;$DL$59,1)</f>
        <v>1</v>
      </c>
      <c r="DN28" s="88">
        <v>3645</v>
      </c>
      <c r="DO28" s="90">
        <f t="shared" si="32"/>
        <v>9.4565800530154297E-3</v>
      </c>
      <c r="DP28" s="88" cm="1">
        <f t="array" ref="DP28">_xlfn.IFS(DO28&gt;DO$60,3,(AND(DO28&lt;DO$60,DO28&gt;DO$59)),2,DO28&lt;DO$59,1)</f>
        <v>1</v>
      </c>
      <c r="DQ28" s="91">
        <v>28260.5</v>
      </c>
      <c r="DR28" s="92">
        <f t="shared" si="33"/>
        <v>0.35488919442176881</v>
      </c>
      <c r="DS28" s="88" cm="1">
        <f t="array" ref="DS28">_xlfn.IFS(DR28&gt;DR$60,3,(AND(DR28&lt;DR$60,DR28&gt;DR$59)),2,DR28&lt;DR$59,1)</f>
        <v>3</v>
      </c>
      <c r="DT28" s="91" t="s">
        <v>563</v>
      </c>
      <c r="DU28" s="213" cm="1">
        <f t="array" ref="DU28">_xlfn.IFS(DT28="no data","",DT28="40-45", 1, DT28= "45-50", 1, DT28="50-55", 1, DT28 ="30-35", 2, DT28="25-30", 2, DT28="35-40", 2, DT28="20-25", 3, DT28="15-20", 3)</f>
        <v>2</v>
      </c>
      <c r="DV28" s="88">
        <v>1456227302.6929984</v>
      </c>
      <c r="DW28" s="88" cm="1">
        <f t="array" ref="DW28">_xlfn.IFS(DV28&gt;DV$60,3,(AND(DV28&lt;DV$60,DV28&gt;DV$59)),2,DV28&lt;DV$59,1)</f>
        <v>1</v>
      </c>
      <c r="DX28" s="93">
        <v>5</v>
      </c>
      <c r="DY28" s="88" cm="1">
        <f t="array" ref="DY28">_xlfn.IFS(DX28&gt;6.99,1,AND(DX28 &gt; 3, DX28 &lt; 7),2,DX28&lt;3.99,3)</f>
        <v>2</v>
      </c>
      <c r="DZ28" s="94">
        <f t="shared" si="3"/>
        <v>1.4000000000000001</v>
      </c>
      <c r="EA28" s="95">
        <v>130400</v>
      </c>
      <c r="EB28" s="82">
        <v>222700</v>
      </c>
      <c r="EC28" s="44">
        <v>868</v>
      </c>
      <c r="ED28" s="44">
        <v>0</v>
      </c>
      <c r="EE28" s="82">
        <v>0</v>
      </c>
      <c r="EF28" s="82">
        <f t="shared" si="34"/>
        <v>0</v>
      </c>
      <c r="EG28" s="204" cm="1">
        <f t="array" ref="EG28">_xlfn.IFS(EF28=0, 1, EF28&gt;2, 3, 0&gt;EF28&gt;3,2)</f>
        <v>1</v>
      </c>
      <c r="EH28" s="82">
        <v>0</v>
      </c>
      <c r="EI28" s="82">
        <v>0</v>
      </c>
      <c r="EJ28" s="82">
        <f t="shared" si="35"/>
        <v>0</v>
      </c>
      <c r="EK28" s="82" cm="1">
        <f t="array" ref="EK28">_xlfn.IFS(EH28+EI28=0, 1, EH28+EI28&gt;5, 3, EH28+EI28=5, 2, 0&gt;EH28+EI28&gt;5, 2)</f>
        <v>1</v>
      </c>
      <c r="EL28" s="82">
        <v>0</v>
      </c>
      <c r="EM28" s="82">
        <v>0</v>
      </c>
      <c r="EN28" s="82" cm="1">
        <f t="array" ref="EN28">_xlfn.IFS(EL28+EM28=0, 1, EL28+EM28&gt;10, 3, EL28+EM28 = 10, 2, 0&gt;EL28+EM28&gt;10, 2)</f>
        <v>1</v>
      </c>
      <c r="EO28" s="96">
        <f t="shared" si="4"/>
        <v>1</v>
      </c>
      <c r="EP28" s="44">
        <v>0</v>
      </c>
      <c r="EQ28" s="61" cm="1">
        <f t="array" ref="EQ28">_xlfn.IFS(EP28=0, 1, EP28&gt;$EP$60, 3, EP28&lt;$EP$60, 2)</f>
        <v>1</v>
      </c>
      <c r="ER28" s="100">
        <v>0</v>
      </c>
      <c r="ES28" s="100" cm="1">
        <f t="array" ref="ES28">_xlfn.IFS(ER28=0, 1, ER28&gt;$ER$59, 3, ER28&lt;$ER$59, 2)</f>
        <v>1</v>
      </c>
      <c r="ET28" s="44">
        <v>0</v>
      </c>
      <c r="EU28" s="44" cm="1">
        <f t="array" ref="EU28">_xlfn.IFS(ET28=0, 1, ET28=1, 2, ET28&gt;1, 3)</f>
        <v>1</v>
      </c>
      <c r="EV28" s="413">
        <f t="shared" si="36"/>
        <v>1</v>
      </c>
      <c r="EW28" s="82">
        <v>0</v>
      </c>
      <c r="EX28" s="210" cm="1">
        <f t="array" ref="EX28">_xlfn.IFS(EW28&gt;EX$60,3,(AND(EW28&lt;EX$60,EW28&gt;EX$59)),2,EW28&lt;EX$59,1)</f>
        <v>1</v>
      </c>
      <c r="EY28" s="253">
        <v>255669921.23399988</v>
      </c>
      <c r="EZ28" s="210" cm="1">
        <f t="array" ref="EZ28">_xlfn.IFS(EY28&gt;EZ$60,3,(AND(EY28&lt;EZ$60,EY28&gt;EZ$59)),2,EY28&lt;EZ$59,1)</f>
        <v>2</v>
      </c>
      <c r="FA28" s="253">
        <v>1692358861517.5</v>
      </c>
      <c r="FB28" s="210" cm="1">
        <f t="array" ref="FB28">_xlfn.IFS(FA28&gt;FB$60,3,(AND(FA28&lt;FB$60,FA28&gt;FB$59)),2,FA28&lt;FB$59,1)</f>
        <v>2</v>
      </c>
      <c r="FC28" s="416">
        <f t="shared" si="5"/>
        <v>1.5</v>
      </c>
      <c r="FD28" s="81">
        <v>0.21</v>
      </c>
      <c r="FE28" s="81" cm="1">
        <f t="array" ref="FE28">_xlfn.IFS(FD28&gt;$FD$60, 3, FD28&lt;$FD$59, 1, FD28&gt;$FD$59, 2)</f>
        <v>1</v>
      </c>
      <c r="FF28" s="44">
        <v>1</v>
      </c>
      <c r="FG28" s="61" cm="1">
        <f t="array" ref="FG28">_xlfn.IFS(FF28&lt;$FF$59, 1, FF28&gt;$FF$60, 3, FF28 = $FF$60, 3, FF28&lt;$FF$60, 2)</f>
        <v>2</v>
      </c>
      <c r="FH28" s="97">
        <f t="shared" si="6"/>
        <v>1.4</v>
      </c>
      <c r="FI28" s="102">
        <v>3</v>
      </c>
      <c r="FJ28" s="44">
        <v>1</v>
      </c>
      <c r="FK28" s="98">
        <f t="shared" si="7"/>
        <v>4</v>
      </c>
      <c r="FL28" s="98" cm="1">
        <f t="array" ref="FL28">_xlfn.IFS(FK28&gt;$FK$60, 3, FK28&lt;$FK$59, 1, FK28&gt;$FK$59, 2, FK28=$FK$59, 2)</f>
        <v>2</v>
      </c>
      <c r="FM28" s="99">
        <f t="shared" si="8"/>
        <v>2</v>
      </c>
    </row>
    <row r="29" spans="1:169" ht="20.100000000000001" customHeight="1">
      <c r="A29" s="38" t="s">
        <v>129</v>
      </c>
      <c r="B29" s="44" t="s">
        <v>576</v>
      </c>
      <c r="C29" s="44">
        <v>2</v>
      </c>
      <c r="D29" s="44" t="s">
        <v>598</v>
      </c>
      <c r="E29" s="44">
        <v>3</v>
      </c>
      <c r="F29" s="61" t="s">
        <v>543</v>
      </c>
      <c r="G29" s="61" cm="1">
        <f t="array" ref="G29">_xlfn.IFS(F29= "Yes", 3, F29 &lt;&gt; "Yes", 1)</f>
        <v>1</v>
      </c>
      <c r="H29" s="44" t="s">
        <v>552</v>
      </c>
      <c r="I29" s="44">
        <v>2</v>
      </c>
      <c r="J29" s="44" t="s">
        <v>543</v>
      </c>
      <c r="K29" s="44">
        <v>1</v>
      </c>
      <c r="L29" s="193">
        <f t="shared" si="37"/>
        <v>1.8499999999999999</v>
      </c>
      <c r="M29" s="44" t="s">
        <v>543</v>
      </c>
      <c r="N29" s="44">
        <v>1</v>
      </c>
      <c r="O29" s="44" t="s">
        <v>543</v>
      </c>
      <c r="P29" s="44">
        <v>1</v>
      </c>
      <c r="Q29" s="44" t="s">
        <v>556</v>
      </c>
      <c r="R29" s="44">
        <v>3</v>
      </c>
      <c r="S29" s="48" t="s">
        <v>543</v>
      </c>
      <c r="T29" s="44">
        <v>1</v>
      </c>
      <c r="U29" s="44" t="s">
        <v>543</v>
      </c>
      <c r="V29" s="44">
        <v>1</v>
      </c>
      <c r="W29" s="44" t="s">
        <v>543</v>
      </c>
      <c r="X29" s="44">
        <v>1</v>
      </c>
      <c r="Y29" s="39" t="s">
        <v>543</v>
      </c>
      <c r="Z29" s="44">
        <v>1</v>
      </c>
      <c r="AA29" s="72">
        <f t="shared" si="9"/>
        <v>1.2</v>
      </c>
      <c r="AB29" s="39" t="s">
        <v>543</v>
      </c>
      <c r="AC29" s="44" t="s">
        <v>542</v>
      </c>
      <c r="AD29" s="44">
        <v>1</v>
      </c>
      <c r="AE29" s="44" t="s">
        <v>568</v>
      </c>
      <c r="AF29" s="44" cm="1">
        <f t="array" ref="AF29">_xlfn.IFS(AE29="NA", 1, AE29="No", 1, AE29="Yes, implicit", 2, AE29="Yes, explicit", 3)</f>
        <v>2</v>
      </c>
      <c r="AG29" s="44" t="s">
        <v>556</v>
      </c>
      <c r="AH29" s="44" t="s">
        <v>556</v>
      </c>
      <c r="AI29" s="44">
        <v>3</v>
      </c>
      <c r="AJ29" s="73">
        <f t="shared" si="0"/>
        <v>1.6</v>
      </c>
      <c r="AK29" s="76" t="s">
        <v>562</v>
      </c>
      <c r="AL29" s="74">
        <f t="shared" si="10"/>
        <v>3</v>
      </c>
      <c r="AM29" s="74" t="s">
        <v>545</v>
      </c>
      <c r="AN29" s="74">
        <f t="shared" si="11"/>
        <v>1</v>
      </c>
      <c r="AO29" s="74" t="s">
        <v>545</v>
      </c>
      <c r="AP29" s="74">
        <f t="shared" si="12"/>
        <v>1</v>
      </c>
      <c r="AQ29" s="75">
        <f t="shared" si="13"/>
        <v>0.5</v>
      </c>
      <c r="AR29" s="74" t="s">
        <v>545</v>
      </c>
      <c r="AS29" s="74">
        <f t="shared" si="14"/>
        <v>1</v>
      </c>
      <c r="AT29" s="74" t="s">
        <v>545</v>
      </c>
      <c r="AU29" s="74">
        <f t="shared" si="15"/>
        <v>1</v>
      </c>
      <c r="AV29" s="74">
        <f t="shared" si="16"/>
        <v>0.2</v>
      </c>
      <c r="AW29" s="76" t="s">
        <v>545</v>
      </c>
      <c r="AX29" s="195">
        <f t="shared" si="1"/>
        <v>0.4</v>
      </c>
      <c r="AY29" s="76" t="s">
        <v>545</v>
      </c>
      <c r="AZ29" s="76">
        <f t="shared" si="17"/>
        <v>1</v>
      </c>
      <c r="BA29" s="76" t="s">
        <v>181</v>
      </c>
      <c r="BB29" s="74">
        <f t="shared" si="18"/>
        <v>3</v>
      </c>
      <c r="BC29" s="76" t="s">
        <v>181</v>
      </c>
      <c r="BD29" s="74">
        <f t="shared" si="19"/>
        <v>3</v>
      </c>
      <c r="BE29" s="76">
        <f t="shared" si="20"/>
        <v>0.70000000000000007</v>
      </c>
      <c r="BF29" s="76"/>
      <c r="BG29" s="76"/>
      <c r="BH29" s="77">
        <f t="shared" si="38"/>
        <v>0</v>
      </c>
      <c r="BI29" s="77">
        <f t="shared" si="39"/>
        <v>0</v>
      </c>
      <c r="BJ29" s="77">
        <f t="shared" si="40"/>
        <v>0</v>
      </c>
      <c r="BK29" s="77">
        <f t="shared" si="41"/>
        <v>0</v>
      </c>
      <c r="BL29" s="78">
        <f t="shared" si="21"/>
        <v>1.8</v>
      </c>
      <c r="BM29" s="76" t="s">
        <v>181</v>
      </c>
      <c r="BN29" s="197" cm="1">
        <f t="array" ref="BN29">_xlfn.IFS(BM29="Y", 3, BM29="N", 2)</f>
        <v>3</v>
      </c>
      <c r="BO29" s="76" t="s">
        <v>545</v>
      </c>
      <c r="BP29" s="197" cm="1">
        <f t="array" ref="BP29">_xlfn.IFS(BO29="Y", 3, BO29="N", 2)</f>
        <v>2</v>
      </c>
      <c r="BQ29" s="79">
        <f t="shared" si="22"/>
        <v>2.25</v>
      </c>
      <c r="BR29" s="44">
        <v>9800</v>
      </c>
      <c r="BS29" s="44">
        <f t="shared" si="23"/>
        <v>9800000</v>
      </c>
      <c r="BT29" s="44">
        <f t="shared" si="24"/>
        <v>15312.5</v>
      </c>
      <c r="BU29" s="80">
        <v>56539</v>
      </c>
      <c r="BV29" s="81">
        <f t="shared" si="25"/>
        <v>27.083075399281913</v>
      </c>
      <c r="BW29" s="82" cm="1">
        <f t="array" ref="BW29">_xlfn.IFS(BV29&gt;44, 3, BV29&lt;26, 1, 44&gt;BV29&gt;26, 2)</f>
        <v>2</v>
      </c>
      <c r="BX29" s="82">
        <v>12784126</v>
      </c>
      <c r="BY29" s="82" cm="1">
        <f t="array" ref="BY29">_xlfn.IFS(BX29&gt;12000000, 3, BX29&lt;4000000, 1, 4000000&gt;BX29&gt;12000000, 2)</f>
        <v>3</v>
      </c>
      <c r="BZ29" s="80">
        <v>6.4988599760982035</v>
      </c>
      <c r="CA29" s="82" cm="1">
        <f t="array" ref="CA29">_xlfn.IFS(BZ29&gt;$BZ$60, 1, BZ29&lt;$BZ$59, 3, BZ29&gt;$BZ$59, 2, BZ29=$BZ$59, 2)</f>
        <v>2</v>
      </c>
      <c r="CB29" s="413">
        <f t="shared" si="26"/>
        <v>2.25</v>
      </c>
      <c r="CC29" s="44">
        <v>6561284</v>
      </c>
      <c r="CD29" s="44" cm="1">
        <f t="array" ref="CD29">_xlfn.IFS(CC29&gt;4200000, 3, CC29&lt;1700000, 1, 4200000&gt;CC29&gt;1700000, 2)</f>
        <v>3</v>
      </c>
      <c r="CE29" s="44">
        <v>896866.49000000081</v>
      </c>
      <c r="CF29" s="44" cm="1">
        <f t="array" ref="CF29">_xlfn.IFS(CE29&lt;120000, 1, CE29&gt;620000, 3, 620000&gt;CE29&gt;120000, 2)</f>
        <v>3</v>
      </c>
      <c r="CG29" s="44">
        <v>3243371.8000000007</v>
      </c>
      <c r="CH29" s="44" cm="1">
        <f t="array" ref="CH29">_xlfn.IFS(CG29&lt;300000, 1, CG29&gt;1700000, 3, 300000&gt;CG29&gt;170000, 2)</f>
        <v>3</v>
      </c>
      <c r="CI29" s="44">
        <v>44.10374556</v>
      </c>
      <c r="CJ29" s="61" cm="1">
        <f t="array" ref="CJ29">_xlfn.IFS(CI29&lt;$CI$60, 1, CI29&gt;$CI$61, 3, CI29&lt;$CI$61, 2)</f>
        <v>2</v>
      </c>
      <c r="CK29" s="205">
        <f t="shared" si="27"/>
        <v>2.75</v>
      </c>
      <c r="CL29" s="44">
        <v>1788125</v>
      </c>
      <c r="CM29" s="48" cm="1">
        <f t="array" ref="CM29">_xlfn.IFS(CL29&gt;4600000, 3, CL29&lt;430000, 1, 4600000&gt;CL29&gt;430000, 2)</f>
        <v>2</v>
      </c>
      <c r="CN29" s="72">
        <f t="shared" si="2"/>
        <v>2</v>
      </c>
      <c r="CO29" s="39">
        <v>0</v>
      </c>
      <c r="CP29" s="65" cm="1">
        <f t="array" ref="CP29">_xlfn.IFS(CO29=0, 1, CO29="active", 3, CO29="permitted", 2)</f>
        <v>1</v>
      </c>
      <c r="CQ29" s="39">
        <v>0</v>
      </c>
      <c r="CR29" s="39" cm="1">
        <f t="array" ref="CR29">_xlfn.IFS(CQ29=0, 1, CQ29&lt;&gt;0, 3)</f>
        <v>1</v>
      </c>
      <c r="CS29" s="72">
        <v>1</v>
      </c>
      <c r="CT29" s="44" t="s">
        <v>545</v>
      </c>
      <c r="CU29" s="82">
        <v>0</v>
      </c>
      <c r="CV29" s="82">
        <v>96714</v>
      </c>
      <c r="CW29" s="39" t="s">
        <v>542</v>
      </c>
      <c r="CX29" s="207" cm="1">
        <f t="array" ref="CX29">_xlfn.IFS(CT29="N", 0, CW29&lt;$CW$61, 2, CW29 = $CW$61, 2, CW29&gt;$CW$61, 3)</f>
        <v>0</v>
      </c>
      <c r="CY29" s="207" t="s">
        <v>542</v>
      </c>
      <c r="CZ29" s="207" t="str" cm="1">
        <f t="array" ref="CZ29">_xlfn.IFS(CY29="NA", "NA", CY29=0, 1, CY29=1, 2, CY29&gt;1, 3)</f>
        <v>NA</v>
      </c>
      <c r="DA29" s="201">
        <f t="shared" si="28"/>
        <v>0</v>
      </c>
      <c r="DB29" s="101">
        <v>1103</v>
      </c>
      <c r="DC29" s="61" cm="1">
        <f t="array" ref="DC29">_xlfn.IFS(DB29&gt;$DB$61, 3, DB29=0, 1, DB29&lt;$DB$61, 2, DB29=$DB$61, 2)</f>
        <v>3</v>
      </c>
      <c r="DD29" s="87">
        <v>8588</v>
      </c>
      <c r="DE29" s="44" cm="1">
        <f t="array" ref="DE29">_xlfn.IFS(DD29&gt;$DD$62, 3, DD29&lt;$DD$60, 1, DD29&gt;$DD$60, 2, DD29=$DD$60, 2)</f>
        <v>2</v>
      </c>
      <c r="DF29" s="44">
        <v>505</v>
      </c>
      <c r="DG29" s="61" cm="1">
        <f t="array" ref="DG29">_xlfn.IFS(DF29=0, 1, DF29&lt;$DF$61, 2, DF29&gt;$DF$61, 3)</f>
        <v>3</v>
      </c>
      <c r="DH29" s="415">
        <f t="shared" si="29"/>
        <v>2.6666666666666634</v>
      </c>
      <c r="DI29" s="82">
        <v>793296789</v>
      </c>
      <c r="DJ29" s="82">
        <f t="shared" si="30"/>
        <v>90558.994178082197</v>
      </c>
      <c r="DK29" s="88">
        <v>10804.499999999996</v>
      </c>
      <c r="DL29" s="89">
        <f t="shared" si="31"/>
        <v>0.11930896647055503</v>
      </c>
      <c r="DM29" s="88" cm="1">
        <f t="array" ref="DM29">_xlfn.IFS(DL29&gt;$DL$60,3,(AND(DL29&lt;$DL$60,DL29&gt;$DL$59)),2,DL29&lt;$DL$59,1)</f>
        <v>2</v>
      </c>
      <c r="DN29" s="88">
        <v>12040</v>
      </c>
      <c r="DO29" s="90">
        <f t="shared" si="32"/>
        <v>1.517716971371732E-2</v>
      </c>
      <c r="DP29" s="88" cm="1">
        <f t="array" ref="DP29">_xlfn.IFS(DO29&gt;DO$60,3,(AND(DO29&lt;DO$60,DO29&gt;DO$59)),2,DO29&lt;DO$59,1)</f>
        <v>1</v>
      </c>
      <c r="DQ29" s="91">
        <v>28773.4</v>
      </c>
      <c r="DR29" s="92">
        <f t="shared" si="33"/>
        <v>0.21235202359503499</v>
      </c>
      <c r="DS29" s="88" cm="1">
        <f t="array" ref="DS29">_xlfn.IFS(DR29&gt;DR$60,3,(AND(DR29&lt;DR$60,DR29&gt;DR$59)),2,DR29&lt;DR$59,1)</f>
        <v>1</v>
      </c>
      <c r="DT29" s="91" t="s">
        <v>590</v>
      </c>
      <c r="DU29" s="213" cm="1">
        <f t="array" ref="DU29">_xlfn.IFS(DT29="no data","",DT29="40-45", 1, DT29= "45-50", 1, DT29="50-55", 1, DT29 ="30-35", 2, DT29="25-30", 2, DT29="35-40", 2, DT29="20-25", 3, DT29="15-20", 3)</f>
        <v>1</v>
      </c>
      <c r="DV29" s="88">
        <v>5054469832.3371887</v>
      </c>
      <c r="DW29" s="88" cm="1">
        <f t="array" ref="DW29">_xlfn.IFS(DV29&gt;DV$60,3,(AND(DV29&lt;DV$60,DV29&gt;DV$59)),2,DV29&lt;DV$59,1)</f>
        <v>2</v>
      </c>
      <c r="DX29" s="93">
        <v>6</v>
      </c>
      <c r="DY29" s="88" cm="1">
        <f t="array" ref="DY29">_xlfn.IFS(DX29&gt;6.99,1,AND(DX29 &gt; 3, DX29 &lt; 7),2,DX29&lt;3.99,3)</f>
        <v>2</v>
      </c>
      <c r="DZ29" s="94">
        <f t="shared" si="3"/>
        <v>1.4999999999999998</v>
      </c>
      <c r="EA29" s="95">
        <v>525700</v>
      </c>
      <c r="EB29" s="82">
        <v>502800</v>
      </c>
      <c r="EC29" s="44">
        <v>3429</v>
      </c>
      <c r="ED29" s="44">
        <v>0</v>
      </c>
      <c r="EE29" s="82">
        <v>0</v>
      </c>
      <c r="EF29" s="82">
        <f t="shared" si="34"/>
        <v>0</v>
      </c>
      <c r="EG29" s="204" cm="1">
        <f t="array" ref="EG29">_xlfn.IFS(EF29=0, 1, EF29&gt;2, 3, 0&gt;EF29&gt;3,2)</f>
        <v>1</v>
      </c>
      <c r="EH29" s="82">
        <v>0</v>
      </c>
      <c r="EI29" s="82">
        <v>0</v>
      </c>
      <c r="EJ29" s="82">
        <f t="shared" si="35"/>
        <v>0</v>
      </c>
      <c r="EK29" s="82" cm="1">
        <f t="array" ref="EK29">_xlfn.IFS(EH29+EI29=0, 1, EH29+EI29&gt;5, 3, EH29+EI29=5, 2, 0&gt;EH29+EI29&gt;5, 2)</f>
        <v>1</v>
      </c>
      <c r="EL29" s="82">
        <v>0</v>
      </c>
      <c r="EM29" s="82">
        <v>2</v>
      </c>
      <c r="EN29" s="82" cm="1">
        <f t="array" ref="EN29">_xlfn.IFS(EL29+EM29=0, 1, EL29+EM29&gt;10, 3, EL29+EM29 = 10, 2, 0&gt;EL29+EM29&gt;10, 2)</f>
        <v>2</v>
      </c>
      <c r="EO29" s="96">
        <f t="shared" si="4"/>
        <v>1.3333333333333333</v>
      </c>
      <c r="EP29" s="44">
        <v>2</v>
      </c>
      <c r="EQ29" s="61" cm="1">
        <f t="array" ref="EQ29">_xlfn.IFS(EP29=0, 1, EP29&gt;$EP$60, 3, EP29&lt;$EP$60, 2)</f>
        <v>3</v>
      </c>
      <c r="ER29" s="100">
        <v>0</v>
      </c>
      <c r="ES29" s="100" cm="1">
        <f t="array" ref="ES29">_xlfn.IFS(ER29=0, 1, ER29&gt;$ER$59, 3, ER29&lt;$ER$59, 2)</f>
        <v>1</v>
      </c>
      <c r="ET29" s="44">
        <v>0</v>
      </c>
      <c r="EU29" s="44" cm="1">
        <f t="array" ref="EU29">_xlfn.IFS(ET29=0, 1, ET29=1, 2, ET29&gt;1, 3)</f>
        <v>1</v>
      </c>
      <c r="EV29" s="413">
        <f t="shared" si="36"/>
        <v>1.4</v>
      </c>
      <c r="EW29" s="82">
        <v>45.82</v>
      </c>
      <c r="EX29" s="210" cm="1">
        <f t="array" ref="EX29">_xlfn.IFS(EW29&gt;EX$60,3,(AND(EW29&lt;EX$60,EW29&gt;EX$59)),2,EW29&lt;EX$59,1)</f>
        <v>2</v>
      </c>
      <c r="EY29" s="253">
        <v>480705773.56312501</v>
      </c>
      <c r="EZ29" s="210" cm="1">
        <f t="array" ref="EZ29">_xlfn.IFS(EY29&gt;EZ$60,3,(AND(EY29&lt;EZ$60,EY29&gt;EZ$59)),2,EY29&lt;EZ$59,1)</f>
        <v>2</v>
      </c>
      <c r="FA29" s="253">
        <v>2147378342885</v>
      </c>
      <c r="FB29" s="210" cm="1">
        <f t="array" ref="FB29">_xlfn.IFS(FA29&gt;FB$60,3,(AND(FA29&lt;FB$60,FA29&gt;FB$59)),2,FA29&lt;FB$59,1)</f>
        <v>2</v>
      </c>
      <c r="FC29" s="416">
        <f t="shared" si="5"/>
        <v>2</v>
      </c>
      <c r="FD29" s="81">
        <v>3.42</v>
      </c>
      <c r="FE29" s="81" cm="1">
        <f t="array" ref="FE29">_xlfn.IFS(FD29&gt;$FD$60, 3, FD29&lt;$FD$59, 1, FD29&gt;$FD$59, 2)</f>
        <v>3</v>
      </c>
      <c r="FF29" s="44">
        <v>2</v>
      </c>
      <c r="FG29" s="61" cm="1">
        <f t="array" ref="FG29">_xlfn.IFS(FF29&lt;$FF$59, 1, FF29&gt;$FF$60, 3, FF29 = $FF$60, 3, FF29&lt;$FF$60, 2)</f>
        <v>3</v>
      </c>
      <c r="FH29" s="97">
        <f t="shared" si="6"/>
        <v>3</v>
      </c>
      <c r="FI29" s="102">
        <v>1</v>
      </c>
      <c r="FJ29" s="44">
        <v>3</v>
      </c>
      <c r="FK29" s="98">
        <f t="shared" si="7"/>
        <v>4</v>
      </c>
      <c r="FL29" s="98" cm="1">
        <f t="array" ref="FL29">_xlfn.IFS(FK29&gt;$FK$60, 3, FK29&lt;$FK$59, 1, FK29&gt;$FK$59, 2, FK29=$FK$59, 2)</f>
        <v>2</v>
      </c>
      <c r="FM29" s="417">
        <f t="shared" si="8"/>
        <v>2</v>
      </c>
    </row>
    <row r="30" spans="1:169" ht="20.100000000000001" customHeight="1">
      <c r="A30" s="38" t="s">
        <v>130</v>
      </c>
      <c r="B30" s="44" t="s">
        <v>564</v>
      </c>
      <c r="C30" s="44">
        <v>3</v>
      </c>
      <c r="D30" s="44" t="s">
        <v>599</v>
      </c>
      <c r="E30" s="44">
        <v>2</v>
      </c>
      <c r="F30" s="61" t="s">
        <v>543</v>
      </c>
      <c r="G30" s="61" cm="1">
        <f t="array" ref="G30">_xlfn.IFS(F30= "Yes", 3, F30 &lt;&gt; "Yes", 1)</f>
        <v>1</v>
      </c>
      <c r="H30" s="44" t="s">
        <v>552</v>
      </c>
      <c r="I30" s="44">
        <v>2</v>
      </c>
      <c r="J30" s="44" t="s">
        <v>543</v>
      </c>
      <c r="K30" s="44">
        <v>1</v>
      </c>
      <c r="L30" s="193">
        <f t="shared" si="37"/>
        <v>2</v>
      </c>
      <c r="M30" s="48" t="s">
        <v>543</v>
      </c>
      <c r="N30" s="44">
        <v>1</v>
      </c>
      <c r="O30" s="44" t="s">
        <v>543</v>
      </c>
      <c r="P30" s="44">
        <v>1</v>
      </c>
      <c r="Q30" s="44" t="s">
        <v>556</v>
      </c>
      <c r="R30" s="44">
        <v>3</v>
      </c>
      <c r="S30" s="48" t="s">
        <v>543</v>
      </c>
      <c r="T30" s="44">
        <v>1</v>
      </c>
      <c r="U30" s="44" t="s">
        <v>543</v>
      </c>
      <c r="V30" s="44">
        <v>1</v>
      </c>
      <c r="W30" s="44" t="s">
        <v>543</v>
      </c>
      <c r="X30" s="44">
        <v>1</v>
      </c>
      <c r="Y30" s="39" t="s">
        <v>543</v>
      </c>
      <c r="Z30" s="44">
        <v>1</v>
      </c>
      <c r="AA30" s="72">
        <f t="shared" si="9"/>
        <v>1.2</v>
      </c>
      <c r="AB30" s="103" t="s">
        <v>600</v>
      </c>
      <c r="AC30" s="104" t="s">
        <v>572</v>
      </c>
      <c r="AD30" s="44">
        <v>3</v>
      </c>
      <c r="AE30" s="44" t="s">
        <v>561</v>
      </c>
      <c r="AF30" s="44" cm="1">
        <f t="array" ref="AF30">_xlfn.IFS(AE30="NA", 1, AE30="No", 1, AE30="Yes, implicit", 2, AE30="Yes, explicit", 3)</f>
        <v>3</v>
      </c>
      <c r="AG30" s="44" t="s">
        <v>556</v>
      </c>
      <c r="AH30" s="44" t="s">
        <v>556</v>
      </c>
      <c r="AI30" s="44">
        <v>3</v>
      </c>
      <c r="AJ30" s="73">
        <f t="shared" si="0"/>
        <v>3</v>
      </c>
      <c r="AK30" s="76" t="s">
        <v>544</v>
      </c>
      <c r="AL30" s="74">
        <f t="shared" si="10"/>
        <v>1</v>
      </c>
      <c r="AM30" s="74" t="s">
        <v>545</v>
      </c>
      <c r="AN30" s="74">
        <f t="shared" si="11"/>
        <v>1</v>
      </c>
      <c r="AO30" s="74" t="s">
        <v>545</v>
      </c>
      <c r="AP30" s="74">
        <f t="shared" si="12"/>
        <v>1</v>
      </c>
      <c r="AQ30" s="75">
        <f t="shared" si="13"/>
        <v>0.30000000000000004</v>
      </c>
      <c r="AR30" s="74" t="s">
        <v>545</v>
      </c>
      <c r="AS30" s="74">
        <f t="shared" si="14"/>
        <v>1</v>
      </c>
      <c r="AT30" s="74" t="s">
        <v>545</v>
      </c>
      <c r="AU30" s="74">
        <f t="shared" si="15"/>
        <v>1</v>
      </c>
      <c r="AV30" s="74">
        <f t="shared" si="16"/>
        <v>0.2</v>
      </c>
      <c r="AW30" s="76" t="s">
        <v>545</v>
      </c>
      <c r="AX30" s="195">
        <f t="shared" si="1"/>
        <v>0.4</v>
      </c>
      <c r="AY30" s="76" t="s">
        <v>546</v>
      </c>
      <c r="AZ30" s="76">
        <f t="shared" si="17"/>
        <v>3</v>
      </c>
      <c r="BA30" s="76" t="s">
        <v>545</v>
      </c>
      <c r="BB30" s="74">
        <f t="shared" si="18"/>
        <v>1</v>
      </c>
      <c r="BC30" s="76" t="s">
        <v>181</v>
      </c>
      <c r="BD30" s="74">
        <f t="shared" si="19"/>
        <v>3</v>
      </c>
      <c r="BE30" s="76">
        <f t="shared" si="20"/>
        <v>0.70000000000000007</v>
      </c>
      <c r="BF30" s="76"/>
      <c r="BG30" s="76"/>
      <c r="BH30" s="77">
        <f t="shared" si="38"/>
        <v>0</v>
      </c>
      <c r="BI30" s="77">
        <f t="shared" si="39"/>
        <v>0</v>
      </c>
      <c r="BJ30" s="77">
        <f t="shared" si="40"/>
        <v>0</v>
      </c>
      <c r="BK30" s="77">
        <f t="shared" si="41"/>
        <v>0</v>
      </c>
      <c r="BL30" s="78">
        <f t="shared" si="21"/>
        <v>1.6</v>
      </c>
      <c r="BM30" s="76" t="s">
        <v>545</v>
      </c>
      <c r="BN30" s="197" cm="1">
        <f t="array" ref="BN30">_xlfn.IFS(BM30="Y", 3, BM30="N", 2)</f>
        <v>2</v>
      </c>
      <c r="BO30" s="76" t="s">
        <v>545</v>
      </c>
      <c r="BP30" s="197" cm="1">
        <f t="array" ref="BP30">_xlfn.IFS(BO30="Y", 3, BO30="N", 2)</f>
        <v>2</v>
      </c>
      <c r="BQ30" s="79">
        <f>SUMPRODUCT($BM$6:$BP$6, BM30:BP30)</f>
        <v>2</v>
      </c>
      <c r="BR30" s="44">
        <v>25400</v>
      </c>
      <c r="BS30" s="44">
        <f t="shared" si="23"/>
        <v>25400000</v>
      </c>
      <c r="BT30" s="44">
        <f t="shared" si="24"/>
        <v>39687.5</v>
      </c>
      <c r="BU30" s="80">
        <v>79627</v>
      </c>
      <c r="BV30" s="81">
        <f t="shared" si="25"/>
        <v>49.841762216333656</v>
      </c>
      <c r="BW30" s="82" cm="1">
        <f t="array" ref="BW30">_xlfn.IFS(BV30&gt;44, 3, BV30&lt;26, 1, 44&gt;BV30&gt;26, 2)</f>
        <v>3</v>
      </c>
      <c r="BX30" s="82">
        <v>27543897</v>
      </c>
      <c r="BY30" s="82" cm="1">
        <f t="array" ref="BY30">_xlfn.IFS(BX30&gt;12000000, 3, BX30&lt;4000000, 1, 4000000&gt;BX30&gt;12000000, 2)</f>
        <v>3</v>
      </c>
      <c r="BZ30" s="80">
        <v>6.9088105790463681</v>
      </c>
      <c r="CA30" s="82" cm="1">
        <f t="array" ref="CA30">_xlfn.IFS(BZ30&gt;$BZ$60, 1, BZ30&lt;$BZ$59, 3, BZ30&gt;$BZ$59, 2, BZ30=$BZ$59, 2)</f>
        <v>2</v>
      </c>
      <c r="CB30" s="413">
        <f t="shared" si="26"/>
        <v>2.6500000000000004</v>
      </c>
      <c r="CC30" s="44">
        <v>4702165</v>
      </c>
      <c r="CD30" s="44" cm="1">
        <f t="array" ref="CD30">_xlfn.IFS(CC30&gt;4200000, 3, CC30&lt;1700000, 1, 4200000&gt;CC30&gt;1700000, 2)</f>
        <v>3</v>
      </c>
      <c r="CE30" s="44">
        <v>755415.7999999997</v>
      </c>
      <c r="CF30" s="44" cm="1">
        <f t="array" ref="CF30">_xlfn.IFS(CE30&lt;120000, 1, CE30&gt;620000, 3, 620000&gt;CE30&gt;120000, 2)</f>
        <v>3</v>
      </c>
      <c r="CG30" s="44">
        <v>14857124.799999995</v>
      </c>
      <c r="CH30" s="44" cm="1">
        <f t="array" ref="CH30">_xlfn.IFS(CG30&lt;300000, 1, CG30&gt;1700000, 3, 300000&gt;CG30&gt;170000, 2)</f>
        <v>3</v>
      </c>
      <c r="CI30" s="44">
        <v>55.493872539999998</v>
      </c>
      <c r="CJ30" s="61" cm="1">
        <f t="array" ref="CJ30">_xlfn.IFS(CI30&lt;$CI$60, 1, CI30&gt;$CI$61, 3, CI30&lt;$CI$61, 2)</f>
        <v>2</v>
      </c>
      <c r="CK30" s="205">
        <f t="shared" si="27"/>
        <v>2.75</v>
      </c>
      <c r="CL30" s="44">
        <v>3971940</v>
      </c>
      <c r="CM30" s="48" cm="1">
        <f t="array" ref="CM30">_xlfn.IFS(CL30&gt;4600000, 3, CL30&lt;430000, 1, 4600000&gt;CL30&gt;430000, 2)</f>
        <v>2</v>
      </c>
      <c r="CN30" s="72">
        <f t="shared" si="2"/>
        <v>2</v>
      </c>
      <c r="CO30" s="39">
        <v>0</v>
      </c>
      <c r="CP30" s="65" cm="1">
        <f t="array" ref="CP30">_xlfn.IFS(CO30=0, 1, CO30="active", 3, CO30="permitted", 2)</f>
        <v>1</v>
      </c>
      <c r="CQ30" s="39">
        <v>0</v>
      </c>
      <c r="CR30" s="39" cm="1">
        <f t="array" ref="CR30">_xlfn.IFS(CQ30=0, 1, CQ30&lt;&gt;0, 3)</f>
        <v>1</v>
      </c>
      <c r="CS30" s="72">
        <v>1</v>
      </c>
      <c r="CT30" s="44" t="s">
        <v>545</v>
      </c>
      <c r="CU30" s="82">
        <v>0</v>
      </c>
      <c r="CV30" s="107">
        <v>86936</v>
      </c>
      <c r="CW30" s="39" t="s">
        <v>542</v>
      </c>
      <c r="CX30" s="207" cm="1">
        <f t="array" ref="CX30">_xlfn.IFS(CT30="N", 0, CW30&lt;$CW$61, 2, CW30 = $CW$61, 2, CW30&gt;$CW$61, 3)</f>
        <v>0</v>
      </c>
      <c r="CY30" s="207" t="s">
        <v>542</v>
      </c>
      <c r="CZ30" s="207" t="str" cm="1">
        <f t="array" ref="CZ30">_xlfn.IFS(CY30="NA", "NA", CY30=0, 1, CY30=1, 2, CY30&gt;1, 3)</f>
        <v>NA</v>
      </c>
      <c r="DA30" s="201">
        <f t="shared" si="28"/>
        <v>0</v>
      </c>
      <c r="DB30" s="86">
        <v>0</v>
      </c>
      <c r="DC30" s="61" cm="1">
        <f t="array" ref="DC30">_xlfn.IFS(DB30&gt;$DB$61, 3, DB30=0, 1, DB30&lt;$DB$61, 2, DB30=$DB$61, 2)</f>
        <v>1</v>
      </c>
      <c r="DD30" s="87">
        <v>3726</v>
      </c>
      <c r="DE30" s="44" cm="1">
        <f t="array" ref="DE30">_xlfn.IFS(DD30&gt;$DD$62, 3, DD30&lt;$DD$60, 1, DD30&gt;$DD$60, 2, DD30=$DD$60, 2)</f>
        <v>2</v>
      </c>
      <c r="DF30" s="44">
        <v>0</v>
      </c>
      <c r="DG30" s="61" cm="1">
        <f t="array" ref="DG30">_xlfn.IFS(DF30=0, 1, DF30&lt;$DF$61, 2, DF30&gt;$DF$61, 3)</f>
        <v>1</v>
      </c>
      <c r="DH30" s="415">
        <f t="shared" si="29"/>
        <v>1.3333333333333319</v>
      </c>
      <c r="DI30" s="82">
        <v>515789551</v>
      </c>
      <c r="DJ30" s="82">
        <f t="shared" si="30"/>
        <v>58880.085730593608</v>
      </c>
      <c r="DK30" s="88">
        <v>8704.4000000000015</v>
      </c>
      <c r="DL30" s="89">
        <f t="shared" si="31"/>
        <v>0.14783266518712398</v>
      </c>
      <c r="DM30" s="88" cm="1">
        <f t="array" ref="DM30">_xlfn.IFS(DL30&gt;$DL$60,3,(AND(DL30&lt;$DL$60,DL30&gt;$DL$59)),2,DL30&lt;$DL$59,1)</f>
        <v>2</v>
      </c>
      <c r="DN30" s="88">
        <v>18553</v>
      </c>
      <c r="DO30" s="90">
        <f t="shared" si="32"/>
        <v>3.5970096648972244E-2</v>
      </c>
      <c r="DP30" s="88" cm="1">
        <f t="array" ref="DP30">_xlfn.IFS(DO30&gt;DO$60,3,(AND(DO30&lt;DO$60,DO30&gt;DO$59)),2,DO30&lt;DO$59,1)</f>
        <v>2</v>
      </c>
      <c r="DQ30" s="91">
        <v>13373.6</v>
      </c>
      <c r="DR30" s="92">
        <f t="shared" si="33"/>
        <v>0.15772960166138569</v>
      </c>
      <c r="DS30" s="88" cm="1">
        <f t="array" ref="DS30">_xlfn.IFS(DR30&gt;DR$60,3,(AND(DR30&lt;DR$60,DR30&gt;DR$59)),2,DR30&lt;DR$59,1)</f>
        <v>1</v>
      </c>
      <c r="DT30" s="91" t="s">
        <v>575</v>
      </c>
      <c r="DU30" s="213" cm="1">
        <f t="array" ref="DU30">_xlfn.IFS(DT30="no data","",DT30="40-45", 1, DT30= "45-50", 1, DT30="50-55", 1, DT30 ="30-35", 2, DT30="25-30", 2, DT30="35-40", 2, DT30="20-25", 3, DT30="15-20", 3)</f>
        <v>1</v>
      </c>
      <c r="DV30" s="88">
        <v>7760079405.3888187</v>
      </c>
      <c r="DW30" s="88" cm="1">
        <f t="array" ref="DW30">_xlfn.IFS(DV30&gt;DV$60,3,(AND(DV30&lt;DV$60,DV30&gt;DV$59)),2,DV30&lt;DV$59,1)</f>
        <v>3</v>
      </c>
      <c r="DX30" s="93">
        <v>4</v>
      </c>
      <c r="DY30" s="88" cm="1">
        <f t="array" ref="DY30">_xlfn.IFS(DX30&gt;6.99,1,AND(DX30 &gt; 3, DX30 &lt; 7),2,DX30&lt;3.99,3)</f>
        <v>2</v>
      </c>
      <c r="DZ30" s="94">
        <f t="shared" si="3"/>
        <v>1.9000000000000001</v>
      </c>
      <c r="EA30" s="95">
        <v>1186900</v>
      </c>
      <c r="EB30" s="82">
        <v>954300</v>
      </c>
      <c r="EC30" s="82">
        <v>4373</v>
      </c>
      <c r="ED30" s="82">
        <v>0</v>
      </c>
      <c r="EE30" s="82">
        <v>0</v>
      </c>
      <c r="EF30" s="82">
        <f t="shared" si="34"/>
        <v>0</v>
      </c>
      <c r="EG30" s="204" cm="1">
        <f t="array" ref="EG30">_xlfn.IFS(EF30=0, 1, EF30&gt;2, 3, 0&gt;EF30&gt;3,2)</f>
        <v>1</v>
      </c>
      <c r="EH30" s="82">
        <v>0</v>
      </c>
      <c r="EI30" s="82">
        <v>0</v>
      </c>
      <c r="EJ30" s="82">
        <f t="shared" si="35"/>
        <v>0</v>
      </c>
      <c r="EK30" s="82" cm="1">
        <f t="array" ref="EK30">_xlfn.IFS(EH30+EI30=0, 1, EH30+EI30&gt;5, 3, EH30+EI30=5, 2, 0&gt;EH30+EI30&gt;5, 2)</f>
        <v>1</v>
      </c>
      <c r="EL30" s="82">
        <v>8</v>
      </c>
      <c r="EM30" s="82">
        <v>0</v>
      </c>
      <c r="EN30" s="82" cm="1">
        <f t="array" ref="EN30">_xlfn.IFS(EL30+EM30=0, 1, EL30+EM30&gt;10, 3, EL30+EM30 = 10, 2, 0&gt;EL30+EM30&gt;10, 2)</f>
        <v>2</v>
      </c>
      <c r="EO30" s="96">
        <f t="shared" si="4"/>
        <v>1.3333333333333333</v>
      </c>
      <c r="EP30" s="44">
        <v>3</v>
      </c>
      <c r="EQ30" s="61" cm="1">
        <f t="array" ref="EQ30">_xlfn.IFS(EP30=0, 1, EP30&gt;$EP$60, 3, EP30&lt;$EP$60, 2)</f>
        <v>3</v>
      </c>
      <c r="ER30" s="100">
        <v>0</v>
      </c>
      <c r="ES30" s="100" cm="1">
        <f t="array" ref="ES30">_xlfn.IFS(ER30=0, 1, ER30&gt;$ER$59, 3, ER30&lt;$ER$59, 2)</f>
        <v>1</v>
      </c>
      <c r="ET30" s="44">
        <v>0</v>
      </c>
      <c r="EU30" s="44" cm="1">
        <f t="array" ref="EU30">_xlfn.IFS(ET30=0, 1, ET30=1, 2, ET30&gt;1, 3)</f>
        <v>1</v>
      </c>
      <c r="EV30" s="413">
        <f t="shared" si="36"/>
        <v>1.4</v>
      </c>
      <c r="EW30" s="82">
        <v>0</v>
      </c>
      <c r="EX30" s="210" cm="1">
        <f t="array" ref="EX30">_xlfn.IFS(EW30&gt;EX$60,3,(AND(EW30&lt;EX$60,EW30&gt;EX$59)),2,EW30&lt;EX$59,1)</f>
        <v>1</v>
      </c>
      <c r="EY30" s="253">
        <v>22250629808.736179</v>
      </c>
      <c r="EZ30" s="210" cm="1">
        <f t="array" ref="EZ30">_xlfn.IFS(EY30&gt;EZ$60,3,(AND(EY30&lt;EZ$60,EY30&gt;EZ$59)),2,EY30&lt;EZ$59,1)</f>
        <v>3</v>
      </c>
      <c r="FA30" s="253">
        <v>55333299401110</v>
      </c>
      <c r="FB30" s="210" cm="1">
        <f t="array" ref="FB30">_xlfn.IFS(FA30&gt;FB$60,3,(AND(FA30&lt;FB$60,FA30&gt;FB$59)),2,FA30&lt;FB$59,1)</f>
        <v>3</v>
      </c>
      <c r="FC30" s="416">
        <f t="shared" si="5"/>
        <v>2</v>
      </c>
      <c r="FD30" s="81">
        <v>4.8600000000000003</v>
      </c>
      <c r="FE30" s="81" cm="1">
        <f t="array" ref="FE30">_xlfn.IFS(FD30&gt;$FD$60, 3, FD30&lt;$FD$59, 1, FD30&gt;$FD$59, 2)</f>
        <v>3</v>
      </c>
      <c r="FF30" s="44">
        <v>0</v>
      </c>
      <c r="FG30" s="61" cm="1">
        <f t="array" ref="FG30">_xlfn.IFS(FF30&lt;$FF$59, 1, FF30&gt;$FF$60, 3, FF30 = $FF$60, 3, FF30&lt;$FF$60, 2)</f>
        <v>1</v>
      </c>
      <c r="FH30" s="97">
        <f t="shared" si="6"/>
        <v>2.1999999999999997</v>
      </c>
      <c r="FI30" s="102">
        <v>2</v>
      </c>
      <c r="FJ30" s="44">
        <v>7</v>
      </c>
      <c r="FK30" s="98">
        <f t="shared" si="7"/>
        <v>9</v>
      </c>
      <c r="FL30" s="98" cm="1">
        <f t="array" ref="FL30">_xlfn.IFS(FK30&gt;$FK$60, 3, FK30&lt;$FK$59, 1, FK30&gt;$FK$59, 2, FK30=$FK$59, 2)</f>
        <v>3</v>
      </c>
      <c r="FM30" s="99">
        <f t="shared" si="8"/>
        <v>3</v>
      </c>
    </row>
    <row r="31" spans="1:169" ht="20.100000000000001" customHeight="1">
      <c r="A31" s="38" t="s">
        <v>131</v>
      </c>
      <c r="B31" s="44" t="s">
        <v>541</v>
      </c>
      <c r="C31" s="44">
        <v>1</v>
      </c>
      <c r="D31" s="44" t="s">
        <v>542</v>
      </c>
      <c r="E31" s="44">
        <v>1</v>
      </c>
      <c r="F31" s="61" t="s">
        <v>543</v>
      </c>
      <c r="G31" s="61" cm="1">
        <f t="array" ref="G31">_xlfn.IFS(F31= "Yes", 3, F31 &lt;&gt; "Yes", 1)</f>
        <v>1</v>
      </c>
      <c r="H31" s="44" t="s">
        <v>543</v>
      </c>
      <c r="I31" s="44">
        <v>1</v>
      </c>
      <c r="J31" s="44" t="s">
        <v>543</v>
      </c>
      <c r="K31" s="44">
        <v>1</v>
      </c>
      <c r="L31" s="193">
        <f t="shared" si="37"/>
        <v>0.99999999999999989</v>
      </c>
      <c r="M31" s="48" t="s">
        <v>543</v>
      </c>
      <c r="N31" s="44">
        <v>1</v>
      </c>
      <c r="O31" s="44" t="s">
        <v>543</v>
      </c>
      <c r="P31" s="44">
        <v>1</v>
      </c>
      <c r="Q31" s="44" t="s">
        <v>543</v>
      </c>
      <c r="R31" s="44">
        <v>1</v>
      </c>
      <c r="S31" s="48" t="s">
        <v>543</v>
      </c>
      <c r="T31" s="44">
        <v>1</v>
      </c>
      <c r="U31" s="44" t="s">
        <v>543</v>
      </c>
      <c r="V31" s="44">
        <v>1</v>
      </c>
      <c r="W31" s="44" t="s">
        <v>543</v>
      </c>
      <c r="X31" s="44">
        <v>1</v>
      </c>
      <c r="Y31" s="39" t="s">
        <v>543</v>
      </c>
      <c r="Z31" s="44">
        <v>1</v>
      </c>
      <c r="AA31" s="72">
        <f t="shared" si="9"/>
        <v>0.99999999999999978</v>
      </c>
      <c r="AB31" s="39" t="s">
        <v>543</v>
      </c>
      <c r="AC31" s="44" t="s">
        <v>542</v>
      </c>
      <c r="AD31" s="44">
        <v>1</v>
      </c>
      <c r="AE31" s="44" t="s">
        <v>568</v>
      </c>
      <c r="AF31" s="44" cm="1">
        <f t="array" ref="AF31">_xlfn.IFS(AE31="NA", 1, AE31="No", 1, AE31="Yes, implicit", 2, AE31="Yes, explicit", 3)</f>
        <v>2</v>
      </c>
      <c r="AG31" s="44" t="s">
        <v>543</v>
      </c>
      <c r="AH31" s="44" t="s">
        <v>543</v>
      </c>
      <c r="AI31" s="44">
        <v>1</v>
      </c>
      <c r="AJ31" s="73">
        <f t="shared" si="0"/>
        <v>1.2</v>
      </c>
      <c r="AK31" s="76" t="s">
        <v>544</v>
      </c>
      <c r="AL31" s="74">
        <f t="shared" si="10"/>
        <v>1</v>
      </c>
      <c r="AM31" s="74" t="s">
        <v>545</v>
      </c>
      <c r="AN31" s="74">
        <f t="shared" si="11"/>
        <v>1</v>
      </c>
      <c r="AO31" s="74" t="s">
        <v>545</v>
      </c>
      <c r="AP31" s="74">
        <f t="shared" si="12"/>
        <v>1</v>
      </c>
      <c r="AQ31" s="75">
        <f t="shared" si="13"/>
        <v>0.30000000000000004</v>
      </c>
      <c r="AR31" s="74" t="s">
        <v>545</v>
      </c>
      <c r="AS31" s="74">
        <f t="shared" si="14"/>
        <v>1</v>
      </c>
      <c r="AT31" s="74" t="s">
        <v>545</v>
      </c>
      <c r="AU31" s="74">
        <f t="shared" si="15"/>
        <v>1</v>
      </c>
      <c r="AV31" s="74">
        <f t="shared" si="16"/>
        <v>0.2</v>
      </c>
      <c r="AW31" s="76" t="s">
        <v>545</v>
      </c>
      <c r="AX31" s="195">
        <f t="shared" si="1"/>
        <v>0.4</v>
      </c>
      <c r="AY31" s="76" t="s">
        <v>545</v>
      </c>
      <c r="AZ31" s="76">
        <f t="shared" si="17"/>
        <v>1</v>
      </c>
      <c r="BA31" s="76" t="s">
        <v>545</v>
      </c>
      <c r="BB31" s="74">
        <f t="shared" si="18"/>
        <v>1</v>
      </c>
      <c r="BC31" s="76" t="s">
        <v>181</v>
      </c>
      <c r="BD31" s="74">
        <f t="shared" si="19"/>
        <v>3</v>
      </c>
      <c r="BE31" s="76">
        <f t="shared" si="20"/>
        <v>0.5</v>
      </c>
      <c r="BF31" s="76"/>
      <c r="BG31" s="76"/>
      <c r="BH31" s="77">
        <f t="shared" si="38"/>
        <v>0</v>
      </c>
      <c r="BI31" s="77">
        <f t="shared" si="39"/>
        <v>0</v>
      </c>
      <c r="BJ31" s="77">
        <f t="shared" si="40"/>
        <v>0</v>
      </c>
      <c r="BK31" s="77">
        <f t="shared" si="41"/>
        <v>0</v>
      </c>
      <c r="BL31" s="78">
        <f t="shared" si="21"/>
        <v>1.4000000000000001</v>
      </c>
      <c r="BM31" s="76" t="s">
        <v>181</v>
      </c>
      <c r="BN31" s="197" cm="1">
        <f t="array" ref="BN31">_xlfn.IFS(BM31="Y", 3, BM31="N", 2)</f>
        <v>3</v>
      </c>
      <c r="BO31" s="76" t="s">
        <v>181</v>
      </c>
      <c r="BP31" s="197" cm="1">
        <f t="array" ref="BP31">_xlfn.IFS(BO31="Y", 3, BO31="N", 2)</f>
        <v>3</v>
      </c>
      <c r="BQ31" s="79">
        <f>SUMPRODUCT($BM$6:$BP$6, BM31:BP31)</f>
        <v>3</v>
      </c>
      <c r="BR31" s="44">
        <v>10400</v>
      </c>
      <c r="BS31" s="44">
        <f t="shared" si="23"/>
        <v>10400000</v>
      </c>
      <c r="BT31" s="44">
        <f t="shared" si="24"/>
        <v>16250</v>
      </c>
      <c r="BU31" s="80">
        <v>46923</v>
      </c>
      <c r="BV31" s="81">
        <f t="shared" si="25"/>
        <v>34.631204313449693</v>
      </c>
      <c r="BW31" s="82" cm="1">
        <f t="array" ref="BW31">_xlfn.IFS(BV31&gt;44, 3, BV31&lt;26, 1, 44&gt;BV31&gt;26, 2)</f>
        <v>2</v>
      </c>
      <c r="BX31" s="82">
        <v>8290678</v>
      </c>
      <c r="BY31" s="82" cm="1">
        <f t="array" ref="BY31">_xlfn.IFS(BX31&gt;12000000, 3, BX31&lt;4000000, 1, 4000000&gt;BX31&gt;12000000, 2)</f>
        <v>2</v>
      </c>
      <c r="BZ31" s="80">
        <v>5.3784887595620852</v>
      </c>
      <c r="CA31" s="82" cm="1">
        <f t="array" ref="CA31">_xlfn.IFS(BZ31&gt;$BZ$60, 1, BZ31&lt;$BZ$59, 3, BZ31&gt;$BZ$59, 2, BZ31=$BZ$59, 2)</f>
        <v>3</v>
      </c>
      <c r="CB31" s="413">
        <f t="shared" si="26"/>
        <v>2.3499999999999996</v>
      </c>
      <c r="CC31" s="44">
        <v>1668192</v>
      </c>
      <c r="CD31" s="44" cm="1">
        <f t="array" ref="CD31">_xlfn.IFS(CC31&gt;4200000, 3, CC31&lt;1700000, 1, 4200000&gt;CC31&gt;1700000, 2)</f>
        <v>1</v>
      </c>
      <c r="CE31" s="44">
        <v>1660040.2699999998</v>
      </c>
      <c r="CF31" s="44" cm="1">
        <f t="array" ref="CF31">_xlfn.IFS(CE31&lt;120000, 1, CE31&gt;620000, 3, 620000&gt;CE31&gt;120000, 2)</f>
        <v>3</v>
      </c>
      <c r="CG31" s="44">
        <v>929838.00000000023</v>
      </c>
      <c r="CH31" s="44" cm="1">
        <f t="array" ref="CH31">_xlfn.IFS(CG31&lt;300000, 1, CG31&gt;1700000, 3, 300000&gt;CG31&gt;170000, 2)</f>
        <v>2</v>
      </c>
      <c r="CI31" s="44">
        <v>33.76454064</v>
      </c>
      <c r="CJ31" s="61" cm="1">
        <f t="array" ref="CJ31">_xlfn.IFS(CI31&lt;$CI$60, 1, CI31&gt;$CI$61, 3, CI31&lt;$CI$61, 2)</f>
        <v>1</v>
      </c>
      <c r="CK31" s="205">
        <f t="shared" si="27"/>
        <v>1.75</v>
      </c>
      <c r="CL31" s="44">
        <v>6496829</v>
      </c>
      <c r="CM31" s="48" cm="1">
        <f t="array" ref="CM31">_xlfn.IFS(CL31&gt;4600000, 3, CL31&lt;430000, 1, 4600000&gt;CL31&gt;430000, 2)</f>
        <v>3</v>
      </c>
      <c r="CN31" s="72">
        <f t="shared" si="2"/>
        <v>3</v>
      </c>
      <c r="CO31" s="39">
        <v>0</v>
      </c>
      <c r="CP31" s="65" cm="1">
        <f t="array" ref="CP31">_xlfn.IFS(CO31=0, 1, CO31="active", 3, CO31="permitted", 2)</f>
        <v>1</v>
      </c>
      <c r="CQ31" s="39">
        <v>0</v>
      </c>
      <c r="CR31" s="39" cm="1">
        <f t="array" ref="CR31">_xlfn.IFS(CQ31=0, 1, CQ31&lt;&gt;0, 3)</f>
        <v>1</v>
      </c>
      <c r="CS31" s="72">
        <v>1</v>
      </c>
      <c r="CT31" s="48" t="s">
        <v>181</v>
      </c>
      <c r="CU31" s="48">
        <v>739</v>
      </c>
      <c r="CV31" s="107">
        <v>48432</v>
      </c>
      <c r="CW31" s="39">
        <f>CU31/CV31</f>
        <v>1.5258506772381896E-2</v>
      </c>
      <c r="CX31" s="207" cm="1">
        <f t="array" ref="CX31">_xlfn.IFS(CT31="N", 0, CW31&lt;$CW$61, 2, CW31 = $CW$61, 2, CW31&gt;$CW$61, 3)</f>
        <v>2</v>
      </c>
      <c r="CY31" s="207">
        <v>1</v>
      </c>
      <c r="CZ31" s="207" cm="1">
        <f t="array" ref="CZ31">_xlfn.IFS(CY31="NA", "NA", CY31=0, 1, CY31=1, 2, CY31&gt;1, 3)</f>
        <v>2</v>
      </c>
      <c r="DA31" s="201">
        <f t="shared" si="28"/>
        <v>2</v>
      </c>
      <c r="DB31" s="101">
        <v>1253</v>
      </c>
      <c r="DC31" s="61" cm="1">
        <f t="array" ref="DC31">_xlfn.IFS(DB31&gt;$DB$61, 3, DB31=0, 1, DB31&lt;$DB$61, 2, DB31=$DB$61, 2)</f>
        <v>3</v>
      </c>
      <c r="DD31" s="87">
        <v>7520</v>
      </c>
      <c r="DE31" s="44" cm="1">
        <f t="array" ref="DE31">_xlfn.IFS(DD31&gt;$DD$62, 3, DD31&lt;$DD$60, 1, DD31&gt;$DD$60, 2, DD31=$DD$60, 2)</f>
        <v>2</v>
      </c>
      <c r="DF31" s="44">
        <v>16</v>
      </c>
      <c r="DG31" s="61" cm="1">
        <f t="array" ref="DG31">_xlfn.IFS(DF31=0, 1, DF31&lt;$DF$61, 2, DF31&gt;$DF$61, 3)</f>
        <v>2</v>
      </c>
      <c r="DH31" s="415">
        <f t="shared" si="29"/>
        <v>2.3333333333333308</v>
      </c>
      <c r="DI31" s="82">
        <v>322312529</v>
      </c>
      <c r="DJ31" s="82">
        <f t="shared" si="30"/>
        <v>36793.66769406393</v>
      </c>
      <c r="DK31" s="88">
        <v>2176.4999999999995</v>
      </c>
      <c r="DL31" s="89">
        <f t="shared" si="31"/>
        <v>5.915420061129549E-2</v>
      </c>
      <c r="DM31" s="88" cm="1">
        <f t="array" ref="DM31">_xlfn.IFS(DL31&gt;$DL$60,3,(AND(DL31&lt;$DL$60,DL31&gt;$DL$59)),2,DL31&lt;$DL$59,1)</f>
        <v>1</v>
      </c>
      <c r="DN31" s="88">
        <v>1925</v>
      </c>
      <c r="DO31" s="90">
        <f t="shared" si="32"/>
        <v>5.972464073836857E-3</v>
      </c>
      <c r="DP31" s="88" cm="1">
        <f t="array" ref="DP31">_xlfn.IFS(DO31&gt;DO$60,3,(AND(DO31&lt;DO$60,DO31&gt;DO$59)),2,DO31&lt;DO$59,1)</f>
        <v>1</v>
      </c>
      <c r="DQ31" s="91">
        <v>25819</v>
      </c>
      <c r="DR31" s="92">
        <f t="shared" si="33"/>
        <v>0.38796778014810518</v>
      </c>
      <c r="DS31" s="88" cm="1">
        <f t="array" ref="DS31">_xlfn.IFS(DR31&gt;DR$60,3,(AND(DR31&lt;DR$60,DR31&gt;DR$59)),2,DR31&lt;DR$59,1)</f>
        <v>3</v>
      </c>
      <c r="DT31" s="91" t="s">
        <v>547</v>
      </c>
      <c r="DU31" s="213" cm="1">
        <f t="array" ref="DU31">_xlfn.IFS(DT31="no data","",DT31="40-45", 1, DT31= "45-50", 1, DT31="50-55", 1, DT31 ="30-35", 2, DT31="25-30", 2, DT31="35-40", 2, DT31="20-25", 3, DT31="15-20", 3)</f>
        <v>2</v>
      </c>
      <c r="DV31" s="88">
        <v>5776803352.0128689</v>
      </c>
      <c r="DW31" s="88" cm="1">
        <f t="array" ref="DW31">_xlfn.IFS(DV31&gt;DV$60,3,(AND(DV31&lt;DV$60,DV31&gt;DV$59)),2,DV31&lt;DV$59,1)</f>
        <v>2</v>
      </c>
      <c r="DX31" s="93">
        <v>7</v>
      </c>
      <c r="DY31" s="88" cm="1">
        <f t="array" ref="DY31">_xlfn.IFS(DX31&gt;6.99,1,AND(DX31 &gt; 3, DX31 &lt; 7),2,DX31&lt;3.99,3)</f>
        <v>1</v>
      </c>
      <c r="DZ31" s="94">
        <f t="shared" si="3"/>
        <v>1.4000000000000001</v>
      </c>
      <c r="EA31" s="95">
        <v>121200</v>
      </c>
      <c r="EB31" s="82">
        <v>144400</v>
      </c>
      <c r="EC31" s="82">
        <v>2541</v>
      </c>
      <c r="ED31" s="82">
        <v>0</v>
      </c>
      <c r="EE31" s="82">
        <v>0</v>
      </c>
      <c r="EF31" s="82">
        <f t="shared" si="34"/>
        <v>0</v>
      </c>
      <c r="EG31" s="204" cm="1">
        <f t="array" ref="EG31">_xlfn.IFS(EF31=0, 1, EF31&gt;2, 3, 0&gt;EF31&gt;3,2)</f>
        <v>1</v>
      </c>
      <c r="EH31" s="82">
        <v>0</v>
      </c>
      <c r="EI31" s="82">
        <v>0</v>
      </c>
      <c r="EJ31" s="82">
        <f t="shared" si="35"/>
        <v>0</v>
      </c>
      <c r="EK31" s="82" cm="1">
        <f t="array" ref="EK31">_xlfn.IFS(EH31+EI31=0, 1, EH31+EI31&gt;5, 3, EH31+EI31=5, 2, 0&gt;EH31+EI31&gt;5, 2)</f>
        <v>1</v>
      </c>
      <c r="EL31" s="82">
        <v>0</v>
      </c>
      <c r="EM31" s="82">
        <v>0</v>
      </c>
      <c r="EN31" s="82" cm="1">
        <f t="array" ref="EN31">_xlfn.IFS(EL31+EM31=0, 1, EL31+EM31&gt;10, 3, EL31+EM31 = 10, 2, 0&gt;EL31+EM31&gt;10, 2)</f>
        <v>1</v>
      </c>
      <c r="EO31" s="96">
        <f t="shared" si="4"/>
        <v>1</v>
      </c>
      <c r="EP31" s="44">
        <v>1.5</v>
      </c>
      <c r="EQ31" s="61" cm="1">
        <f t="array" ref="EQ31">_xlfn.IFS(EP31=0, 1, EP31&gt;$EP$60, 3, EP31&lt;$EP$60, 2)</f>
        <v>2</v>
      </c>
      <c r="ER31" s="100">
        <v>498.8</v>
      </c>
      <c r="ES31" s="100" cm="1">
        <f t="array" ref="ES31">_xlfn.IFS(ER31=0, 1, ER31&gt;$ER$59, 3, ER31&lt;$ER$59, 2)</f>
        <v>3</v>
      </c>
      <c r="ET31" s="44">
        <v>0</v>
      </c>
      <c r="EU31" s="44" cm="1">
        <f t="array" ref="EU31">_xlfn.IFS(ET31=0, 1, ET31=1, 2, ET31&gt;1, 3)</f>
        <v>1</v>
      </c>
      <c r="EV31" s="413">
        <f t="shared" si="36"/>
        <v>2</v>
      </c>
      <c r="EW31" s="82">
        <v>468.06</v>
      </c>
      <c r="EX31" s="210" cm="1">
        <f t="array" ref="EX31">_xlfn.IFS(EW31&gt;EX$60,3,(AND(EW31&lt;EX$60,EW31&gt;EX$59)),2,EW31&lt;EX$59,1)</f>
        <v>3</v>
      </c>
      <c r="EY31" s="82">
        <v>0</v>
      </c>
      <c r="EZ31" s="210" cm="1">
        <f t="array" ref="EZ31">_xlfn.IFS(EY31&gt;EZ$60,3,(AND(EY31&lt;EZ$60,EY31&gt;EZ$59)),2,EY31&lt;EZ$59,1)</f>
        <v>1</v>
      </c>
      <c r="FA31" s="82">
        <v>0</v>
      </c>
      <c r="FB31" s="210" cm="1">
        <f t="array" ref="FB31">_xlfn.IFS(FA31&gt;FB$60,3,(AND(FA31&lt;FB$60,FA31&gt;FB$59)),2,FA31&lt;FB$59,1)</f>
        <v>1</v>
      </c>
      <c r="FC31" s="416">
        <f t="shared" si="5"/>
        <v>2</v>
      </c>
      <c r="FD31" s="81">
        <v>0.23</v>
      </c>
      <c r="FE31" s="81" cm="1">
        <f t="array" ref="FE31">_xlfn.IFS(FD31&gt;$FD$60, 3, FD31&lt;$FD$59, 1, FD31&gt;$FD$59, 2)</f>
        <v>1</v>
      </c>
      <c r="FF31" s="44">
        <v>5</v>
      </c>
      <c r="FG31" s="61" cm="1">
        <f t="array" ref="FG31">_xlfn.IFS(FF31&lt;$FF$59, 1, FF31&gt;$FF$60, 3, FF31 = $FF$60, 3, FF31&lt;$FF$60, 2)</f>
        <v>3</v>
      </c>
      <c r="FH31" s="97">
        <f t="shared" si="6"/>
        <v>1.8000000000000003</v>
      </c>
      <c r="FI31" s="102">
        <v>1</v>
      </c>
      <c r="FJ31" s="44">
        <v>3</v>
      </c>
      <c r="FK31" s="98">
        <f t="shared" si="7"/>
        <v>4</v>
      </c>
      <c r="FL31" s="98" cm="1">
        <f t="array" ref="FL31">_xlfn.IFS(FK31&gt;$FK$60, 3, FK31&lt;$FK$59, 1, FK31&gt;$FK$59, 2, FK31=$FK$59, 2)</f>
        <v>2</v>
      </c>
      <c r="FM31" s="99">
        <f t="shared" si="8"/>
        <v>2</v>
      </c>
    </row>
    <row r="32" spans="1:169" ht="20.100000000000001" customHeight="1">
      <c r="A32" s="38" t="s">
        <v>132</v>
      </c>
      <c r="B32" s="44" t="s">
        <v>541</v>
      </c>
      <c r="C32" s="44">
        <v>1</v>
      </c>
      <c r="D32" s="44" t="s">
        <v>542</v>
      </c>
      <c r="E32" s="44">
        <v>1</v>
      </c>
      <c r="F32" s="61" t="s">
        <v>543</v>
      </c>
      <c r="G32" s="61" cm="1">
        <f t="array" ref="G32">_xlfn.IFS(F32= "Yes", 3, F32 &lt;&gt; "Yes", 1)</f>
        <v>1</v>
      </c>
      <c r="H32" s="44" t="s">
        <v>543</v>
      </c>
      <c r="I32" s="44">
        <v>1</v>
      </c>
      <c r="J32" s="44" t="s">
        <v>543</v>
      </c>
      <c r="K32" s="44">
        <v>1</v>
      </c>
      <c r="L32" s="193">
        <f t="shared" si="37"/>
        <v>0.99999999999999989</v>
      </c>
      <c r="M32" s="48" t="s">
        <v>543</v>
      </c>
      <c r="N32" s="44">
        <v>1</v>
      </c>
      <c r="O32" s="44" t="s">
        <v>543</v>
      </c>
      <c r="P32" s="44">
        <v>1</v>
      </c>
      <c r="Q32" s="44" t="s">
        <v>543</v>
      </c>
      <c r="R32" s="44">
        <v>1</v>
      </c>
      <c r="S32" s="48" t="s">
        <v>543</v>
      </c>
      <c r="T32" s="44">
        <v>1</v>
      </c>
      <c r="U32" s="44" t="s">
        <v>543</v>
      </c>
      <c r="V32" s="44">
        <v>1</v>
      </c>
      <c r="W32" s="44" t="s">
        <v>543</v>
      </c>
      <c r="X32" s="44">
        <v>1</v>
      </c>
      <c r="Y32" s="39" t="s">
        <v>543</v>
      </c>
      <c r="Z32" s="44">
        <v>1</v>
      </c>
      <c r="AA32" s="72">
        <f t="shared" si="9"/>
        <v>0.99999999999999978</v>
      </c>
      <c r="AB32" s="39" t="s">
        <v>543</v>
      </c>
      <c r="AC32" s="44" t="s">
        <v>542</v>
      </c>
      <c r="AD32" s="44">
        <v>1</v>
      </c>
      <c r="AE32" s="44" t="s">
        <v>543</v>
      </c>
      <c r="AF32" s="44" cm="1">
        <f t="array" ref="AF32">_xlfn.IFS(AE32="NA", 1, AE32="No", 1, AE32="Yes, implicit", 2, AE32="Yes, explicit", 3)</f>
        <v>1</v>
      </c>
      <c r="AG32" s="44" t="s">
        <v>543</v>
      </c>
      <c r="AH32" s="44" t="s">
        <v>543</v>
      </c>
      <c r="AI32" s="44">
        <v>1</v>
      </c>
      <c r="AJ32" s="73">
        <f t="shared" si="0"/>
        <v>1</v>
      </c>
      <c r="AK32" s="76" t="s">
        <v>544</v>
      </c>
      <c r="AL32" s="74">
        <f t="shared" si="10"/>
        <v>1</v>
      </c>
      <c r="AM32" s="74" t="s">
        <v>545</v>
      </c>
      <c r="AN32" s="74">
        <f t="shared" si="11"/>
        <v>1</v>
      </c>
      <c r="AO32" s="74" t="s">
        <v>545</v>
      </c>
      <c r="AP32" s="74">
        <f t="shared" si="12"/>
        <v>1</v>
      </c>
      <c r="AQ32" s="75">
        <f t="shared" si="13"/>
        <v>0.30000000000000004</v>
      </c>
      <c r="AR32" s="74" t="s">
        <v>545</v>
      </c>
      <c r="AS32" s="74">
        <f t="shared" si="14"/>
        <v>1</v>
      </c>
      <c r="AT32" s="74" t="s">
        <v>545</v>
      </c>
      <c r="AU32" s="74">
        <f t="shared" si="15"/>
        <v>1</v>
      </c>
      <c r="AV32" s="74">
        <f t="shared" si="16"/>
        <v>0.2</v>
      </c>
      <c r="AW32" s="76" t="s">
        <v>545</v>
      </c>
      <c r="AX32" s="195">
        <f t="shared" si="1"/>
        <v>0.4</v>
      </c>
      <c r="AY32" s="76" t="s">
        <v>545</v>
      </c>
      <c r="AZ32" s="76">
        <f t="shared" si="17"/>
        <v>1</v>
      </c>
      <c r="BA32" s="76" t="s">
        <v>545</v>
      </c>
      <c r="BB32" s="74">
        <f t="shared" si="18"/>
        <v>1</v>
      </c>
      <c r="BC32" s="76" t="s">
        <v>545</v>
      </c>
      <c r="BD32" s="74">
        <f t="shared" si="19"/>
        <v>1</v>
      </c>
      <c r="BE32" s="76">
        <f t="shared" si="20"/>
        <v>0.30000000000000004</v>
      </c>
      <c r="BF32" s="76"/>
      <c r="BG32" s="76"/>
      <c r="BH32" s="77">
        <f t="shared" si="38"/>
        <v>0</v>
      </c>
      <c r="BI32" s="77">
        <f t="shared" si="39"/>
        <v>0</v>
      </c>
      <c r="BJ32" s="77">
        <f t="shared" si="40"/>
        <v>0</v>
      </c>
      <c r="BK32" s="77">
        <f t="shared" si="41"/>
        <v>0</v>
      </c>
      <c r="BL32" s="78">
        <f t="shared" si="21"/>
        <v>1.2000000000000002</v>
      </c>
      <c r="BM32" s="76" t="s">
        <v>181</v>
      </c>
      <c r="BN32" s="197" cm="1">
        <f t="array" ref="BN32">_xlfn.IFS(BM32="Y", 3, BM32="N", 2)</f>
        <v>3</v>
      </c>
      <c r="BO32" s="76" t="s">
        <v>181</v>
      </c>
      <c r="BP32" s="197" cm="1">
        <f t="array" ref="BP32">_xlfn.IFS(BO32="Y", 3, BO32="N", 2)</f>
        <v>3</v>
      </c>
      <c r="BQ32" s="79">
        <f t="shared" ref="BQ32:BQ38" si="42">SUMPRODUCT($BM$6:$BP$6, BM32:BP32)</f>
        <v>3</v>
      </c>
      <c r="BR32" s="44">
        <v>27500</v>
      </c>
      <c r="BS32" s="44">
        <f t="shared" si="23"/>
        <v>27500000</v>
      </c>
      <c r="BT32" s="44">
        <f t="shared" si="24"/>
        <v>42968.75</v>
      </c>
      <c r="BU32" s="80">
        <v>68742</v>
      </c>
      <c r="BV32" s="81">
        <f t="shared" si="25"/>
        <v>62.507273573652213</v>
      </c>
      <c r="BW32" s="82" cm="1">
        <f t="array" ref="BW32">_xlfn.IFS(BV32&gt;44, 3, BV32&lt;26, 1, 44&gt;BV32&gt;26, 2)</f>
        <v>3</v>
      </c>
      <c r="BX32" s="82">
        <v>15779310</v>
      </c>
      <c r="BY32" s="82" cm="1">
        <f t="array" ref="BY32">_xlfn.IFS(BX32&gt;12000000, 3, BX32&lt;4000000, 1, 4000000&gt;BX32&gt;12000000, 2)</f>
        <v>3</v>
      </c>
      <c r="BZ32" s="80">
        <v>5.9932656678578082</v>
      </c>
      <c r="CA32" s="82" cm="1">
        <f t="array" ref="CA32">_xlfn.IFS(BZ32&gt;$BZ$60, 1, BZ32&lt;$BZ$59, 3, BZ32&gt;$BZ$59, 2, BZ32=$BZ$59, 2)</f>
        <v>3</v>
      </c>
      <c r="CB32" s="413">
        <f t="shared" si="26"/>
        <v>3</v>
      </c>
      <c r="CC32" s="44">
        <v>3530050</v>
      </c>
      <c r="CD32" s="44" cm="1">
        <f t="array" ref="CD32">_xlfn.IFS(CC32&gt;4200000, 3, CC32&lt;1700000, 1, 4200000&gt;CC32&gt;1700000, 2)</f>
        <v>2</v>
      </c>
      <c r="CE32" s="44">
        <v>480631.83999999973</v>
      </c>
      <c r="CF32" s="44" cm="1">
        <f t="array" ref="CF32">_xlfn.IFS(CE32&lt;120000, 1, CE32&gt;620000, 3, 620000&gt;CE32&gt;120000, 2)</f>
        <v>2</v>
      </c>
      <c r="CG32" s="44">
        <v>3811048.9000000022</v>
      </c>
      <c r="CH32" s="44" cm="1">
        <f t="array" ref="CH32">_xlfn.IFS(CG32&lt;300000, 1, CG32&gt;1700000, 3, 300000&gt;CG32&gt;170000, 2)</f>
        <v>3</v>
      </c>
      <c r="CI32" s="44">
        <v>49.824731290000003</v>
      </c>
      <c r="CJ32" s="61" cm="1">
        <f t="array" ref="CJ32">_xlfn.IFS(CI32&lt;$CI$60, 1, CI32&gt;$CI$61, 3, CI32&lt;$CI$61, 2)</f>
        <v>2</v>
      </c>
      <c r="CK32" s="205">
        <f t="shared" si="27"/>
        <v>2.3499999999999996</v>
      </c>
      <c r="CL32" s="108">
        <v>28000000</v>
      </c>
      <c r="CM32" s="48" cm="1">
        <f t="array" ref="CM32">_xlfn.IFS(CL32&gt;4600000, 3, CL32&lt;430000, 1, 4600000&gt;CL32&gt;430000, 2)</f>
        <v>3</v>
      </c>
      <c r="CN32" s="72">
        <f t="shared" si="2"/>
        <v>3</v>
      </c>
      <c r="CO32" s="39">
        <v>0</v>
      </c>
      <c r="CP32" s="65" cm="1">
        <f t="array" ref="CP32">_xlfn.IFS(CO32=0, 1, CO32="active", 3, CO32="permitted", 2)</f>
        <v>1</v>
      </c>
      <c r="CQ32" s="39">
        <v>0</v>
      </c>
      <c r="CR32" s="39" cm="1">
        <f t="array" ref="CR32">_xlfn.IFS(CQ32=0, 1, CQ32&lt;&gt;0, 3)</f>
        <v>1</v>
      </c>
      <c r="CS32" s="72">
        <v>1</v>
      </c>
      <c r="CT32" s="44" t="s">
        <v>545</v>
      </c>
      <c r="CU32" s="82">
        <v>0</v>
      </c>
      <c r="CV32" s="82">
        <v>69707</v>
      </c>
      <c r="CW32" s="39" t="s">
        <v>542</v>
      </c>
      <c r="CX32" s="207" cm="1">
        <f t="array" ref="CX32">_xlfn.IFS(CT32="N", 0, CW32&lt;$CW$61, 2, CW32 = $CW$61, 2, CW32&gt;$CW$61, 3)</f>
        <v>0</v>
      </c>
      <c r="CY32" s="207" t="s">
        <v>542</v>
      </c>
      <c r="CZ32" s="207" t="str" cm="1">
        <f t="array" ref="CZ32">_xlfn.IFS(CY32="NA", "NA", CY32=0, 1, CY32=1, 2, CY32&gt;1, 3)</f>
        <v>NA</v>
      </c>
      <c r="DA32" s="201">
        <f t="shared" si="28"/>
        <v>0</v>
      </c>
      <c r="DB32" s="86">
        <v>427</v>
      </c>
      <c r="DC32" s="61" cm="1">
        <f t="array" ref="DC32">_xlfn.IFS(DB32&gt;$DB$61, 3, DB32=0, 1, DB32&lt;$DB$61, 2, DB32=$DB$61, 2)</f>
        <v>3</v>
      </c>
      <c r="DD32" s="87">
        <v>10304</v>
      </c>
      <c r="DE32" s="44" cm="1">
        <f t="array" ref="DE32">_xlfn.IFS(DD32&gt;$DD$62, 3, DD32&lt;$DD$60, 1, DD32&gt;$DD$60, 2, DD32=$DD$60, 2)</f>
        <v>2</v>
      </c>
      <c r="DF32" s="44">
        <v>4892</v>
      </c>
      <c r="DG32" s="61" cm="1">
        <f t="array" ref="DG32">_xlfn.IFS(DF32=0, 1, DF32&lt;$DF$61, 2, DF32&gt;$DF$61, 3)</f>
        <v>3</v>
      </c>
      <c r="DH32" s="415">
        <f t="shared" si="29"/>
        <v>2.6666666666666634</v>
      </c>
      <c r="DI32" s="82">
        <v>508019651</v>
      </c>
      <c r="DJ32" s="82">
        <f t="shared" si="30"/>
        <v>57993.110844748859</v>
      </c>
      <c r="DK32" s="88">
        <v>4889.8</v>
      </c>
      <c r="DL32" s="89">
        <f t="shared" si="31"/>
        <v>8.4316911591280158E-2</v>
      </c>
      <c r="DM32" s="88" cm="1">
        <f t="array" ref="DM32">_xlfn.IFS(DL32&gt;$DL$60,3,(AND(DL32&lt;$DL$60,DL32&gt;$DL$59)),2,DL32&lt;$DL$59,1)</f>
        <v>1</v>
      </c>
      <c r="DN32" s="88">
        <v>8422</v>
      </c>
      <c r="DO32" s="90">
        <f t="shared" si="32"/>
        <v>1.6578098865707068E-2</v>
      </c>
      <c r="DP32" s="88" cm="1">
        <f t="array" ref="DP32">_xlfn.IFS(DO32&gt;DO$60,3,(AND(DO32&lt;DO$60,DO32&gt;DO$59)),2,DO32&lt;DO$59,1)</f>
        <v>2</v>
      </c>
      <c r="DQ32" s="91">
        <v>22181</v>
      </c>
      <c r="DR32" s="92">
        <f t="shared" si="33"/>
        <v>0.25333323151315135</v>
      </c>
      <c r="DS32" s="88" cm="1">
        <f t="array" ref="DS32">_xlfn.IFS(DR32&gt;DR$60,3,(AND(DR32&lt;DR$60,DR32&gt;DR$59)),2,DR32&lt;DR$59,1)</f>
        <v>2</v>
      </c>
      <c r="DT32" s="91" t="s">
        <v>587</v>
      </c>
      <c r="DU32" s="213" cm="1">
        <f t="array" ref="DU32">_xlfn.IFS(DT32="no data","",DT32="40-45", 1, DT32= "45-50", 1, DT32="50-55", 1, DT32 ="30-35", 2, DT32="25-30", 2, DT32="35-40", 2, DT32="20-25", 3, DT32="15-20", 3)</f>
        <v>2</v>
      </c>
      <c r="DV32" s="88">
        <v>7622808343.6394529</v>
      </c>
      <c r="DW32" s="88" cm="1">
        <f t="array" ref="DW32">_xlfn.IFS(DV32&gt;DV$60,3,(AND(DV32&lt;DV$60,DV32&gt;DV$59)),2,DV32&lt;DV$59,1)</f>
        <v>2</v>
      </c>
      <c r="DX32" s="93">
        <v>6</v>
      </c>
      <c r="DY32" s="88" cm="1">
        <f t="array" ref="DY32">_xlfn.IFS(DX32&gt;6.99,1,AND(DX32 &gt; 3, DX32 &lt; 7),2,DX32&lt;3.99,3)</f>
        <v>2</v>
      </c>
      <c r="DZ32" s="94">
        <f t="shared" si="3"/>
        <v>1.6999999999999997</v>
      </c>
      <c r="EA32" s="95">
        <v>451000</v>
      </c>
      <c r="EB32" s="82">
        <v>654000</v>
      </c>
      <c r="EC32" s="82">
        <v>3734</v>
      </c>
      <c r="ED32" s="82">
        <v>0</v>
      </c>
      <c r="EE32" s="82">
        <v>0</v>
      </c>
      <c r="EF32" s="82">
        <f t="shared" si="34"/>
        <v>0</v>
      </c>
      <c r="EG32" s="204" cm="1">
        <f t="array" ref="EG32">_xlfn.IFS(EF32=0, 1, EF32&gt;2, 3, 0&gt;EF32&gt;3,2)</f>
        <v>1</v>
      </c>
      <c r="EH32" s="82">
        <v>0</v>
      </c>
      <c r="EI32" s="82">
        <v>0</v>
      </c>
      <c r="EJ32" s="82">
        <f t="shared" si="35"/>
        <v>0</v>
      </c>
      <c r="EK32" s="82" cm="1">
        <f t="array" ref="EK32">_xlfn.IFS(EH32+EI32=0, 1, EH32+EI32&gt;5, 3, EH32+EI32=5, 2, 0&gt;EH32+EI32&gt;5, 2)</f>
        <v>1</v>
      </c>
      <c r="EL32" s="82">
        <v>0</v>
      </c>
      <c r="EM32" s="82">
        <v>0</v>
      </c>
      <c r="EN32" s="82" cm="1">
        <f t="array" ref="EN32">_xlfn.IFS(EL32+EM32=0, 1, EL32+EM32&gt;10, 3, EL32+EM32 = 10, 2, 0&gt;EL32+EM32&gt;10, 2)</f>
        <v>1</v>
      </c>
      <c r="EO32" s="96">
        <f t="shared" si="4"/>
        <v>1</v>
      </c>
      <c r="EP32" s="44">
        <v>0.5</v>
      </c>
      <c r="EQ32" s="61" cm="1">
        <f t="array" ref="EQ32">_xlfn.IFS(EP32=0, 1, EP32&gt;$EP$60, 3, EP32&lt;$EP$60, 2)</f>
        <v>2</v>
      </c>
      <c r="ER32" s="100">
        <v>0</v>
      </c>
      <c r="ES32" s="100" cm="1">
        <f t="array" ref="ES32">_xlfn.IFS(ER32=0, 1, ER32&gt;$ER$59, 3, ER32&lt;$ER$59, 2)</f>
        <v>1</v>
      </c>
      <c r="ET32" s="44">
        <v>0</v>
      </c>
      <c r="EU32" s="44" cm="1">
        <f t="array" ref="EU32">_xlfn.IFS(ET32=0, 1, ET32=1, 2, ET32&gt;1, 3)</f>
        <v>1</v>
      </c>
      <c r="EV32" s="413">
        <f t="shared" si="36"/>
        <v>1.2000000000000002</v>
      </c>
      <c r="EW32" s="82">
        <v>0.11</v>
      </c>
      <c r="EX32" s="210" cm="1">
        <f t="array" ref="EX32">_xlfn.IFS(EW32&gt;EX$60,3,(AND(EW32&lt;EX$60,EW32&gt;EX$59)),2,EW32&lt;EX$59,1)</f>
        <v>1</v>
      </c>
      <c r="EY32" s="82">
        <v>0</v>
      </c>
      <c r="EZ32" s="210" cm="1">
        <f t="array" ref="EZ32">_xlfn.IFS(EY32&gt;EZ$60,3,(AND(EY32&lt;EZ$60,EY32&gt;EZ$59)),2,EY32&lt;EZ$59,1)</f>
        <v>1</v>
      </c>
      <c r="FA32" s="82">
        <v>0</v>
      </c>
      <c r="FB32" s="210" cm="1">
        <f t="array" ref="FB32">_xlfn.IFS(FA32&gt;FB$60,3,(AND(FA32&lt;FB$60,FA32&gt;FB$59)),2,FA32&lt;FB$59,1)</f>
        <v>1</v>
      </c>
      <c r="FC32" s="416">
        <f t="shared" si="5"/>
        <v>1</v>
      </c>
      <c r="FD32" s="81">
        <v>3.21</v>
      </c>
      <c r="FE32" s="81" cm="1">
        <f t="array" ref="FE32">_xlfn.IFS(FD32&gt;$FD$60, 3, FD32&lt;$FD$59, 1, FD32&gt;$FD$59, 2)</f>
        <v>3</v>
      </c>
      <c r="FF32" s="44">
        <v>0</v>
      </c>
      <c r="FG32" s="61" cm="1">
        <f t="array" ref="FG32">_xlfn.IFS(FF32&lt;$FF$59, 1, FF32&gt;$FF$60, 3, FF32 = $FF$60, 3, FF32&lt;$FF$60, 2)</f>
        <v>1</v>
      </c>
      <c r="FH32" s="97">
        <f t="shared" si="6"/>
        <v>2.1999999999999997</v>
      </c>
      <c r="FI32" s="102">
        <v>2</v>
      </c>
      <c r="FJ32" s="44">
        <v>6</v>
      </c>
      <c r="FK32" s="98">
        <f t="shared" si="7"/>
        <v>8</v>
      </c>
      <c r="FL32" s="98" cm="1">
        <f t="array" ref="FL32">_xlfn.IFS(FK32&gt;$FK$60, 3, FK32&lt;$FK$59, 1, FK32&gt;$FK$59, 2, FK32=$FK$59, 2)</f>
        <v>3</v>
      </c>
      <c r="FM32" s="99">
        <f t="shared" si="8"/>
        <v>3</v>
      </c>
    </row>
    <row r="33" spans="1:169" ht="20.100000000000001" customHeight="1">
      <c r="A33" s="38" t="s">
        <v>133</v>
      </c>
      <c r="B33" s="44" t="s">
        <v>601</v>
      </c>
      <c r="C33" s="44">
        <v>2</v>
      </c>
      <c r="D33" s="44" t="s">
        <v>602</v>
      </c>
      <c r="E33" s="44">
        <v>3</v>
      </c>
      <c r="F33" s="61" t="s">
        <v>543</v>
      </c>
      <c r="G33" s="61" cm="1">
        <f t="array" ref="G33">_xlfn.IFS(F33= "Yes", 3, F33 &lt;&gt; "Yes", 1)</f>
        <v>1</v>
      </c>
      <c r="H33" s="44" t="s">
        <v>552</v>
      </c>
      <c r="I33" s="44">
        <v>2</v>
      </c>
      <c r="J33" s="44" t="s">
        <v>543</v>
      </c>
      <c r="K33" s="44">
        <v>1</v>
      </c>
      <c r="L33" s="193">
        <f t="shared" si="37"/>
        <v>1.8499999999999999</v>
      </c>
      <c r="M33" s="44" t="s">
        <v>543</v>
      </c>
      <c r="N33" s="44"/>
      <c r="O33" s="44" t="s">
        <v>543</v>
      </c>
      <c r="P33" s="44">
        <v>1</v>
      </c>
      <c r="Q33" s="44" t="s">
        <v>543</v>
      </c>
      <c r="R33" s="44">
        <v>1</v>
      </c>
      <c r="S33" s="48" t="s">
        <v>543</v>
      </c>
      <c r="T33" s="44">
        <v>1</v>
      </c>
      <c r="U33" s="44" t="s">
        <v>543</v>
      </c>
      <c r="V33" s="44">
        <v>1</v>
      </c>
      <c r="W33" s="44" t="s">
        <v>543</v>
      </c>
      <c r="X33" s="44">
        <v>1</v>
      </c>
      <c r="Y33" s="39" t="s">
        <v>543</v>
      </c>
      <c r="Z33" s="44">
        <v>1</v>
      </c>
      <c r="AA33" s="72">
        <f t="shared" si="9"/>
        <v>0.79999999999999993</v>
      </c>
      <c r="AB33" s="103" t="s">
        <v>603</v>
      </c>
      <c r="AC33" s="44" t="s">
        <v>545</v>
      </c>
      <c r="AD33" s="44">
        <v>2</v>
      </c>
      <c r="AE33" s="44" t="s">
        <v>543</v>
      </c>
      <c r="AF33" s="44" cm="1">
        <f t="array" ref="AF33">_xlfn.IFS(AE33="NA", 1, AE33="No", 1, AE33="Yes, implicit", 2, AE33="Yes, explicit", 3)</f>
        <v>1</v>
      </c>
      <c r="AG33" s="44" t="s">
        <v>543</v>
      </c>
      <c r="AH33" s="44" t="s">
        <v>543</v>
      </c>
      <c r="AI33" s="44">
        <v>1</v>
      </c>
      <c r="AJ33" s="73">
        <f t="shared" si="0"/>
        <v>1.5999999999999999</v>
      </c>
      <c r="AK33" s="76" t="s">
        <v>562</v>
      </c>
      <c r="AL33" s="74">
        <f t="shared" si="10"/>
        <v>3</v>
      </c>
      <c r="AM33" s="76" t="s">
        <v>181</v>
      </c>
      <c r="AN33" s="74">
        <f t="shared" si="11"/>
        <v>3</v>
      </c>
      <c r="AO33" s="76" t="s">
        <v>181</v>
      </c>
      <c r="AP33" s="74">
        <f t="shared" si="12"/>
        <v>3</v>
      </c>
      <c r="AQ33" s="75">
        <f t="shared" si="13"/>
        <v>0.90000000000000013</v>
      </c>
      <c r="AR33" s="74" t="s">
        <v>181</v>
      </c>
      <c r="AS33" s="74">
        <f t="shared" si="14"/>
        <v>3</v>
      </c>
      <c r="AT33" s="74" t="s">
        <v>545</v>
      </c>
      <c r="AU33" s="74">
        <f t="shared" si="15"/>
        <v>1</v>
      </c>
      <c r="AV33" s="74">
        <f t="shared" si="16"/>
        <v>0.4</v>
      </c>
      <c r="AW33" s="76" t="s">
        <v>545</v>
      </c>
      <c r="AX33" s="195">
        <f t="shared" si="1"/>
        <v>0.4</v>
      </c>
      <c r="AY33" s="76" t="s">
        <v>545</v>
      </c>
      <c r="AZ33" s="76">
        <f t="shared" si="17"/>
        <v>1</v>
      </c>
      <c r="BA33" s="76" t="s">
        <v>181</v>
      </c>
      <c r="BB33" s="74">
        <f t="shared" si="18"/>
        <v>3</v>
      </c>
      <c r="BC33" s="76" t="s">
        <v>181</v>
      </c>
      <c r="BD33" s="74">
        <f t="shared" si="19"/>
        <v>3</v>
      </c>
      <c r="BE33" s="76">
        <f t="shared" si="20"/>
        <v>0.70000000000000007</v>
      </c>
      <c r="BF33" s="76"/>
      <c r="BG33" s="76"/>
      <c r="BH33" s="77">
        <f t="shared" si="38"/>
        <v>0</v>
      </c>
      <c r="BI33" s="77">
        <f t="shared" si="39"/>
        <v>0</v>
      </c>
      <c r="BJ33" s="77">
        <f t="shared" si="40"/>
        <v>0</v>
      </c>
      <c r="BK33" s="77">
        <f t="shared" si="41"/>
        <v>0</v>
      </c>
      <c r="BL33" s="78">
        <f t="shared" si="21"/>
        <v>2.4000000000000004</v>
      </c>
      <c r="BM33" s="76" t="s">
        <v>181</v>
      </c>
      <c r="BN33" s="197" cm="1">
        <f t="array" ref="BN33">_xlfn.IFS(BM33="Y", 3, BM33="N", 2)</f>
        <v>3</v>
      </c>
      <c r="BO33" s="76" t="s">
        <v>545</v>
      </c>
      <c r="BP33" s="197" cm="1">
        <f t="array" ref="BP33">_xlfn.IFS(BO33="Y", 3, BO33="N", 2)</f>
        <v>2</v>
      </c>
      <c r="BQ33" s="79">
        <f t="shared" si="42"/>
        <v>2.25</v>
      </c>
      <c r="BR33" s="44">
        <v>57900</v>
      </c>
      <c r="BS33" s="44">
        <f t="shared" si="23"/>
        <v>57900000</v>
      </c>
      <c r="BT33" s="44">
        <f t="shared" si="24"/>
        <v>90468.75</v>
      </c>
      <c r="BU33" s="80">
        <v>145546</v>
      </c>
      <c r="BV33" s="81">
        <f t="shared" si="25"/>
        <v>62.158183667019365</v>
      </c>
      <c r="BW33" s="82" cm="1">
        <f t="array" ref="BW33">_xlfn.IFS(BV33&gt;44, 3, BV33&lt;26, 1, 44&gt;BV33&gt;26, 2)</f>
        <v>3</v>
      </c>
      <c r="BX33" s="82">
        <v>4851277</v>
      </c>
      <c r="BY33" s="82" cm="1">
        <f t="array" ref="BY33">_xlfn.IFS(BX33&gt;12000000, 3, BX33&lt;4000000, 1, 4000000&gt;BX33&gt;12000000, 2)</f>
        <v>2</v>
      </c>
      <c r="BZ33" s="80">
        <v>7.5500089300490698</v>
      </c>
      <c r="CA33" s="82" cm="1">
        <f t="array" ref="CA33">_xlfn.IFS(BZ33&gt;$BZ$60, 1, BZ33&lt;$BZ$59, 3, BZ33&gt;$BZ$59, 2, BZ33=$BZ$59, 2)</f>
        <v>1</v>
      </c>
      <c r="CB33" s="413">
        <f t="shared" si="26"/>
        <v>2.0500000000000003</v>
      </c>
      <c r="CC33" s="44">
        <v>549775</v>
      </c>
      <c r="CD33" s="44" cm="1">
        <f t="array" ref="CD33">_xlfn.IFS(CC33&gt;4200000, 3, CC33&lt;1700000, 1, 4200000&gt;CC33&gt;1700000, 2)</f>
        <v>1</v>
      </c>
      <c r="CE33" s="44">
        <v>1687.3400000000001</v>
      </c>
      <c r="CF33" s="44" cm="1">
        <f t="array" ref="CF33">_xlfn.IFS(CE33&lt;120000, 1, CE33&gt;620000, 3, 620000&gt;CE33&gt;120000, 2)</f>
        <v>1</v>
      </c>
      <c r="CG33" s="44">
        <v>1373299.3000000003</v>
      </c>
      <c r="CH33" s="44" cm="1">
        <f t="array" ref="CH33">_xlfn.IFS(CG33&lt;300000, 1, CG33&gt;1700000, 3, 300000&gt;CG33&gt;170000, 2)</f>
        <v>2</v>
      </c>
      <c r="CI33" s="44">
        <v>67.157742830000004</v>
      </c>
      <c r="CJ33" s="61" cm="1">
        <f t="array" ref="CJ33">_xlfn.IFS(CI33&lt;$CI$60, 1, CI33&gt;$CI$61, 3, CI33&lt;$CI$61, 2)</f>
        <v>3</v>
      </c>
      <c r="CK33" s="205">
        <f t="shared" si="27"/>
        <v>1.85</v>
      </c>
      <c r="CL33" s="44">
        <v>2509804</v>
      </c>
      <c r="CM33" s="48" cm="1">
        <f t="array" ref="CM33">_xlfn.IFS(CL33&gt;4600000, 3, CL33&lt;430000, 1, 4600000&gt;CL33&gt;430000, 2)</f>
        <v>2</v>
      </c>
      <c r="CN33" s="72">
        <f t="shared" si="2"/>
        <v>2</v>
      </c>
      <c r="CO33" s="39">
        <v>0</v>
      </c>
      <c r="CP33" s="65" cm="1">
        <f t="array" ref="CP33">_xlfn.IFS(CO33=0, 1, CO33="active", 3, CO33="permitted", 2)</f>
        <v>1</v>
      </c>
      <c r="CQ33" s="39">
        <v>0</v>
      </c>
      <c r="CR33" s="39" cm="1">
        <f t="array" ref="CR33">_xlfn.IFS(CQ33=0, 1, CQ33&lt;&gt;0, 3)</f>
        <v>1</v>
      </c>
      <c r="CS33" s="72">
        <v>1</v>
      </c>
      <c r="CT33" s="44" t="s">
        <v>545</v>
      </c>
      <c r="CU33" s="82">
        <v>0</v>
      </c>
      <c r="CV33" s="82">
        <v>147040</v>
      </c>
      <c r="CW33" s="39" t="s">
        <v>542</v>
      </c>
      <c r="CX33" s="207" cm="1">
        <f t="array" ref="CX33">_xlfn.IFS(CT33="N", 0, CW33&lt;$CW$61, 2, CW33 = $CW$61, 2, CW33&gt;$CW$61, 3)</f>
        <v>0</v>
      </c>
      <c r="CY33" s="207" t="s">
        <v>542</v>
      </c>
      <c r="CZ33" s="207" t="str" cm="1">
        <f t="array" ref="CZ33">_xlfn.IFS(CY33="NA", "NA", CY33=0, 1, CY33=1, 2, CY33&gt;1, 3)</f>
        <v>NA</v>
      </c>
      <c r="DA33" s="201">
        <f t="shared" si="28"/>
        <v>0</v>
      </c>
      <c r="DB33" s="101">
        <v>1268</v>
      </c>
      <c r="DC33" s="61" cm="1">
        <f t="array" ref="DC33">_xlfn.IFS(DB33&gt;$DB$61, 3, DB33=0, 1, DB33&lt;$DB$61, 2, DB33=$DB$61, 2)</f>
        <v>3</v>
      </c>
      <c r="DD33" s="87">
        <v>7350</v>
      </c>
      <c r="DE33" s="44" cm="1">
        <f t="array" ref="DE33">_xlfn.IFS(DD33&gt;$DD$62, 3, DD33&lt;$DD$60, 1, DD33&gt;$DD$60, 2, DD33=$DD$60, 2)</f>
        <v>2</v>
      </c>
      <c r="DF33" s="44">
        <v>264</v>
      </c>
      <c r="DG33" s="61" cm="1">
        <f t="array" ref="DG33">_xlfn.IFS(DF33=0, 1, DF33&lt;$DF$61, 2, DF33&gt;$DF$61, 3)</f>
        <v>2</v>
      </c>
      <c r="DH33" s="415">
        <f t="shared" si="29"/>
        <v>2.3333333333333308</v>
      </c>
      <c r="DI33" s="82">
        <v>115847770</v>
      </c>
      <c r="DJ33" s="82">
        <f t="shared" si="30"/>
        <v>13224.631278538813</v>
      </c>
      <c r="DK33" s="88">
        <v>4391.5999999999995</v>
      </c>
      <c r="DL33" s="89">
        <f t="shared" si="31"/>
        <v>0.33207731145795899</v>
      </c>
      <c r="DM33" s="88" cm="1">
        <f t="array" ref="DM33">_xlfn.IFS(DL33&gt;$DL$60,3,(AND(DL33&lt;$DL$60,DL33&gt;$DL$59)),2,DL33&lt;$DL$59,1)</f>
        <v>3</v>
      </c>
      <c r="DN33" s="88">
        <v>12506</v>
      </c>
      <c r="DO33" s="90">
        <f t="shared" si="32"/>
        <v>0.10795201323253784</v>
      </c>
      <c r="DP33" s="88" cm="1">
        <f t="array" ref="DP33">_xlfn.IFS(DO33&gt;DO$60,3,(AND(DO33&lt;DO$60,DO33&gt;DO$59)),2,DO33&lt;DO$59,1)</f>
        <v>3</v>
      </c>
      <c r="DQ33" s="91">
        <v>14042.52</v>
      </c>
      <c r="DR33" s="92">
        <f t="shared" si="33"/>
        <v>0.34397864362485026</v>
      </c>
      <c r="DS33" s="88" cm="1">
        <f t="array" ref="DS33">_xlfn.IFS(DR33&gt;DR$60,3,(AND(DR33&lt;DR$60,DR33&gt;DR$59)),2,DR33&lt;DR$59,1)</f>
        <v>3</v>
      </c>
      <c r="DT33" s="91" t="s">
        <v>587</v>
      </c>
      <c r="DU33" s="213" cm="1">
        <f t="array" ref="DU33">_xlfn.IFS(DT33="no data","",DT33="40-45", 1, DT33= "45-50", 1, DT33="50-55", 1, DT33 ="30-35", 2, DT33="25-30", 2, DT33="35-40", 2, DT33="20-25", 3, DT33="15-20", 3)</f>
        <v>2</v>
      </c>
      <c r="DV33" s="88">
        <v>11734497474.368299</v>
      </c>
      <c r="DW33" s="88" cm="1">
        <f t="array" ref="DW33">_xlfn.IFS(DV33&gt;DV$60,3,(AND(DV33&lt;DV$60,DV33&gt;DV$59)),2,DV33&lt;DV$59,1)</f>
        <v>3</v>
      </c>
      <c r="DX33" s="93">
        <v>6</v>
      </c>
      <c r="DY33" s="88" cm="1">
        <f t="array" ref="DY33">_xlfn.IFS(DX33&gt;6.99,1,AND(DX33 &gt; 3, DX33 &lt; 7),2,DX33&lt;3.99,3)</f>
        <v>2</v>
      </c>
      <c r="DZ33" s="94">
        <f t="shared" si="3"/>
        <v>2.8</v>
      </c>
      <c r="EA33" s="95">
        <v>302700</v>
      </c>
      <c r="EB33" s="82">
        <v>44500</v>
      </c>
      <c r="EC33" s="82">
        <v>3680</v>
      </c>
      <c r="ED33" s="82">
        <v>0</v>
      </c>
      <c r="EE33" s="82">
        <v>0</v>
      </c>
      <c r="EF33" s="82">
        <f t="shared" si="34"/>
        <v>0</v>
      </c>
      <c r="EG33" s="204" cm="1">
        <f t="array" ref="EG33">_xlfn.IFS(EF33=0, 1, EF33&gt;2, 3, 0&gt;EF33&gt;3,2)</f>
        <v>1</v>
      </c>
      <c r="EH33" s="82">
        <v>0</v>
      </c>
      <c r="EI33" s="82">
        <v>0</v>
      </c>
      <c r="EJ33" s="82">
        <f t="shared" si="35"/>
        <v>0</v>
      </c>
      <c r="EK33" s="82" cm="1">
        <f t="array" ref="EK33">_xlfn.IFS(EH33+EI33=0, 1, EH33+EI33&gt;5, 3, EH33+EI33=5, 2, 0&gt;EH33+EI33&gt;5, 2)</f>
        <v>1</v>
      </c>
      <c r="EL33" s="82">
        <v>17</v>
      </c>
      <c r="EM33" s="82">
        <v>5</v>
      </c>
      <c r="EN33" s="82" cm="1">
        <f t="array" ref="EN33">_xlfn.IFS(EL33+EM33=0, 1, EL33+EM33&gt;10, 3, EL33+EM33 = 10, 2, 0&gt;EL33+EM33&gt;10, 2)</f>
        <v>3</v>
      </c>
      <c r="EO33" s="96">
        <f t="shared" si="4"/>
        <v>1.6666666666666665</v>
      </c>
      <c r="EP33" s="44">
        <v>0.5</v>
      </c>
      <c r="EQ33" s="61" cm="1">
        <f t="array" ref="EQ33">_xlfn.IFS(EP33=0, 1, EP33&gt;$EP$60, 3, EP33&lt;$EP$60, 2)</f>
        <v>2</v>
      </c>
      <c r="ER33" s="100">
        <v>122.5</v>
      </c>
      <c r="ES33" s="100" cm="1">
        <f t="array" ref="ES33">_xlfn.IFS(ER33=0, 1, ER33&gt;$ER$59, 3, ER33&lt;$ER$59, 2)</f>
        <v>3</v>
      </c>
      <c r="ET33" s="44">
        <v>0</v>
      </c>
      <c r="EU33" s="44" cm="1">
        <f t="array" ref="EU33">_xlfn.IFS(ET33=0, 1, ET33=1, 2, ET33&gt;1, 3)</f>
        <v>1</v>
      </c>
      <c r="EV33" s="413">
        <f t="shared" si="36"/>
        <v>2</v>
      </c>
      <c r="EW33" s="82">
        <v>336.45</v>
      </c>
      <c r="EX33" s="210" cm="1">
        <f t="array" ref="EX33">_xlfn.IFS(EW33&gt;EX$60,3,(AND(EW33&lt;EX$60,EW33&gt;EX$59)),2,EW33&lt;EX$59,1)</f>
        <v>3</v>
      </c>
      <c r="EY33" s="253">
        <v>1733321663.6833124</v>
      </c>
      <c r="EZ33" s="210" cm="1">
        <f t="array" ref="EZ33">_xlfn.IFS(EY33&gt;EZ$60,3,(AND(EY33&lt;EZ$60,EY33&gt;EZ$59)),2,EY33&lt;EZ$59,1)</f>
        <v>3</v>
      </c>
      <c r="FA33" s="253">
        <v>1816211055775</v>
      </c>
      <c r="FB33" s="210" cm="1">
        <f t="array" ref="FB33">_xlfn.IFS(FA33&gt;FB$60,3,(AND(FA33&lt;FB$60,FA33&gt;FB$59)),2,FA33&lt;FB$59,1)</f>
        <v>2</v>
      </c>
      <c r="FC33" s="416">
        <f t="shared" si="5"/>
        <v>2.75</v>
      </c>
      <c r="FD33" s="81">
        <v>1.63</v>
      </c>
      <c r="FE33" s="81" cm="1">
        <f t="array" ref="FE33">_xlfn.IFS(FD33&gt;$FD$60, 3, FD33&lt;$FD$59, 1, FD33&gt;$FD$59, 2)</f>
        <v>2</v>
      </c>
      <c r="FF33" s="44">
        <v>2</v>
      </c>
      <c r="FG33" s="61" cm="1">
        <f t="array" ref="FG33">_xlfn.IFS(FF33&lt;$FF$59, 1, FF33&gt;$FF$60, 3, FF33 = $FF$60, 3, FF33&lt;$FF$60, 2)</f>
        <v>3</v>
      </c>
      <c r="FH33" s="97">
        <f t="shared" si="6"/>
        <v>2.4000000000000004</v>
      </c>
      <c r="FI33" s="102">
        <v>3</v>
      </c>
      <c r="FJ33" s="44">
        <v>0</v>
      </c>
      <c r="FK33" s="98">
        <f t="shared" si="7"/>
        <v>3</v>
      </c>
      <c r="FL33" s="98" cm="1">
        <f t="array" ref="FL33">_xlfn.IFS(FK33&gt;$FK$60, 3, FK33&lt;$FK$59, 1, FK33&gt;$FK$59, 2, FK33=$FK$59, 2)</f>
        <v>2</v>
      </c>
      <c r="FM33" s="99">
        <f t="shared" si="8"/>
        <v>2</v>
      </c>
    </row>
    <row r="34" spans="1:169" ht="20.100000000000001" customHeight="1">
      <c r="A34" s="38" t="s">
        <v>134</v>
      </c>
      <c r="B34" s="44" t="s">
        <v>541</v>
      </c>
      <c r="C34" s="44">
        <v>1</v>
      </c>
      <c r="D34" s="44" t="s">
        <v>542</v>
      </c>
      <c r="E34" s="44">
        <v>1</v>
      </c>
      <c r="F34" s="61" t="s">
        <v>543</v>
      </c>
      <c r="G34" s="61" cm="1">
        <f t="array" ref="G34">_xlfn.IFS(F34= "Yes", 3, F34 &lt;&gt; "Yes", 1)</f>
        <v>1</v>
      </c>
      <c r="H34" s="44" t="s">
        <v>543</v>
      </c>
      <c r="I34" s="44">
        <v>1</v>
      </c>
      <c r="J34" s="44" t="s">
        <v>543</v>
      </c>
      <c r="K34" s="44">
        <v>1</v>
      </c>
      <c r="L34" s="193">
        <f t="shared" si="37"/>
        <v>0.99999999999999989</v>
      </c>
      <c r="M34" s="48" t="s">
        <v>543</v>
      </c>
      <c r="N34" s="44">
        <v>1</v>
      </c>
      <c r="O34" s="44" t="s">
        <v>543</v>
      </c>
      <c r="P34" s="44">
        <v>1</v>
      </c>
      <c r="Q34" s="44" t="s">
        <v>543</v>
      </c>
      <c r="R34" s="44">
        <v>1</v>
      </c>
      <c r="S34" s="48" t="s">
        <v>543</v>
      </c>
      <c r="T34" s="44">
        <v>1</v>
      </c>
      <c r="U34" s="44" t="s">
        <v>543</v>
      </c>
      <c r="V34" s="44">
        <v>1</v>
      </c>
      <c r="W34" s="44" t="s">
        <v>543</v>
      </c>
      <c r="X34" s="44">
        <v>1</v>
      </c>
      <c r="Y34" s="39" t="s">
        <v>543</v>
      </c>
      <c r="Z34" s="44">
        <v>1</v>
      </c>
      <c r="AA34" s="72">
        <f t="shared" si="9"/>
        <v>0.99999999999999978</v>
      </c>
      <c r="AB34" s="39" t="s">
        <v>543</v>
      </c>
      <c r="AC34" s="44" t="s">
        <v>542</v>
      </c>
      <c r="AD34" s="44">
        <v>1</v>
      </c>
      <c r="AE34" s="44" t="s">
        <v>543</v>
      </c>
      <c r="AF34" s="44" cm="1">
        <f t="array" ref="AF34">_xlfn.IFS(AE34="NA", 1, AE34="No", 1, AE34="Yes, implicit", 2, AE34="Yes, explicit", 3)</f>
        <v>1</v>
      </c>
      <c r="AG34" s="44" t="s">
        <v>556</v>
      </c>
      <c r="AH34" s="44" t="s">
        <v>543</v>
      </c>
      <c r="AI34" s="44">
        <v>2</v>
      </c>
      <c r="AJ34" s="73">
        <f t="shared" si="0"/>
        <v>1.2000000000000002</v>
      </c>
      <c r="AK34" s="76" t="s">
        <v>544</v>
      </c>
      <c r="AL34" s="74">
        <f t="shared" si="10"/>
        <v>1</v>
      </c>
      <c r="AM34" s="74" t="s">
        <v>545</v>
      </c>
      <c r="AN34" s="74">
        <f t="shared" si="11"/>
        <v>1</v>
      </c>
      <c r="AO34" s="74" t="s">
        <v>545</v>
      </c>
      <c r="AP34" s="74">
        <f t="shared" si="12"/>
        <v>1</v>
      </c>
      <c r="AQ34" s="75">
        <f t="shared" si="13"/>
        <v>0.30000000000000004</v>
      </c>
      <c r="AR34" s="74" t="s">
        <v>545</v>
      </c>
      <c r="AS34" s="74">
        <f t="shared" si="14"/>
        <v>1</v>
      </c>
      <c r="AT34" s="74" t="s">
        <v>545</v>
      </c>
      <c r="AU34" s="74">
        <f t="shared" si="15"/>
        <v>1</v>
      </c>
      <c r="AV34" s="74">
        <f t="shared" si="16"/>
        <v>0.2</v>
      </c>
      <c r="AW34" s="76" t="s">
        <v>545</v>
      </c>
      <c r="AX34" s="195">
        <f t="shared" si="1"/>
        <v>0.4</v>
      </c>
      <c r="AY34" s="109" t="s">
        <v>545</v>
      </c>
      <c r="AZ34" s="76">
        <f t="shared" si="17"/>
        <v>1</v>
      </c>
      <c r="BA34" s="76" t="s">
        <v>545</v>
      </c>
      <c r="BB34" s="74">
        <f t="shared" si="18"/>
        <v>1</v>
      </c>
      <c r="BC34" s="76" t="s">
        <v>545</v>
      </c>
      <c r="BD34" s="74">
        <f t="shared" si="19"/>
        <v>1</v>
      </c>
      <c r="BE34" s="76">
        <f t="shared" si="20"/>
        <v>0.30000000000000004</v>
      </c>
      <c r="BF34" s="76"/>
      <c r="BG34" s="76"/>
      <c r="BH34" s="77">
        <f t="shared" si="38"/>
        <v>0</v>
      </c>
      <c r="BI34" s="77">
        <f t="shared" si="39"/>
        <v>0</v>
      </c>
      <c r="BJ34" s="77">
        <f t="shared" si="40"/>
        <v>0</v>
      </c>
      <c r="BK34" s="77">
        <f t="shared" si="41"/>
        <v>0</v>
      </c>
      <c r="BL34" s="78">
        <f t="shared" si="21"/>
        <v>1.2000000000000002</v>
      </c>
      <c r="BM34" s="76" t="s">
        <v>181</v>
      </c>
      <c r="BN34" s="197" cm="1">
        <f t="array" ref="BN34">_xlfn.IFS(BM34="Y", 3, BM34="N", 2)</f>
        <v>3</v>
      </c>
      <c r="BO34" s="76" t="s">
        <v>181</v>
      </c>
      <c r="BP34" s="197" cm="1">
        <f t="array" ref="BP34">_xlfn.IFS(BO34="Y", 3, BO34="N", 2)</f>
        <v>3</v>
      </c>
      <c r="BQ34" s="79">
        <f t="shared" si="42"/>
        <v>3</v>
      </c>
      <c r="BR34" s="44">
        <v>44800</v>
      </c>
      <c r="BS34" s="44">
        <f t="shared" si="23"/>
        <v>44800000</v>
      </c>
      <c r="BT34" s="44">
        <f t="shared" si="24"/>
        <v>70000</v>
      </c>
      <c r="BU34" s="80">
        <v>76824</v>
      </c>
      <c r="BV34" s="81">
        <f t="shared" si="25"/>
        <v>91.117359158596273</v>
      </c>
      <c r="BW34" s="82" cm="1">
        <f t="array" ref="BW34">_xlfn.IFS(BV34&gt;44, 3, BV34&lt;26, 1, 44&gt;BV34&gt;26, 2)</f>
        <v>3</v>
      </c>
      <c r="BX34" s="82">
        <v>33469437</v>
      </c>
      <c r="BY34" s="82" cm="1">
        <f t="array" ref="BY34">_xlfn.IFS(BX34&gt;12000000, 3, BX34&lt;4000000, 1, 4000000&gt;BX34&gt;12000000, 2)</f>
        <v>3</v>
      </c>
      <c r="BZ34" s="80">
        <v>7.1324347384267526</v>
      </c>
      <c r="CA34" s="82" cm="1">
        <f t="array" ref="CA34">_xlfn.IFS(BZ34&gt;$BZ$60, 1, BZ34&lt;$BZ$59, 3, BZ34&gt;$BZ$59, 2, BZ34=$BZ$59, 2)</f>
        <v>1</v>
      </c>
      <c r="CB34" s="413">
        <f t="shared" si="26"/>
        <v>2.3000000000000003</v>
      </c>
      <c r="CC34" s="44">
        <v>4250744</v>
      </c>
      <c r="CD34" s="44" cm="1">
        <f t="array" ref="CD34">_xlfn.IFS(CC34&gt;4200000, 3, CC34&lt;1700000, 1, 4200000&gt;CC34&gt;1700000, 2)</f>
        <v>3</v>
      </c>
      <c r="CE34" s="44">
        <v>51515.169999999991</v>
      </c>
      <c r="CF34" s="44" cm="1">
        <f t="array" ref="CF34">_xlfn.IFS(CE34&lt;120000, 1, CE34&gt;620000, 3, 620000&gt;CE34&gt;120000, 2)</f>
        <v>1</v>
      </c>
      <c r="CG34" s="44">
        <v>16890737.799999997</v>
      </c>
      <c r="CH34" s="44" cm="1">
        <f t="array" ref="CH34">_xlfn.IFS(CG34&lt;300000, 1, CG34&gt;1700000, 3, 300000&gt;CG34&gt;170000, 2)</f>
        <v>3</v>
      </c>
      <c r="CI34" s="44">
        <v>38.258769270000002</v>
      </c>
      <c r="CJ34" s="61" cm="1">
        <f t="array" ref="CJ34">_xlfn.IFS(CI34&lt;$CI$60, 1, CI34&gt;$CI$61, 3, CI34&lt;$CI$61, 2)</f>
        <v>1</v>
      </c>
      <c r="CK34" s="205">
        <f t="shared" si="27"/>
        <v>2.0999999999999996</v>
      </c>
      <c r="CL34" s="44">
        <v>4358233</v>
      </c>
      <c r="CM34" s="48" cm="1">
        <f t="array" ref="CM34">_xlfn.IFS(CL34&gt;4600000, 3, CL34&lt;430000, 1, 4600000&gt;CL34&gt;430000, 2)</f>
        <v>2</v>
      </c>
      <c r="CN34" s="72">
        <f t="shared" si="2"/>
        <v>2</v>
      </c>
      <c r="CO34" s="39">
        <v>0</v>
      </c>
      <c r="CP34" s="65" cm="1">
        <f t="array" ref="CP34">_xlfn.IFS(CO34=0, 1, CO34="active", 3, CO34="permitted", 2)</f>
        <v>1</v>
      </c>
      <c r="CQ34" s="39">
        <v>0</v>
      </c>
      <c r="CR34" s="39" cm="1">
        <f t="array" ref="CR34">_xlfn.IFS(CQ34=0, 1, CQ34&lt;&gt;0, 3)</f>
        <v>1</v>
      </c>
      <c r="CS34" s="72">
        <v>1</v>
      </c>
      <c r="CT34" s="44" t="s">
        <v>545</v>
      </c>
      <c r="CU34" s="82">
        <v>0</v>
      </c>
      <c r="CV34" s="82">
        <v>77348</v>
      </c>
      <c r="CW34" s="39" t="s">
        <v>542</v>
      </c>
      <c r="CX34" s="207" cm="1">
        <f t="array" ref="CX34">_xlfn.IFS(CT34="N", 0, CW34&lt;$CW$61, 2, CW34 = $CW$61, 2, CW34&gt;$CW$61, 3)</f>
        <v>0</v>
      </c>
      <c r="CY34" s="207" t="s">
        <v>542</v>
      </c>
      <c r="CZ34" s="207" t="str" cm="1">
        <f t="array" ref="CZ34">_xlfn.IFS(CY34="NA", "NA", CY34=0, 1, CY34=1, 2, CY34&gt;1, 3)</f>
        <v>NA</v>
      </c>
      <c r="DA34" s="201">
        <f t="shared" si="28"/>
        <v>0</v>
      </c>
      <c r="DB34" s="86">
        <v>588</v>
      </c>
      <c r="DC34" s="61" cm="1">
        <f t="array" ref="DC34">_xlfn.IFS(DB34&gt;$DB$61, 3, DB34=0, 1, DB34&lt;$DB$61, 2, DB34=$DB$61, 2)</f>
        <v>3</v>
      </c>
      <c r="DD34" s="87">
        <v>1736</v>
      </c>
      <c r="DE34" s="44" cm="1">
        <f t="array" ref="DE34">_xlfn.IFS(DD34&gt;$DD$62, 3, DD34&lt;$DD$60, 1, DD34&gt;$DD$60, 2, DD34=$DD$60, 2)</f>
        <v>1</v>
      </c>
      <c r="DF34" s="44">
        <v>483</v>
      </c>
      <c r="DG34" s="61" cm="1">
        <f t="array" ref="DG34">_xlfn.IFS(DF34=0, 1, DF34&lt;$DF$61, 2, DF34&gt;$DF$61, 3)</f>
        <v>2</v>
      </c>
      <c r="DH34" s="415">
        <f t="shared" si="29"/>
        <v>1.9999999999999978</v>
      </c>
      <c r="DI34" s="82">
        <v>248052130</v>
      </c>
      <c r="DJ34" s="82">
        <f t="shared" si="30"/>
        <v>28316.453196347033</v>
      </c>
      <c r="DK34" s="88">
        <v>4710</v>
      </c>
      <c r="DL34" s="89">
        <f t="shared" si="31"/>
        <v>0.16633439108142309</v>
      </c>
      <c r="DM34" s="88" cm="1">
        <f t="array" ref="DM34">_xlfn.IFS(DL34&gt;$DL$60,3,(AND(DL34&lt;$DL$60,DL34&gt;$DL$59)),2,DL34&lt;$DL$59,1)</f>
        <v>2</v>
      </c>
      <c r="DN34" s="88">
        <v>12972</v>
      </c>
      <c r="DO34" s="90">
        <f t="shared" si="32"/>
        <v>5.2295459023069063E-2</v>
      </c>
      <c r="DP34" s="88" cm="1">
        <f t="array" ref="DP34">_xlfn.IFS(DO34&gt;DO$60,3,(AND(DO34&lt;DO$60,DO34&gt;DO$59)),2,DO34&lt;DO$59,1)</f>
        <v>3</v>
      </c>
      <c r="DQ34" s="91">
        <v>14254</v>
      </c>
      <c r="DR34" s="92">
        <f t="shared" si="33"/>
        <v>0.27913890262613128</v>
      </c>
      <c r="DS34" s="88" cm="1">
        <f t="array" ref="DS34">_xlfn.IFS(DR34&gt;DR$60,3,(AND(DR34&lt;DR$60,DR34&gt;DR$59)),2,DR34&lt;DR$59,1)</f>
        <v>2</v>
      </c>
      <c r="DT34" s="91" t="s">
        <v>590</v>
      </c>
      <c r="DU34" s="213" cm="1">
        <f t="array" ref="DU34">_xlfn.IFS(DT34="no data","",DT34="40-45", 1, DT34= "45-50", 1, DT34="50-55", 1, DT34 ="30-35", 2, DT34="25-30", 2, DT34="35-40", 2, DT34="20-25", 3, DT34="15-20", 3)</f>
        <v>1</v>
      </c>
      <c r="DV34" s="88">
        <v>19578182408.164825</v>
      </c>
      <c r="DW34" s="88" cm="1">
        <f t="array" ref="DW34">_xlfn.IFS(DV34&gt;DV$60,3,(AND(DV34&lt;DV$60,DV34&gt;DV$59)),2,DV34&lt;DV$59,1)</f>
        <v>3</v>
      </c>
      <c r="DX34" s="93">
        <v>6</v>
      </c>
      <c r="DY34" s="88" cm="1">
        <f t="array" ref="DY34">_xlfn.IFS(DX34&gt;6.99,1,AND(DX34 &gt; 3, DX34 &lt; 7),2,DX34&lt;3.99,3)</f>
        <v>2</v>
      </c>
      <c r="DZ34" s="94">
        <f t="shared" si="3"/>
        <v>2.3000000000000003</v>
      </c>
      <c r="EA34" s="95">
        <v>377800</v>
      </c>
      <c r="EB34" s="82">
        <v>216600</v>
      </c>
      <c r="EC34" s="82">
        <v>3138</v>
      </c>
      <c r="ED34" s="82">
        <v>0</v>
      </c>
      <c r="EE34" s="82">
        <v>0</v>
      </c>
      <c r="EF34" s="82">
        <f t="shared" si="34"/>
        <v>0</v>
      </c>
      <c r="EG34" s="204" cm="1">
        <f t="array" ref="EG34">_xlfn.IFS(EF34=0, 1, EF34&gt;2, 3, 0&gt;EF34&gt;3,2)</f>
        <v>1</v>
      </c>
      <c r="EH34" s="82">
        <v>0</v>
      </c>
      <c r="EI34" s="82">
        <v>0</v>
      </c>
      <c r="EJ34" s="82">
        <f>EH34+EI34</f>
        <v>0</v>
      </c>
      <c r="EK34" s="82" cm="1">
        <f t="array" ref="EK34">_xlfn.IFS(EH34+EI34=0, 1, EH34+EI34&gt;5, 3, EH34+EI34=5, 2, 0&gt;EH34+EI34&gt;5, 2)</f>
        <v>1</v>
      </c>
      <c r="EL34" s="82">
        <v>0</v>
      </c>
      <c r="EM34" s="82">
        <v>0</v>
      </c>
      <c r="EN34" s="82" cm="1">
        <f t="array" ref="EN34">_xlfn.IFS(EL34+EM34=0, 1, EL34+EM34&gt;10, 3, EL34+EM34 = 10, 2, 0&gt;EL34+EM34&gt;10, 2)</f>
        <v>1</v>
      </c>
      <c r="EO34" s="96">
        <f t="shared" si="4"/>
        <v>1</v>
      </c>
      <c r="EP34" s="44">
        <v>4.5</v>
      </c>
      <c r="EQ34" s="61" cm="1">
        <f t="array" ref="EQ34">_xlfn.IFS(EP34=0, 1, EP34&gt;$EP$60, 3, EP34&lt;$EP$60, 2)</f>
        <v>3</v>
      </c>
      <c r="ER34" s="100">
        <v>0</v>
      </c>
      <c r="ES34" s="100" cm="1">
        <f t="array" ref="ES34">_xlfn.IFS(ER34=0, 1, ER34&gt;$ER$59, 3, ER34&lt;$ER$59, 2)</f>
        <v>1</v>
      </c>
      <c r="ET34" s="44">
        <v>0</v>
      </c>
      <c r="EU34" s="44" cm="1">
        <f t="array" ref="EU34">_xlfn.IFS(ET34=0, 1, ET34=1, 2, ET34&gt;1, 3)</f>
        <v>1</v>
      </c>
      <c r="EV34" s="413">
        <f t="shared" si="36"/>
        <v>1.4</v>
      </c>
      <c r="EW34" s="82">
        <v>54.5</v>
      </c>
      <c r="EX34" s="210" cm="1">
        <f t="array" ref="EX34">_xlfn.IFS(EW34&gt;EX$60,3,(AND(EW34&lt;EX$60,EW34&gt;EX$59)),2,EW34&lt;EX$59,1)</f>
        <v>2</v>
      </c>
      <c r="EY34" s="82">
        <v>0</v>
      </c>
      <c r="EZ34" s="210" cm="1">
        <f t="array" ref="EZ34">_xlfn.IFS(EY34&gt;EZ$60,3,(AND(EY34&lt;EZ$60,EY34&gt;EZ$59)),2,EY34&lt;EZ$59,1)</f>
        <v>1</v>
      </c>
      <c r="FA34" s="82">
        <v>0</v>
      </c>
      <c r="FB34" s="210" cm="1">
        <f t="array" ref="FB34">_xlfn.IFS(FA34&gt;FB$60,3,(AND(FA34&lt;FB$60,FA34&gt;FB$59)),2,FA34&lt;FB$59,1)</f>
        <v>1</v>
      </c>
      <c r="FC34" s="416">
        <f t="shared" si="5"/>
        <v>1.5</v>
      </c>
      <c r="FD34" s="81">
        <v>0.26</v>
      </c>
      <c r="FE34" s="81" cm="1">
        <f t="array" ref="FE34">_xlfn.IFS(FD34&gt;$FD$60, 3, FD34&lt;$FD$59, 1, FD34&gt;$FD$59, 2)</f>
        <v>1</v>
      </c>
      <c r="FF34" s="44">
        <v>0</v>
      </c>
      <c r="FG34" s="61" cm="1">
        <f t="array" ref="FG34">_xlfn.IFS(FF34&lt;$FF$59, 1, FF34&gt;$FF$60, 3, FF34 = $FF$60, 3, FF34&lt;$FF$60, 2)</f>
        <v>1</v>
      </c>
      <c r="FH34" s="97">
        <f t="shared" si="6"/>
        <v>1</v>
      </c>
      <c r="FI34" s="102">
        <v>2</v>
      </c>
      <c r="FJ34" s="44">
        <v>2</v>
      </c>
      <c r="FK34" s="98">
        <f t="shared" si="7"/>
        <v>4</v>
      </c>
      <c r="FL34" s="98" cm="1">
        <f t="array" ref="FL34">_xlfn.IFS(FK34&gt;$FK$60, 3, FK34&lt;$FK$59, 1, FK34&gt;$FK$59, 2, FK34=$FK$59, 2)</f>
        <v>2</v>
      </c>
      <c r="FM34" s="99">
        <f t="shared" si="8"/>
        <v>2</v>
      </c>
    </row>
    <row r="35" spans="1:169" ht="20.100000000000001" customHeight="1">
      <c r="A35" s="38" t="s">
        <v>135</v>
      </c>
      <c r="B35" s="44" t="s">
        <v>554</v>
      </c>
      <c r="C35" s="44">
        <v>3</v>
      </c>
      <c r="D35" s="44" t="s">
        <v>604</v>
      </c>
      <c r="E35" s="44">
        <v>3</v>
      </c>
      <c r="F35" s="61" t="s">
        <v>543</v>
      </c>
      <c r="G35" s="61" cm="1">
        <f t="array" ref="G35">_xlfn.IFS(F35= "Yes", 3, F35 &lt;&gt; "Yes", 1)</f>
        <v>1</v>
      </c>
      <c r="H35" s="44" t="s">
        <v>552</v>
      </c>
      <c r="I35" s="44">
        <v>2</v>
      </c>
      <c r="J35" s="44" t="s">
        <v>543</v>
      </c>
      <c r="K35" s="44">
        <v>1</v>
      </c>
      <c r="L35" s="193">
        <f t="shared" si="37"/>
        <v>2.15</v>
      </c>
      <c r="M35" s="48" t="s">
        <v>543</v>
      </c>
      <c r="N35" s="44">
        <v>1</v>
      </c>
      <c r="O35" s="44" t="s">
        <v>543</v>
      </c>
      <c r="P35" s="44">
        <v>1</v>
      </c>
      <c r="Q35" s="44" t="s">
        <v>543</v>
      </c>
      <c r="R35" s="44">
        <v>1</v>
      </c>
      <c r="S35" s="48" t="s">
        <v>543</v>
      </c>
      <c r="T35" s="44">
        <v>1</v>
      </c>
      <c r="U35" s="44" t="s">
        <v>543</v>
      </c>
      <c r="V35" s="44">
        <v>1</v>
      </c>
      <c r="W35" s="44" t="s">
        <v>543</v>
      </c>
      <c r="X35" s="44">
        <v>1</v>
      </c>
      <c r="Y35" s="39" t="s">
        <v>543</v>
      </c>
      <c r="Z35" s="44">
        <v>1</v>
      </c>
      <c r="AA35" s="72">
        <f t="shared" si="9"/>
        <v>0.99999999999999978</v>
      </c>
      <c r="AB35" s="39" t="s">
        <v>543</v>
      </c>
      <c r="AC35" s="44" t="s">
        <v>542</v>
      </c>
      <c r="AD35" s="44">
        <v>1</v>
      </c>
      <c r="AE35" s="44" t="s">
        <v>543</v>
      </c>
      <c r="AF35" s="44" cm="1">
        <f t="array" ref="AF35">_xlfn.IFS(AE35="NA", 1, AE35="No", 1, AE35="Yes, implicit", 2, AE35="Yes, explicit", 3)</f>
        <v>1</v>
      </c>
      <c r="AG35" s="44" t="s">
        <v>543</v>
      </c>
      <c r="AH35" s="44" t="s">
        <v>543</v>
      </c>
      <c r="AI35" s="44">
        <v>1</v>
      </c>
      <c r="AJ35" s="73">
        <f t="shared" si="0"/>
        <v>1</v>
      </c>
      <c r="AK35" s="76" t="s">
        <v>544</v>
      </c>
      <c r="AL35" s="74">
        <f t="shared" si="10"/>
        <v>1</v>
      </c>
      <c r="AM35" s="74" t="s">
        <v>545</v>
      </c>
      <c r="AN35" s="74">
        <f t="shared" si="11"/>
        <v>1</v>
      </c>
      <c r="AO35" s="74" t="s">
        <v>545</v>
      </c>
      <c r="AP35" s="74">
        <f t="shared" si="12"/>
        <v>1</v>
      </c>
      <c r="AQ35" s="75">
        <f t="shared" si="13"/>
        <v>0.30000000000000004</v>
      </c>
      <c r="AR35" s="74" t="s">
        <v>545</v>
      </c>
      <c r="AS35" s="74">
        <f t="shared" si="14"/>
        <v>1</v>
      </c>
      <c r="AT35" s="74" t="s">
        <v>545</v>
      </c>
      <c r="AU35" s="74">
        <f t="shared" si="15"/>
        <v>1</v>
      </c>
      <c r="AV35" s="74">
        <f t="shared" si="16"/>
        <v>0.2</v>
      </c>
      <c r="AW35" s="76" t="s">
        <v>545</v>
      </c>
      <c r="AX35" s="195">
        <f t="shared" si="1"/>
        <v>0.4</v>
      </c>
      <c r="AY35" s="109" t="s">
        <v>545</v>
      </c>
      <c r="AZ35" s="76">
        <f t="shared" si="17"/>
        <v>1</v>
      </c>
      <c r="BA35" s="76" t="s">
        <v>545</v>
      </c>
      <c r="BB35" s="74">
        <f t="shared" si="18"/>
        <v>1</v>
      </c>
      <c r="BC35" s="76" t="s">
        <v>181</v>
      </c>
      <c r="BD35" s="74">
        <f t="shared" si="19"/>
        <v>3</v>
      </c>
      <c r="BE35" s="76">
        <f t="shared" si="20"/>
        <v>0.5</v>
      </c>
      <c r="BF35" s="76"/>
      <c r="BG35" s="76"/>
      <c r="BH35" s="77">
        <f t="shared" si="38"/>
        <v>0</v>
      </c>
      <c r="BI35" s="77">
        <f t="shared" si="39"/>
        <v>0</v>
      </c>
      <c r="BJ35" s="77">
        <f t="shared" si="40"/>
        <v>0</v>
      </c>
      <c r="BK35" s="77">
        <f t="shared" si="41"/>
        <v>0</v>
      </c>
      <c r="BL35" s="78">
        <f t="shared" si="21"/>
        <v>1.4000000000000001</v>
      </c>
      <c r="BM35" s="76" t="s">
        <v>181</v>
      </c>
      <c r="BN35" s="197" cm="1">
        <f t="array" ref="BN35">_xlfn.IFS(BM35="Y", 3, BM35="N", 2)</f>
        <v>3</v>
      </c>
      <c r="BO35" s="76" t="s">
        <v>181</v>
      </c>
      <c r="BP35" s="197" cm="1">
        <f t="array" ref="BP35">_xlfn.IFS(BO35="Y", 3, BO35="N", 2)</f>
        <v>3</v>
      </c>
      <c r="BQ35" s="79">
        <f t="shared" si="42"/>
        <v>3</v>
      </c>
      <c r="BR35" s="44">
        <v>6100</v>
      </c>
      <c r="BS35" s="44">
        <f t="shared" si="23"/>
        <v>6100000</v>
      </c>
      <c r="BT35" s="44">
        <f t="shared" si="24"/>
        <v>9531.25</v>
      </c>
      <c r="BU35" s="80">
        <v>109781</v>
      </c>
      <c r="BV35" s="81">
        <f t="shared" si="25"/>
        <v>8.6820579153041066</v>
      </c>
      <c r="BW35" s="82" cm="1">
        <f t="array" ref="BW35">_xlfn.IFS(BV35&gt;44, 3, BV35&lt;26, 1, 44&gt;BV35&gt;26, 2)</f>
        <v>1</v>
      </c>
      <c r="BX35" s="82">
        <v>1014887</v>
      </c>
      <c r="BY35" s="82" cm="1">
        <f t="array" ref="BY35">_xlfn.IFS(BX35&gt;12000000, 3, BX35&lt;4000000, 1, 4000000&gt;BX35&gt;12000000, 2)</f>
        <v>1</v>
      </c>
      <c r="BZ35" s="80">
        <v>8.0543895016090961</v>
      </c>
      <c r="CA35" s="82" cm="1">
        <f t="array" ref="CA35">_xlfn.IFS(BZ35&gt;$BZ$60, 1, BZ35&lt;$BZ$59, 3, BZ35&gt;$BZ$59, 2, BZ35=$BZ$59, 2)</f>
        <v>1</v>
      </c>
      <c r="CB35" s="413">
        <f t="shared" si="26"/>
        <v>1</v>
      </c>
      <c r="CC35" s="44">
        <v>1518832</v>
      </c>
      <c r="CD35" s="44" cm="1">
        <f t="array" ref="CD35">_xlfn.IFS(CC35&gt;4200000, 3, CC35&lt;1700000, 1, 4200000&gt;CC35&gt;1700000, 2)</f>
        <v>1</v>
      </c>
      <c r="CE35" s="44">
        <v>2752.2</v>
      </c>
      <c r="CF35" s="44" cm="1">
        <f t="array" ref="CF35">_xlfn.IFS(CE35&lt;120000, 1, CE35&gt;620000, 3, 620000&gt;CE35&gt;120000, 2)</f>
        <v>1</v>
      </c>
      <c r="CG35" s="44">
        <v>768.10000000000014</v>
      </c>
      <c r="CH35" s="44" cm="1">
        <f t="array" ref="CH35">_xlfn.IFS(CG35&lt;300000, 1, CG35&gt;1700000, 3, 300000&gt;CG35&gt;170000, 2)</f>
        <v>1</v>
      </c>
      <c r="CI35" s="44">
        <v>75.016376260000001</v>
      </c>
      <c r="CJ35" s="61" cm="1">
        <f t="array" ref="CJ35">_xlfn.IFS(CI35&lt;$CI$60, 1, CI35&gt;$CI$61, 3, CI35&lt;$CI$61, 2)</f>
        <v>3</v>
      </c>
      <c r="CK35" s="205">
        <f t="shared" si="27"/>
        <v>1.5</v>
      </c>
      <c r="CL35" s="44">
        <v>0</v>
      </c>
      <c r="CM35" s="48" cm="1">
        <f t="array" ref="CM35">_xlfn.IFS(CL35&gt;4600000, 3, CL35&lt;430000, 1, 4600000&gt;CL35&gt;430000, 2)</f>
        <v>1</v>
      </c>
      <c r="CN35" s="72">
        <f t="shared" si="2"/>
        <v>1</v>
      </c>
      <c r="CO35" s="39">
        <v>0</v>
      </c>
      <c r="CP35" s="65" cm="1">
        <f t="array" ref="CP35">_xlfn.IFS(CO35=0, 1, CO35="active", 3, CO35="permitted", 2)</f>
        <v>1</v>
      </c>
      <c r="CQ35" s="39">
        <v>0</v>
      </c>
      <c r="CR35" s="39" cm="1">
        <f t="array" ref="CR35">_xlfn.IFS(CQ35=0, 1, CQ35&lt;&gt;0, 3)</f>
        <v>1</v>
      </c>
      <c r="CS35" s="72">
        <v>1</v>
      </c>
      <c r="CT35" s="44" t="s">
        <v>545</v>
      </c>
      <c r="CU35" s="82">
        <v>0</v>
      </c>
      <c r="CV35" s="82">
        <v>110572</v>
      </c>
      <c r="CW35" s="39" t="s">
        <v>542</v>
      </c>
      <c r="CX35" s="207" cm="1">
        <f t="array" ref="CX35">_xlfn.IFS(CT35="N", 0, CW35&lt;$CW$61, 2, CW35 = $CW$61, 2, CW35&gt;$CW$61, 3)</f>
        <v>0</v>
      </c>
      <c r="CY35" s="207" t="s">
        <v>542</v>
      </c>
      <c r="CZ35" s="207" t="str" cm="1">
        <f t="array" ref="CZ35">_xlfn.IFS(CY35="NA", "NA", CY35=0, 1, CY35=1, 2, CY35&gt;1, 3)</f>
        <v>NA</v>
      </c>
      <c r="DA35" s="201">
        <f t="shared" si="28"/>
        <v>0</v>
      </c>
      <c r="DB35" s="86">
        <v>19</v>
      </c>
      <c r="DC35" s="61" cm="1">
        <f t="array" ref="DC35">_xlfn.IFS(DB35&gt;$DB$61, 3, DB35=0, 1, DB35&lt;$DB$61, 2, DB35=$DB$61, 2)</f>
        <v>2</v>
      </c>
      <c r="DD35" s="87">
        <v>2622</v>
      </c>
      <c r="DE35" s="44" cm="1">
        <f t="array" ref="DE35">_xlfn.IFS(DD35&gt;$DD$62, 3, DD35&lt;$DD$60, 1, DD35&gt;$DD$60, 2, DD35=$DD$60, 2)</f>
        <v>1</v>
      </c>
      <c r="DF35" s="44">
        <v>15</v>
      </c>
      <c r="DG35" s="61" cm="1">
        <f t="array" ref="DG35">_xlfn.IFS(DF35=0, 1, DF35&lt;$DF$61, 2, DF35&gt;$DF$61, 3)</f>
        <v>2</v>
      </c>
      <c r="DH35" s="415">
        <f t="shared" si="29"/>
        <v>1.6666666666666647</v>
      </c>
      <c r="DI35" s="82">
        <v>206941879</v>
      </c>
      <c r="DJ35" s="82">
        <f t="shared" si="30"/>
        <v>23623.502168949773</v>
      </c>
      <c r="DK35" s="88">
        <v>6320.4999999999991</v>
      </c>
      <c r="DL35" s="89">
        <f t="shared" si="31"/>
        <v>0.26755135435877619</v>
      </c>
      <c r="DM35" s="88" cm="1">
        <f t="array" ref="DM35">_xlfn.IFS(DL35&gt;$DL$60,3,(AND(DL35&lt;$DL$60,DL35&gt;$DL$59)),2,DL35&lt;$DL$59,1)</f>
        <v>3</v>
      </c>
      <c r="DN35" s="88">
        <v>15680</v>
      </c>
      <c r="DO35" s="90">
        <f t="shared" si="32"/>
        <v>7.5770066821515616E-2</v>
      </c>
      <c r="DP35" s="88" cm="1">
        <f t="array" ref="DP35">_xlfn.IFS(DO35&gt;DO$60,3,(AND(DO35&lt;DO$60,DO35&gt;DO$59)),2,DO35&lt;DO$59,1)</f>
        <v>3</v>
      </c>
      <c r="DQ35" s="91">
        <v>96882.72</v>
      </c>
      <c r="DR35" s="92">
        <f t="shared" si="33"/>
        <v>0.58886268088754523</v>
      </c>
      <c r="DS35" s="88" cm="1">
        <f t="array" ref="DS35">_xlfn.IFS(DR35&gt;DR$60,3,(AND(DR35&lt;DR$60,DR35&gt;DR$59)),2,DR35&lt;DR$59,1)</f>
        <v>3</v>
      </c>
      <c r="DT35" s="91" t="s">
        <v>563</v>
      </c>
      <c r="DU35" s="213" cm="1">
        <f t="array" ref="DU35">_xlfn.IFS(DT35="no data","",DT35="40-45", 1, DT35= "45-50", 1, DT35="50-55", 1, DT35 ="30-35", 2, DT35="25-30", 2, DT35="35-40", 2, DT35="20-25", 3, DT35="15-20", 3)</f>
        <v>2</v>
      </c>
      <c r="DV35" s="88">
        <v>17660801200.215191</v>
      </c>
      <c r="DW35" s="88" cm="1">
        <f t="array" ref="DW35">_xlfn.IFS(DV35&gt;DV$60,3,(AND(DV35&lt;DV$60,DV35&gt;DV$59)),2,DV35&lt;DV$59,1)</f>
        <v>3</v>
      </c>
      <c r="DX35" s="93">
        <v>5</v>
      </c>
      <c r="DY35" s="88" cm="1">
        <f t="array" ref="DY35">_xlfn.IFS(DX35&gt;6.99,1,AND(DX35 &gt; 3, DX35 &lt; 7),2,DX35&lt;3.99,3)</f>
        <v>2</v>
      </c>
      <c r="DZ35" s="94">
        <f t="shared" si="3"/>
        <v>2.8</v>
      </c>
      <c r="EA35" s="95">
        <v>38500</v>
      </c>
      <c r="EB35" s="82">
        <v>79300</v>
      </c>
      <c r="EC35" s="82">
        <v>1193</v>
      </c>
      <c r="ED35" s="82">
        <v>0</v>
      </c>
      <c r="EE35" s="82">
        <v>0</v>
      </c>
      <c r="EF35" s="82">
        <f t="shared" si="34"/>
        <v>0</v>
      </c>
      <c r="EG35" s="204" cm="1">
        <f t="array" ref="EG35">_xlfn.IFS(EF35=0, 1, EF35&gt;2, 3, 0&gt;EF35&gt;3,2)</f>
        <v>1</v>
      </c>
      <c r="EH35" s="82">
        <v>6</v>
      </c>
      <c r="EI35" s="82">
        <v>22</v>
      </c>
      <c r="EJ35" s="82">
        <f t="shared" si="35"/>
        <v>28</v>
      </c>
      <c r="EK35" s="82" cm="1">
        <f t="array" ref="EK35">_xlfn.IFS(EH35+EI35=0, 1, EH35+EI35&gt;5, 3, EH35+EI35=5, 2, 0&gt;EH35+EI35&gt;5, 2)</f>
        <v>3</v>
      </c>
      <c r="EL35" s="82">
        <v>0</v>
      </c>
      <c r="EM35" s="82">
        <v>0</v>
      </c>
      <c r="EN35" s="82" cm="1">
        <f t="array" ref="EN35">_xlfn.IFS(EL35+EM35=0, 1, EL35+EM35&gt;10, 3, EL35+EM35 = 10, 2, 0&gt;EL35+EM35&gt;10, 2)</f>
        <v>1</v>
      </c>
      <c r="EO35" s="96">
        <f t="shared" si="4"/>
        <v>1.6666666666666665</v>
      </c>
      <c r="EP35" s="44">
        <v>0</v>
      </c>
      <c r="EQ35" s="61" cm="1">
        <f t="array" ref="EQ35">_xlfn.IFS(EP35=0, 1, EP35&gt;$EP$60, 3, EP35&lt;$EP$60, 2)</f>
        <v>1</v>
      </c>
      <c r="ER35" s="100">
        <v>0</v>
      </c>
      <c r="ES35" s="100" cm="1">
        <f t="array" ref="ES35">_xlfn.IFS(ER35=0, 1, ER35&gt;$ER$59, 3, ER35&lt;$ER$59, 2)</f>
        <v>1</v>
      </c>
      <c r="ET35" s="44">
        <v>0</v>
      </c>
      <c r="EU35" s="44" cm="1">
        <f t="array" ref="EU35">_xlfn.IFS(ET35=0, 1, ET35=1, 2, ET35&gt;1, 3)</f>
        <v>1</v>
      </c>
      <c r="EV35" s="413">
        <f t="shared" si="36"/>
        <v>1</v>
      </c>
      <c r="EW35" s="82">
        <v>0</v>
      </c>
      <c r="EX35" s="210" cm="1">
        <f t="array" ref="EX35">_xlfn.IFS(EW35&gt;EX$60,3,(AND(EW35&lt;EX$60,EW35&gt;EX$59)),2,EW35&lt;EX$59,1)</f>
        <v>1</v>
      </c>
      <c r="EY35" s="253">
        <v>195695681769.63</v>
      </c>
      <c r="EZ35" s="210" cm="1">
        <f t="array" ref="EZ35">_xlfn.IFS(EY35&gt;EZ$60,3,(AND(EY35&lt;EZ$60,EY35&gt;EZ$59)),2,EY35&lt;EZ$59,1)</f>
        <v>3</v>
      </c>
      <c r="FA35" s="253">
        <v>21844957054485</v>
      </c>
      <c r="FB35" s="210" cm="1">
        <f t="array" ref="FB35">_xlfn.IFS(FA35&gt;FB$60,3,(AND(FA35&lt;FB$60,FA35&gt;FB$59)),2,FA35&lt;FB$59,1)</f>
        <v>3</v>
      </c>
      <c r="FC35" s="416">
        <f t="shared" si="5"/>
        <v>2</v>
      </c>
      <c r="FD35" s="81">
        <v>9.09</v>
      </c>
      <c r="FE35" s="81" cm="1">
        <f t="array" ref="FE35">_xlfn.IFS(FD35&gt;$FD$60, 3, FD35&lt;$FD$59, 1, FD35&gt;$FD$59, 2)</f>
        <v>3</v>
      </c>
      <c r="FF35" s="44">
        <v>0</v>
      </c>
      <c r="FG35" s="61" cm="1">
        <f t="array" ref="FG35">_xlfn.IFS(FF35&lt;$FF$59, 1, FF35&gt;$FF$60, 3, FF35 = $FF$60, 3, FF35&lt;$FF$60, 2)</f>
        <v>1</v>
      </c>
      <c r="FH35" s="97">
        <f t="shared" si="6"/>
        <v>2.1999999999999997</v>
      </c>
      <c r="FI35" s="102">
        <v>2</v>
      </c>
      <c r="FJ35" s="44">
        <v>2</v>
      </c>
      <c r="FK35" s="98">
        <f t="shared" si="7"/>
        <v>4</v>
      </c>
      <c r="FL35" s="98" cm="1">
        <f t="array" ref="FL35">_xlfn.IFS(FK35&gt;$FK$60, 3, FK35&lt;$FK$59, 1, FK35&gt;$FK$59, 2, FK35=$FK$59, 2)</f>
        <v>2</v>
      </c>
      <c r="FM35" s="99">
        <f t="shared" si="8"/>
        <v>2</v>
      </c>
    </row>
    <row r="36" spans="1:169" ht="20.100000000000001" customHeight="1">
      <c r="A36" s="38" t="s">
        <v>136</v>
      </c>
      <c r="B36" s="44" t="s">
        <v>588</v>
      </c>
      <c r="C36" s="44">
        <v>2</v>
      </c>
      <c r="D36" s="44" t="s">
        <v>605</v>
      </c>
      <c r="E36" s="44">
        <v>2</v>
      </c>
      <c r="F36" s="61" t="s">
        <v>543</v>
      </c>
      <c r="G36" s="61" cm="1">
        <f t="array" ref="G36">_xlfn.IFS(F36= "Yes", 3, F36 &lt;&gt; "Yes", 1)</f>
        <v>1</v>
      </c>
      <c r="H36" s="44" t="s">
        <v>553</v>
      </c>
      <c r="I36" s="44">
        <v>3</v>
      </c>
      <c r="J36" s="44" t="s">
        <v>543</v>
      </c>
      <c r="K36" s="44">
        <v>1</v>
      </c>
      <c r="L36" s="193">
        <f t="shared" si="37"/>
        <v>1.95</v>
      </c>
      <c r="M36" s="48" t="s">
        <v>543</v>
      </c>
      <c r="N36" s="44">
        <v>1</v>
      </c>
      <c r="O36" s="44" t="s">
        <v>543</v>
      </c>
      <c r="P36" s="44">
        <v>1</v>
      </c>
      <c r="Q36" s="44" t="s">
        <v>543</v>
      </c>
      <c r="R36" s="44">
        <v>1</v>
      </c>
      <c r="S36" s="48" t="s">
        <v>543</v>
      </c>
      <c r="T36" s="44">
        <v>1</v>
      </c>
      <c r="U36" s="44" t="s">
        <v>543</v>
      </c>
      <c r="V36" s="44">
        <v>1</v>
      </c>
      <c r="W36" s="44" t="s">
        <v>543</v>
      </c>
      <c r="X36" s="44">
        <v>1</v>
      </c>
      <c r="Y36" s="85" t="s">
        <v>570</v>
      </c>
      <c r="Z36" s="44">
        <v>2</v>
      </c>
      <c r="AA36" s="72">
        <f t="shared" si="9"/>
        <v>1.0749999999999997</v>
      </c>
      <c r="AB36" s="39" t="s">
        <v>543</v>
      </c>
      <c r="AC36" s="44" t="s">
        <v>542</v>
      </c>
      <c r="AD36" s="44">
        <v>1</v>
      </c>
      <c r="AE36" s="44" t="s">
        <v>568</v>
      </c>
      <c r="AF36" s="44" cm="1">
        <f t="array" ref="AF36">_xlfn.IFS(AE36="NA", 1, AE36="No", 1, AE36="Yes, implicit", 2, AE36="Yes, explicit", 3)</f>
        <v>2</v>
      </c>
      <c r="AG36" s="44" t="s">
        <v>543</v>
      </c>
      <c r="AH36" s="44" t="s">
        <v>543</v>
      </c>
      <c r="AI36" s="44">
        <v>1</v>
      </c>
      <c r="AJ36" s="73">
        <f t="shared" si="0"/>
        <v>1.2</v>
      </c>
      <c r="AK36" s="76" t="s">
        <v>544</v>
      </c>
      <c r="AL36" s="74">
        <f t="shared" si="10"/>
        <v>1</v>
      </c>
      <c r="AM36" s="74" t="s">
        <v>545</v>
      </c>
      <c r="AN36" s="74">
        <f t="shared" si="11"/>
        <v>1</v>
      </c>
      <c r="AO36" s="74" t="s">
        <v>545</v>
      </c>
      <c r="AP36" s="74">
        <f t="shared" si="12"/>
        <v>1</v>
      </c>
      <c r="AQ36" s="75">
        <f t="shared" si="13"/>
        <v>0.30000000000000004</v>
      </c>
      <c r="AR36" s="74" t="s">
        <v>545</v>
      </c>
      <c r="AS36" s="74">
        <f t="shared" si="14"/>
        <v>1</v>
      </c>
      <c r="AT36" s="74" t="s">
        <v>545</v>
      </c>
      <c r="AU36" s="74">
        <f t="shared" si="15"/>
        <v>1</v>
      </c>
      <c r="AV36" s="74">
        <f t="shared" si="16"/>
        <v>0.2</v>
      </c>
      <c r="AW36" s="76" t="s">
        <v>545</v>
      </c>
      <c r="AX36" s="195">
        <f t="shared" si="1"/>
        <v>0.4</v>
      </c>
      <c r="AY36" s="76" t="s">
        <v>545</v>
      </c>
      <c r="AZ36" s="76">
        <f t="shared" si="17"/>
        <v>1</v>
      </c>
      <c r="BA36" s="76" t="s">
        <v>545</v>
      </c>
      <c r="BB36" s="74">
        <f t="shared" si="18"/>
        <v>1</v>
      </c>
      <c r="BC36" s="76" t="s">
        <v>181</v>
      </c>
      <c r="BD36" s="74">
        <f t="shared" si="19"/>
        <v>3</v>
      </c>
      <c r="BE36" s="76">
        <f t="shared" si="20"/>
        <v>0.5</v>
      </c>
      <c r="BF36" s="76"/>
      <c r="BG36" s="76"/>
      <c r="BH36" s="77">
        <f t="shared" si="38"/>
        <v>0</v>
      </c>
      <c r="BI36" s="77">
        <f t="shared" si="39"/>
        <v>0</v>
      </c>
      <c r="BJ36" s="77">
        <f t="shared" si="40"/>
        <v>0</v>
      </c>
      <c r="BK36" s="77">
        <f t="shared" si="41"/>
        <v>0</v>
      </c>
      <c r="BL36" s="78">
        <f t="shared" si="21"/>
        <v>1.4000000000000001</v>
      </c>
      <c r="BM36" s="76" t="s">
        <v>181</v>
      </c>
      <c r="BN36" s="197" cm="1">
        <f t="array" ref="BN36">_xlfn.IFS(BM36="Y", 3, BM36="N", 2)</f>
        <v>3</v>
      </c>
      <c r="BO36" s="76" t="s">
        <v>181</v>
      </c>
      <c r="BP36" s="197" cm="1">
        <f t="array" ref="BP36">_xlfn.IFS(BO36="Y", 3, BO36="N", 2)</f>
        <v>3</v>
      </c>
      <c r="BQ36" s="79">
        <f t="shared" si="42"/>
        <v>3</v>
      </c>
      <c r="BR36" s="44">
        <v>430</v>
      </c>
      <c r="BS36" s="44">
        <f t="shared" si="23"/>
        <v>430000</v>
      </c>
      <c r="BT36" s="44">
        <f t="shared" si="24"/>
        <v>671.875</v>
      </c>
      <c r="BU36" s="80">
        <v>8953</v>
      </c>
      <c r="BV36" s="81">
        <f t="shared" si="25"/>
        <v>7.5044677761644145</v>
      </c>
      <c r="BW36" s="82" cm="1">
        <f t="array" ref="BW36">_xlfn.IFS(BV36&gt;44, 3, BV36&lt;26, 1, 44&gt;BV36&gt;26, 2)</f>
        <v>1</v>
      </c>
      <c r="BX36" s="82">
        <v>282142</v>
      </c>
      <c r="BY36" s="82" cm="1">
        <f t="array" ref="BY36">_xlfn.IFS(BX36&gt;12000000, 3, BX36&lt;4000000, 1, 4000000&gt;BX36&gt;12000000, 2)</f>
        <v>1</v>
      </c>
      <c r="BZ36" s="80">
        <v>5.1252736945468031</v>
      </c>
      <c r="CA36" s="82" cm="1">
        <f t="array" ref="CA36">_xlfn.IFS(BZ36&gt;$BZ$60, 1, BZ36&lt;$BZ$59, 3, BZ36&gt;$BZ$59, 2, BZ36=$BZ$59, 2)</f>
        <v>3</v>
      </c>
      <c r="CB36" s="413">
        <f t="shared" si="26"/>
        <v>1.6999999999999997</v>
      </c>
      <c r="CC36" s="44">
        <v>587257</v>
      </c>
      <c r="CD36" s="44" cm="1">
        <f t="array" ref="CD36">_xlfn.IFS(CC36&gt;4200000, 3, CC36&lt;1700000, 1, 4200000&gt;CC36&gt;1700000, 2)</f>
        <v>1</v>
      </c>
      <c r="CE36" s="44">
        <v>172714.17000000004</v>
      </c>
      <c r="CF36" s="44" cm="1">
        <f t="array" ref="CF36">_xlfn.IFS(CE36&lt;120000, 1, CE36&gt;620000, 3, 620000&gt;CE36&gt;120000, 2)</f>
        <v>2</v>
      </c>
      <c r="CG36" s="44">
        <v>2804.1</v>
      </c>
      <c r="CH36" s="44" cm="1">
        <f t="array" ref="CH36">_xlfn.IFS(CG36&lt;300000, 1, CG36&gt;1700000, 3, 300000&gt;CG36&gt;170000, 2)</f>
        <v>1</v>
      </c>
      <c r="CI36" s="44">
        <v>60.06999682</v>
      </c>
      <c r="CJ36" s="61" cm="1">
        <f t="array" ref="CJ36">_xlfn.IFS(CI36&lt;$CI$60, 1, CI36&gt;$CI$61, 3, CI36&lt;$CI$61, 2)</f>
        <v>3</v>
      </c>
      <c r="CK36" s="205">
        <f t="shared" si="27"/>
        <v>1.7000000000000002</v>
      </c>
      <c r="CL36" s="44">
        <v>63601</v>
      </c>
      <c r="CM36" s="48" cm="1">
        <f t="array" ref="CM36">_xlfn.IFS(CL36&gt;4600000, 3, CL36&lt;430000, 1, 4600000&gt;CL36&gt;430000, 2)</f>
        <v>1</v>
      </c>
      <c r="CN36" s="72">
        <f t="shared" si="2"/>
        <v>1</v>
      </c>
      <c r="CO36" s="39" t="s">
        <v>549</v>
      </c>
      <c r="CP36" s="65" cm="1">
        <f t="array" ref="CP36">_xlfn.IFS(CO36=0, 1, CO36="active", 3, CO36="permitted", 2)</f>
        <v>3</v>
      </c>
      <c r="CQ36" s="39">
        <v>0</v>
      </c>
      <c r="CR36" s="39" cm="1">
        <f t="array" ref="CR36">_xlfn.IFS(CQ36=0, 1, CQ36&lt;&gt;0, 3)</f>
        <v>1</v>
      </c>
      <c r="CS36" s="72">
        <v>3</v>
      </c>
      <c r="CT36" s="48" t="s">
        <v>181</v>
      </c>
      <c r="CU36" s="107">
        <v>69</v>
      </c>
      <c r="CV36" s="107">
        <v>9349</v>
      </c>
      <c r="CW36" s="39">
        <f>CU36/CV36</f>
        <v>7.3804684993047385E-3</v>
      </c>
      <c r="CX36" s="207" cm="1">
        <f t="array" ref="CX36">_xlfn.IFS(CT36="N", 0, CW36&lt;$CW$61, 2, CW36 = $CW$61, 2, CW36&gt;$CW$61, 3)</f>
        <v>2</v>
      </c>
      <c r="CY36" s="207">
        <v>0</v>
      </c>
      <c r="CZ36" s="207" cm="1">
        <f t="array" ref="CZ36">_xlfn.IFS(CY36="NA", "NA", CY36=0, 1, CY36=1, 2, CY36&gt;1, 3)</f>
        <v>1</v>
      </c>
      <c r="DA36" s="201">
        <f t="shared" si="28"/>
        <v>1.75</v>
      </c>
      <c r="DB36" s="86">
        <v>0</v>
      </c>
      <c r="DC36" s="61" cm="1">
        <f t="array" ref="DC36">_xlfn.IFS(DB36&gt;$DB$61, 3, DB36=0, 1, DB36&lt;$DB$61, 2, DB36=$DB$61, 2)</f>
        <v>1</v>
      </c>
      <c r="DD36" s="87">
        <v>12514</v>
      </c>
      <c r="DE36" s="44" cm="1">
        <f t="array" ref="DE36">_xlfn.IFS(DD36&gt;$DD$62, 3, DD36&lt;$DD$60, 1, DD36&gt;$DD$60, 2, DD36=$DD$60, 2)</f>
        <v>2</v>
      </c>
      <c r="DF36" s="44">
        <v>0</v>
      </c>
      <c r="DG36" s="61" cm="1">
        <f t="array" ref="DG36">_xlfn.IFS(DF36=0, 1, DF36&lt;$DF$61, 2, DF36&gt;$DF$61, 3)</f>
        <v>1</v>
      </c>
      <c r="DH36" s="415">
        <f t="shared" si="29"/>
        <v>1.3333333333333319</v>
      </c>
      <c r="DI36" s="82">
        <v>87108928</v>
      </c>
      <c r="DJ36" s="82">
        <f t="shared" si="30"/>
        <v>9943.9415525114164</v>
      </c>
      <c r="DK36" s="88">
        <v>2185.7000000000012</v>
      </c>
      <c r="DL36" s="89">
        <f t="shared" si="31"/>
        <v>0.21980217687904516</v>
      </c>
      <c r="DM36" s="88" cm="1">
        <f t="array" ref="DM36">_xlfn.IFS(DL36&gt;$DL$60,3,(AND(DL36&lt;$DL$60,DL36&gt;$DL$59)),2,DL36&lt;$DL$59,1)</f>
        <v>3</v>
      </c>
      <c r="DN36" s="88">
        <v>2428</v>
      </c>
      <c r="DO36" s="90">
        <f t="shared" si="32"/>
        <v>2.7873147514798944E-2</v>
      </c>
      <c r="DP36" s="88" cm="1">
        <f t="array" ref="DP36">_xlfn.IFS(DO36&gt;DO$60,3,(AND(DO36&lt;DO$60,DO36&gt;DO$59)),2,DO36&lt;DO$59,1)</f>
        <v>2</v>
      </c>
      <c r="DQ36" s="91">
        <v>1082</v>
      </c>
      <c r="DR36" s="92">
        <f t="shared" si="33"/>
        <v>7.656253577950381E-2</v>
      </c>
      <c r="DS36" s="88" cm="1">
        <f t="array" ref="DS36">_xlfn.IFS(DR36&gt;DR$60,3,(AND(DR36&lt;DR$60,DR36&gt;DR$59)),2,DR36&lt;DR$59,1)</f>
        <v>1</v>
      </c>
      <c r="DT36" s="91" t="s">
        <v>563</v>
      </c>
      <c r="DU36" s="213" cm="1">
        <f t="array" ref="DU36">_xlfn.IFS(DT36="no data","",DT36="40-45", 1, DT36= "45-50", 1, DT36="50-55", 1, DT36 ="30-35", 2, DT36="25-30", 2, DT36="35-40", 2, DT36="20-25", 3, DT36="15-20", 3)</f>
        <v>2</v>
      </c>
      <c r="DV36" s="88">
        <v>271972174.04002738</v>
      </c>
      <c r="DW36" s="88" cm="1">
        <f t="array" ref="DW36">_xlfn.IFS(DV36&gt;DV$60,3,(AND(DV36&lt;DV$60,DV36&gt;DV$59)),2,DV36&lt;DV$59,1)</f>
        <v>1</v>
      </c>
      <c r="DX36" s="93">
        <v>6</v>
      </c>
      <c r="DY36" s="88" cm="1">
        <f t="array" ref="DY36">_xlfn.IFS(DX36&gt;6.99,1,AND(DX36 &gt; 3, DX36 &lt; 7),2,DX36&lt;3.99,3)</f>
        <v>2</v>
      </c>
      <c r="DZ36" s="94">
        <f t="shared" si="3"/>
        <v>2.1</v>
      </c>
      <c r="EA36" s="95">
        <v>1430</v>
      </c>
      <c r="EB36" s="82">
        <v>7300</v>
      </c>
      <c r="EC36" s="44">
        <v>369</v>
      </c>
      <c r="ED36" s="44">
        <v>0</v>
      </c>
      <c r="EE36" s="82">
        <v>0</v>
      </c>
      <c r="EF36" s="82">
        <f t="shared" si="34"/>
        <v>0</v>
      </c>
      <c r="EG36" s="204" cm="1">
        <f t="array" ref="EG36">_xlfn.IFS(EF36=0, 1, EF36&gt;2, 3, 0&gt;EF36&gt;3,2)</f>
        <v>1</v>
      </c>
      <c r="EH36" s="82">
        <v>0</v>
      </c>
      <c r="EI36" s="82">
        <v>0</v>
      </c>
      <c r="EJ36" s="82">
        <f t="shared" si="35"/>
        <v>0</v>
      </c>
      <c r="EK36" s="82" cm="1">
        <f t="array" ref="EK36">_xlfn.IFS(EH36+EI36=0, 1, EH36+EI36&gt;5, 3, EH36+EI36=5, 2, 0&gt;EH36+EI36&gt;5, 2)</f>
        <v>1</v>
      </c>
      <c r="EL36" s="82">
        <v>0</v>
      </c>
      <c r="EM36" s="82">
        <v>0</v>
      </c>
      <c r="EN36" s="82" cm="1">
        <f t="array" ref="EN36">_xlfn.IFS(EL36+EM36=0, 1, EL36+EM36&gt;10, 3, EL36+EM36 = 10, 2, 0&gt;EL36+EM36&gt;10, 2)</f>
        <v>1</v>
      </c>
      <c r="EO36" s="96">
        <f t="shared" si="4"/>
        <v>1</v>
      </c>
      <c r="EP36" s="44">
        <v>0</v>
      </c>
      <c r="EQ36" s="61" cm="1">
        <f t="array" ref="EQ36">_xlfn.IFS(EP36=0, 1, EP36&gt;$EP$60, 3, EP36&lt;$EP$60, 2)</f>
        <v>1</v>
      </c>
      <c r="ER36" s="100">
        <v>0</v>
      </c>
      <c r="ES36" s="100" cm="1">
        <f t="array" ref="ES36">_xlfn.IFS(ER36=0, 1, ER36&gt;$ER$59, 3, ER36&lt;$ER$59, 2)</f>
        <v>1</v>
      </c>
      <c r="ET36" s="44">
        <v>0</v>
      </c>
      <c r="EU36" s="44" cm="1">
        <f t="array" ref="EU36">_xlfn.IFS(ET36=0, 1, ET36=1, 2, ET36&gt;1, 3)</f>
        <v>1</v>
      </c>
      <c r="EV36" s="413">
        <f t="shared" si="36"/>
        <v>1</v>
      </c>
      <c r="EW36" s="82">
        <v>0</v>
      </c>
      <c r="EX36" s="210" cm="1">
        <f t="array" ref="EX36">_xlfn.IFS(EW36&gt;EX$60,3,(AND(EW36&lt;EX$60,EW36&gt;EX$59)),2,EW36&lt;EX$59,1)</f>
        <v>1</v>
      </c>
      <c r="EY36" s="82">
        <v>0</v>
      </c>
      <c r="EZ36" s="210" cm="1">
        <f t="array" ref="EZ36">_xlfn.IFS(EY36&gt;EZ$60,3,(AND(EY36&lt;EZ$60,EY36&gt;EZ$59)),2,EY36&lt;EZ$59,1)</f>
        <v>1</v>
      </c>
      <c r="FA36" s="253">
        <v>1482430823825</v>
      </c>
      <c r="FB36" s="210" cm="1">
        <f t="array" ref="FB36">_xlfn.IFS(FA36&gt;FB$60,3,(AND(FA36&lt;FB$60,FA36&gt;FB$59)),2,FA36&lt;FB$59,1)</f>
        <v>2</v>
      </c>
      <c r="FC36" s="416">
        <f t="shared" si="5"/>
        <v>1.25</v>
      </c>
      <c r="FD36" s="81">
        <v>0.14000000000000001</v>
      </c>
      <c r="FE36" s="81" cm="1">
        <f t="array" ref="FE36">_xlfn.IFS(FD36&gt;$FD$60, 3, FD36&lt;$FD$59, 1, FD36&gt;$FD$59, 2)</f>
        <v>1</v>
      </c>
      <c r="FF36" s="44">
        <v>1</v>
      </c>
      <c r="FG36" s="61" cm="1">
        <f t="array" ref="FG36">_xlfn.IFS(FF36&lt;$FF$59, 1, FF36&gt;$FF$60, 3, FF36 = $FF$60, 3, FF36&lt;$FF$60, 2)</f>
        <v>2</v>
      </c>
      <c r="FH36" s="97">
        <f t="shared" si="6"/>
        <v>1.4</v>
      </c>
      <c r="FI36" s="102">
        <v>0</v>
      </c>
      <c r="FJ36" s="44">
        <v>9</v>
      </c>
      <c r="FK36" s="98">
        <f t="shared" si="7"/>
        <v>9</v>
      </c>
      <c r="FL36" s="98" cm="1">
        <f t="array" ref="FL36">_xlfn.IFS(FK36&gt;$FK$60, 3, FK36&lt;$FK$59, 1, FK36&gt;$FK$59, 2, FK36=$FK$59, 2)</f>
        <v>3</v>
      </c>
      <c r="FM36" s="99">
        <f t="shared" si="8"/>
        <v>3</v>
      </c>
    </row>
    <row r="37" spans="1:169" ht="20.100000000000001" customHeight="1">
      <c r="A37" s="38" t="s">
        <v>137</v>
      </c>
      <c r="B37" s="44" t="s">
        <v>554</v>
      </c>
      <c r="C37" s="44">
        <v>3</v>
      </c>
      <c r="D37" s="44" t="s">
        <v>606</v>
      </c>
      <c r="E37" s="44">
        <v>2</v>
      </c>
      <c r="F37" s="61" t="s">
        <v>543</v>
      </c>
      <c r="G37" s="61" cm="1">
        <f t="array" ref="G37">_xlfn.IFS(F37= "Yes", 3, F37 &lt;&gt; "Yes", 1)</f>
        <v>1</v>
      </c>
      <c r="H37" s="44" t="s">
        <v>553</v>
      </c>
      <c r="I37" s="44">
        <v>3</v>
      </c>
      <c r="J37" s="44" t="s">
        <v>543</v>
      </c>
      <c r="K37" s="44">
        <v>1</v>
      </c>
      <c r="L37" s="193">
        <f t="shared" si="37"/>
        <v>2.25</v>
      </c>
      <c r="M37" s="48" t="s">
        <v>543</v>
      </c>
      <c r="N37" s="44">
        <v>1</v>
      </c>
      <c r="O37" s="44" t="s">
        <v>543</v>
      </c>
      <c r="P37" s="44">
        <v>1</v>
      </c>
      <c r="Q37" s="44" t="s">
        <v>556</v>
      </c>
      <c r="R37" s="44">
        <v>3</v>
      </c>
      <c r="S37" s="48" t="s">
        <v>543</v>
      </c>
      <c r="T37" s="44">
        <v>1</v>
      </c>
      <c r="U37" s="44" t="s">
        <v>543</v>
      </c>
      <c r="V37" s="44">
        <v>1</v>
      </c>
      <c r="W37" s="44" t="s">
        <v>543</v>
      </c>
      <c r="X37" s="44">
        <v>1</v>
      </c>
      <c r="Y37" s="85" t="s">
        <v>570</v>
      </c>
      <c r="Z37" s="44">
        <v>2</v>
      </c>
      <c r="AA37" s="72">
        <f t="shared" si="9"/>
        <v>1.2749999999999999</v>
      </c>
      <c r="AB37" s="103" t="s">
        <v>607</v>
      </c>
      <c r="AC37" s="44" t="s">
        <v>181</v>
      </c>
      <c r="AD37" s="44">
        <v>3</v>
      </c>
      <c r="AE37" s="44" t="s">
        <v>561</v>
      </c>
      <c r="AF37" s="44" cm="1">
        <f t="array" ref="AF37">_xlfn.IFS(AE37="NA", 1, AE37="No", 1, AE37="Yes, implicit", 2, AE37="Yes, explicit", 3)</f>
        <v>3</v>
      </c>
      <c r="AG37" s="44" t="s">
        <v>556</v>
      </c>
      <c r="AH37" s="44" t="s">
        <v>556</v>
      </c>
      <c r="AI37" s="44">
        <v>3</v>
      </c>
      <c r="AJ37" s="73">
        <f t="shared" si="0"/>
        <v>3</v>
      </c>
      <c r="AK37" s="76" t="s">
        <v>544</v>
      </c>
      <c r="AL37" s="74">
        <f t="shared" si="10"/>
        <v>1</v>
      </c>
      <c r="AM37" s="74" t="s">
        <v>545</v>
      </c>
      <c r="AN37" s="74">
        <f t="shared" si="11"/>
        <v>1</v>
      </c>
      <c r="AO37" s="74" t="s">
        <v>545</v>
      </c>
      <c r="AP37" s="74">
        <f t="shared" si="12"/>
        <v>1</v>
      </c>
      <c r="AQ37" s="75">
        <f t="shared" si="13"/>
        <v>0.30000000000000004</v>
      </c>
      <c r="AR37" s="74" t="s">
        <v>545</v>
      </c>
      <c r="AS37" s="74">
        <f t="shared" si="14"/>
        <v>1</v>
      </c>
      <c r="AT37" s="74" t="s">
        <v>545</v>
      </c>
      <c r="AU37" s="74">
        <f t="shared" si="15"/>
        <v>1</v>
      </c>
      <c r="AV37" s="74">
        <f t="shared" si="16"/>
        <v>0.2</v>
      </c>
      <c r="AW37" s="76" t="s">
        <v>545</v>
      </c>
      <c r="AX37" s="195">
        <f t="shared" si="1"/>
        <v>0.4</v>
      </c>
      <c r="AY37" s="76" t="s">
        <v>545</v>
      </c>
      <c r="AZ37" s="76">
        <f t="shared" si="17"/>
        <v>1</v>
      </c>
      <c r="BA37" s="76" t="s">
        <v>545</v>
      </c>
      <c r="BB37" s="74">
        <f t="shared" si="18"/>
        <v>1</v>
      </c>
      <c r="BC37" s="76" t="s">
        <v>181</v>
      </c>
      <c r="BD37" s="74">
        <f t="shared" si="19"/>
        <v>3</v>
      </c>
      <c r="BE37" s="76">
        <f t="shared" si="20"/>
        <v>0.5</v>
      </c>
      <c r="BF37" s="76"/>
      <c r="BG37" s="76"/>
      <c r="BH37" s="77">
        <f t="shared" si="38"/>
        <v>0</v>
      </c>
      <c r="BI37" s="77">
        <f t="shared" si="39"/>
        <v>0</v>
      </c>
      <c r="BJ37" s="77">
        <f t="shared" si="40"/>
        <v>0</v>
      </c>
      <c r="BK37" s="77">
        <f t="shared" si="41"/>
        <v>0</v>
      </c>
      <c r="BL37" s="78">
        <f t="shared" si="21"/>
        <v>1.4000000000000001</v>
      </c>
      <c r="BM37" s="76" t="s">
        <v>181</v>
      </c>
      <c r="BN37" s="197" cm="1">
        <f t="array" ref="BN37">_xlfn.IFS(BM37="Y", 3, BM37="N", 2)</f>
        <v>3</v>
      </c>
      <c r="BO37" s="76" t="s">
        <v>181</v>
      </c>
      <c r="BP37" s="197" cm="1">
        <f t="array" ref="BP37">_xlfn.IFS(BO37="Y", 3, BO37="N", 2)</f>
        <v>3</v>
      </c>
      <c r="BQ37" s="79">
        <f t="shared" si="42"/>
        <v>3</v>
      </c>
      <c r="BR37" s="44">
        <v>750</v>
      </c>
      <c r="BS37" s="44">
        <f t="shared" si="23"/>
        <v>750000</v>
      </c>
      <c r="BT37" s="44">
        <f t="shared" si="24"/>
        <v>1171.875</v>
      </c>
      <c r="BU37" s="80">
        <v>7354</v>
      </c>
      <c r="BV37" s="81">
        <f t="shared" si="25"/>
        <v>15.935205330432417</v>
      </c>
      <c r="BW37" s="82" cm="1">
        <f t="array" ref="BW37">_xlfn.IFS(BV37&gt;44, 3, BV37&lt;26, 1, 44&gt;BV37&gt;26, 2)</f>
        <v>1</v>
      </c>
      <c r="BX37" s="82">
        <v>1569356</v>
      </c>
      <c r="BY37" s="82" cm="1">
        <f t="array" ref="BY37">_xlfn.IFS(BX37&gt;12000000, 3, BX37&lt;4000000, 1, 4000000&gt;BX37&gt;12000000, 2)</f>
        <v>1</v>
      </c>
      <c r="BZ37" s="80">
        <v>5.1099068104611938</v>
      </c>
      <c r="CA37" s="82" cm="1">
        <f t="array" ref="CA37">_xlfn.IFS(BZ37&gt;$BZ$60, 1, BZ37&lt;$BZ$59, 3, BZ37&gt;$BZ$59, 2, BZ37=$BZ$59, 2)</f>
        <v>3</v>
      </c>
      <c r="CB37" s="413">
        <f t="shared" si="26"/>
        <v>1.6999999999999997</v>
      </c>
      <c r="CC37" s="44">
        <v>3483780</v>
      </c>
      <c r="CD37" s="44" cm="1">
        <f t="array" ref="CD37">_xlfn.IFS(CC37&gt;4200000, 3, CC37&lt;1700000, 1, 4200000&gt;CC37&gt;1700000, 2)</f>
        <v>2</v>
      </c>
      <c r="CE37" s="44">
        <v>41657.600000000006</v>
      </c>
      <c r="CF37" s="44" cm="1">
        <f t="array" ref="CF37">_xlfn.IFS(CE37&lt;120000, 1, CE37&gt;620000, 3, 620000&gt;CE37&gt;120000, 2)</f>
        <v>1</v>
      </c>
      <c r="CG37" s="44">
        <v>58686.400000000009</v>
      </c>
      <c r="CH37" s="44" cm="1">
        <f t="array" ref="CH37">_xlfn.IFS(CG37&lt;300000, 1, CG37&gt;1700000, 3, 300000&gt;CG37&gt;170000, 2)</f>
        <v>1</v>
      </c>
      <c r="CI37" s="44">
        <v>62.403224100000003</v>
      </c>
      <c r="CJ37" s="61" cm="1">
        <f t="array" ref="CJ37">_xlfn.IFS(CI37&lt;$CI$60, 1, CI37&gt;$CI$61, 3, CI37&lt;$CI$61, 2)</f>
        <v>3</v>
      </c>
      <c r="CK37" s="205">
        <f t="shared" si="27"/>
        <v>1.7000000000000002</v>
      </c>
      <c r="CL37" s="44">
        <v>816534</v>
      </c>
      <c r="CM37" s="48" cm="1">
        <f t="array" ref="CM37">_xlfn.IFS(CL37&gt;4600000, 3, CL37&lt;430000, 1, 4600000&gt;CL37&gt;430000, 2)</f>
        <v>2</v>
      </c>
      <c r="CN37" s="72">
        <f t="shared" si="2"/>
        <v>2</v>
      </c>
      <c r="CO37" s="39">
        <v>0</v>
      </c>
      <c r="CP37" s="65" cm="1">
        <f t="array" ref="CP37">_xlfn.IFS(CO37=0, 1, CO37="active", 3, CO37="permitted", 2)</f>
        <v>1</v>
      </c>
      <c r="CQ37" s="39">
        <v>0</v>
      </c>
      <c r="CR37" s="39" cm="1">
        <f t="array" ref="CR37">_xlfn.IFS(CQ37=0, 1, CQ37&lt;&gt;0, 3)</f>
        <v>1</v>
      </c>
      <c r="CS37" s="72">
        <v>1</v>
      </c>
      <c r="CT37" s="48" t="s">
        <v>181</v>
      </c>
      <c r="CU37" s="48">
        <v>933</v>
      </c>
      <c r="CV37" s="107">
        <v>8723</v>
      </c>
      <c r="CW37" s="39">
        <f>CU37/CV37</f>
        <v>0.10695861515533647</v>
      </c>
      <c r="CX37" s="207" cm="1">
        <f t="array" ref="CX37">_xlfn.IFS(CT37="N", 0, CW37&lt;$CW$61, 2, CW37 = $CW$61, 2, CW37&gt;$CW$61, 3)</f>
        <v>3</v>
      </c>
      <c r="CY37" s="207">
        <v>2</v>
      </c>
      <c r="CZ37" s="207" cm="1">
        <f t="array" ref="CZ37">_xlfn.IFS(CY37="NA", "NA", CY37=0, 1, CY37=1, 2, CY37&gt;1, 3)</f>
        <v>3</v>
      </c>
      <c r="DA37" s="201">
        <f t="shared" si="28"/>
        <v>3</v>
      </c>
      <c r="DB37" s="86">
        <v>0</v>
      </c>
      <c r="DC37" s="61" cm="1">
        <f t="array" ref="DC37">_xlfn.IFS(DB37&gt;$DB$61, 3, DB37=0, 1, DB37&lt;$DB$61, 2, DB37=$DB$61, 2)</f>
        <v>1</v>
      </c>
      <c r="DD37" s="87">
        <v>2822</v>
      </c>
      <c r="DE37" s="44" cm="1">
        <f t="array" ref="DE37">_xlfn.IFS(DD37&gt;$DD$62, 3, DD37&lt;$DD$60, 1, DD37&gt;$DD$60, 2, DD37=$DD$60, 2)</f>
        <v>2</v>
      </c>
      <c r="DF37" s="44">
        <v>0</v>
      </c>
      <c r="DG37" s="61" cm="1">
        <f t="array" ref="DG37">_xlfn.IFS(DF37=0, 1, DF37&lt;$DF$61, 2, DF37&gt;$DF$61, 3)</f>
        <v>1</v>
      </c>
      <c r="DH37" s="415">
        <f t="shared" si="29"/>
        <v>1.3333333333333319</v>
      </c>
      <c r="DI37" s="82">
        <v>590355916</v>
      </c>
      <c r="DJ37" s="82">
        <f t="shared" si="30"/>
        <v>67392.227853881282</v>
      </c>
      <c r="DK37" s="88">
        <v>5608.3000000000011</v>
      </c>
      <c r="DL37" s="89">
        <f t="shared" si="31"/>
        <v>8.3218795083608521E-2</v>
      </c>
      <c r="DM37" s="88" cm="1">
        <f t="array" ref="DM37">_xlfn.IFS(DL37&gt;$DL$60,3,(AND(DL37&lt;$DL$60,DL37&gt;$DL$59)),2,DL37&lt;$DL$59,1)</f>
        <v>1</v>
      </c>
      <c r="DN37" s="88">
        <v>2158</v>
      </c>
      <c r="DO37" s="90">
        <f t="shared" si="32"/>
        <v>3.6554219946192596E-3</v>
      </c>
      <c r="DP37" s="88" cm="1">
        <f t="array" ref="DP37">_xlfn.IFS(DO37&gt;DO$60,3,(AND(DO37&lt;DO$60,DO37&gt;DO$59)),2,DO37&lt;DO$59,1)</f>
        <v>1</v>
      </c>
      <c r="DQ37" s="91">
        <v>25066.799999999996</v>
      </c>
      <c r="DR37" s="92">
        <f t="shared" si="33"/>
        <v>0.24855086237458757</v>
      </c>
      <c r="DS37" s="88" cm="1">
        <f t="array" ref="DS37">_xlfn.IFS(DR37&gt;DR$60,3,(AND(DR37&lt;DR$60,DR37&gt;DR$59)),2,DR37&lt;DR$59,1)</f>
        <v>2</v>
      </c>
      <c r="DT37" s="91" t="s">
        <v>563</v>
      </c>
      <c r="DU37" s="213" cm="1">
        <f t="array" ref="DU37">_xlfn.IFS(DT37="no data","",DT37="40-45", 1, DT37= "45-50", 1, DT37="50-55", 1, DT37 ="30-35", 2, DT37="25-30", 2, DT37="35-40", 2, DT37="20-25", 3, DT37="15-20", 3)</f>
        <v>2</v>
      </c>
      <c r="DV37" s="88">
        <v>711844380.45959234</v>
      </c>
      <c r="DW37" s="88" cm="1">
        <f t="array" ref="DW37">_xlfn.IFS(DV37&gt;DV$60,3,(AND(DV37&lt;DV$60,DV37&gt;DV$59)),2,DV37&lt;DV$59,1)</f>
        <v>1</v>
      </c>
      <c r="DX37" s="93">
        <v>4</v>
      </c>
      <c r="DY37" s="88" cm="1">
        <f t="array" ref="DY37">_xlfn.IFS(DX37&gt;6.99,1,AND(DX37 &gt; 3, DX37 &lt; 7),2,DX37&lt;3.99,3)</f>
        <v>2</v>
      </c>
      <c r="DZ37" s="94">
        <f t="shared" si="3"/>
        <v>1.3</v>
      </c>
      <c r="EA37" s="95">
        <v>714800</v>
      </c>
      <c r="EB37" s="82">
        <v>766200</v>
      </c>
      <c r="EC37" s="82">
        <v>1087</v>
      </c>
      <c r="ED37" s="82">
        <v>0</v>
      </c>
      <c r="EE37" s="82">
        <v>32</v>
      </c>
      <c r="EF37" s="82">
        <f>ED37+EE37</f>
        <v>32</v>
      </c>
      <c r="EG37" s="204" cm="1">
        <f t="array" ref="EG37">_xlfn.IFS(EF37=0, 1, EF37&gt;2, 3, 0&gt;EF37&gt;3,2)</f>
        <v>3</v>
      </c>
      <c r="EH37" s="82">
        <v>0</v>
      </c>
      <c r="EI37" s="82">
        <v>0</v>
      </c>
      <c r="EJ37" s="82">
        <f t="shared" si="35"/>
        <v>0</v>
      </c>
      <c r="EK37" s="82" cm="1">
        <f t="array" ref="EK37">_xlfn.IFS(EH37+EI37=0, 1, EH37+EI37&gt;5, 3, EH37+EI37=5, 2, 0&gt;EH37+EI37&gt;5, 2)</f>
        <v>1</v>
      </c>
      <c r="EL37" s="82">
        <v>0</v>
      </c>
      <c r="EM37" s="82">
        <v>0</v>
      </c>
      <c r="EN37" s="82" cm="1">
        <f t="array" ref="EN37">_xlfn.IFS(EL37+EM37=0, 1, EL37+EM37&gt;10, 3, EL37+EM37 = 10, 2, 0&gt;EL37+EM37&gt;10, 2)</f>
        <v>1</v>
      </c>
      <c r="EO37" s="96">
        <f t="shared" si="4"/>
        <v>1.6666666666666665</v>
      </c>
      <c r="EP37" s="44">
        <v>0</v>
      </c>
      <c r="EQ37" s="61" cm="1">
        <f t="array" ref="EQ37">_xlfn.IFS(EP37=0, 1, EP37&gt;$EP$60, 3, EP37&lt;$EP$60, 2)</f>
        <v>1</v>
      </c>
      <c r="ER37" s="100">
        <v>0</v>
      </c>
      <c r="ES37" s="100" cm="1">
        <f t="array" ref="ES37">_xlfn.IFS(ER37=0, 1, ER37&gt;$ER$59, 3, ER37&lt;$ER$59, 2)</f>
        <v>1</v>
      </c>
      <c r="ET37" s="44">
        <v>0</v>
      </c>
      <c r="EU37" s="44" cm="1">
        <f t="array" ref="EU37">_xlfn.IFS(ET37=0, 1, ET37=1, 2, ET37&gt;1, 3)</f>
        <v>1</v>
      </c>
      <c r="EV37" s="413">
        <f t="shared" si="36"/>
        <v>1</v>
      </c>
      <c r="EW37" s="82">
        <v>0</v>
      </c>
      <c r="EX37" s="210" cm="1">
        <f t="array" ref="EX37">_xlfn.IFS(EW37&gt;EX$60,3,(AND(EW37&lt;EX$60,EW37&gt;EX$59)),2,EW37&lt;EX$59,1)</f>
        <v>1</v>
      </c>
      <c r="EY37" s="253">
        <v>211490650.125</v>
      </c>
      <c r="EZ37" s="210" cm="1">
        <f t="array" ref="EZ37">_xlfn.IFS(EY37&gt;EZ$60,3,(AND(EY37&lt;EZ$60,EY37&gt;EZ$59)),2,EY37&lt;EZ$59,1)</f>
        <v>2</v>
      </c>
      <c r="FA37" s="253">
        <v>1743190952050</v>
      </c>
      <c r="FB37" s="210" cm="1">
        <f t="array" ref="FB37">_xlfn.IFS(FA37&gt;FB$60,3,(AND(FA37&lt;FB$60,FA37&gt;FB$59)),2,FA37&lt;FB$59,1)</f>
        <v>2</v>
      </c>
      <c r="FC37" s="416">
        <f t="shared" si="5"/>
        <v>1.5</v>
      </c>
      <c r="FD37" s="81">
        <v>0.43</v>
      </c>
      <c r="FE37" s="81" cm="1">
        <f t="array" ref="FE37">_xlfn.IFS(FD37&gt;$FD$60, 3, FD37&lt;$FD$59, 1, FD37&gt;$FD$59, 2)</f>
        <v>1</v>
      </c>
      <c r="FF37" s="44">
        <v>0</v>
      </c>
      <c r="FG37" s="61" cm="1">
        <f t="array" ref="FG37">_xlfn.IFS(FF37&lt;$FF$59, 1, FF37&gt;$FF$60, 3, FF37 = $FF$60, 3, FF37&lt;$FF$60, 2)</f>
        <v>1</v>
      </c>
      <c r="FH37" s="97">
        <f t="shared" si="6"/>
        <v>1</v>
      </c>
      <c r="FI37" s="102">
        <v>3</v>
      </c>
      <c r="FJ37" s="44">
        <v>0</v>
      </c>
      <c r="FK37" s="98">
        <f t="shared" si="7"/>
        <v>3</v>
      </c>
      <c r="FL37" s="98" cm="1">
        <f t="array" ref="FL37">_xlfn.IFS(FK37&gt;$FK$60, 3, FK37&lt;$FK$59, 1, FK37&gt;$FK$59, 2, FK37=$FK$59, 2)</f>
        <v>2</v>
      </c>
      <c r="FM37" s="99">
        <f t="shared" si="8"/>
        <v>2</v>
      </c>
    </row>
    <row r="38" spans="1:169" ht="20.100000000000001" customHeight="1">
      <c r="A38" s="38" t="s">
        <v>138</v>
      </c>
      <c r="B38" s="44" t="s">
        <v>576</v>
      </c>
      <c r="C38" s="44">
        <v>2</v>
      </c>
      <c r="D38" s="44" t="s">
        <v>608</v>
      </c>
      <c r="E38" s="44">
        <v>2</v>
      </c>
      <c r="F38" s="61" t="s">
        <v>543</v>
      </c>
      <c r="G38" s="61" cm="1">
        <f t="array" ref="G38">_xlfn.IFS(F38= "Yes", 3, F38 &lt;&gt; "Yes", 1)</f>
        <v>1</v>
      </c>
      <c r="H38" s="44" t="s">
        <v>552</v>
      </c>
      <c r="I38" s="44">
        <v>2</v>
      </c>
      <c r="J38" s="44" t="s">
        <v>543</v>
      </c>
      <c r="K38" s="44">
        <v>1</v>
      </c>
      <c r="L38" s="193">
        <f t="shared" si="37"/>
        <v>1.7</v>
      </c>
      <c r="M38" s="48" t="s">
        <v>543</v>
      </c>
      <c r="N38" s="44">
        <v>1</v>
      </c>
      <c r="O38" s="44" t="s">
        <v>543</v>
      </c>
      <c r="P38" s="44">
        <v>1</v>
      </c>
      <c r="Q38" s="44" t="s">
        <v>543</v>
      </c>
      <c r="R38" s="44">
        <v>1</v>
      </c>
      <c r="S38" s="48" t="s">
        <v>543</v>
      </c>
      <c r="T38" s="44">
        <v>1</v>
      </c>
      <c r="U38" s="44" t="s">
        <v>543</v>
      </c>
      <c r="V38" s="44">
        <v>1</v>
      </c>
      <c r="W38" s="44" t="s">
        <v>609</v>
      </c>
      <c r="X38" s="44">
        <v>2</v>
      </c>
      <c r="Y38" s="39" t="s">
        <v>543</v>
      </c>
      <c r="Z38" s="44">
        <v>1</v>
      </c>
      <c r="AA38" s="72">
        <f t="shared" si="9"/>
        <v>1.075</v>
      </c>
      <c r="AB38" s="39" t="s">
        <v>543</v>
      </c>
      <c r="AC38" s="44" t="s">
        <v>542</v>
      </c>
      <c r="AD38" s="44">
        <v>1</v>
      </c>
      <c r="AE38" s="44" t="s">
        <v>543</v>
      </c>
      <c r="AF38" s="44" cm="1">
        <f t="array" ref="AF38">_xlfn.IFS(AE38="NA", 1, AE38="No", 1, AE38="Yes, implicit", 2, AE38="Yes, explicit", 3)</f>
        <v>1</v>
      </c>
      <c r="AG38" s="44" t="s">
        <v>556</v>
      </c>
      <c r="AH38" s="44" t="s">
        <v>543</v>
      </c>
      <c r="AI38" s="44">
        <v>2</v>
      </c>
      <c r="AJ38" s="73">
        <f t="shared" si="0"/>
        <v>1.2000000000000002</v>
      </c>
      <c r="AK38" s="76" t="s">
        <v>544</v>
      </c>
      <c r="AL38" s="74">
        <f t="shared" si="10"/>
        <v>1</v>
      </c>
      <c r="AM38" s="74" t="s">
        <v>545</v>
      </c>
      <c r="AN38" s="74">
        <f t="shared" si="11"/>
        <v>1</v>
      </c>
      <c r="AO38" s="74" t="s">
        <v>545</v>
      </c>
      <c r="AP38" s="74">
        <f t="shared" si="12"/>
        <v>1</v>
      </c>
      <c r="AQ38" s="75">
        <f t="shared" si="13"/>
        <v>0.30000000000000004</v>
      </c>
      <c r="AR38" s="74" t="s">
        <v>545</v>
      </c>
      <c r="AS38" s="74">
        <f t="shared" si="14"/>
        <v>1</v>
      </c>
      <c r="AT38" s="74" t="s">
        <v>545</v>
      </c>
      <c r="AU38" s="74">
        <f t="shared" si="15"/>
        <v>1</v>
      </c>
      <c r="AV38" s="74">
        <f t="shared" si="16"/>
        <v>0.2</v>
      </c>
      <c r="AW38" s="76" t="s">
        <v>545</v>
      </c>
      <c r="AX38" s="195">
        <f t="shared" si="1"/>
        <v>0.4</v>
      </c>
      <c r="AY38" s="76" t="s">
        <v>546</v>
      </c>
      <c r="AZ38" s="76">
        <f t="shared" si="17"/>
        <v>3</v>
      </c>
      <c r="BA38" s="76" t="s">
        <v>181</v>
      </c>
      <c r="BB38" s="74">
        <f t="shared" si="18"/>
        <v>3</v>
      </c>
      <c r="BC38" s="76" t="s">
        <v>181</v>
      </c>
      <c r="BD38" s="74">
        <f t="shared" si="19"/>
        <v>3</v>
      </c>
      <c r="BE38" s="76">
        <f t="shared" si="20"/>
        <v>0.90000000000000013</v>
      </c>
      <c r="BF38" s="76"/>
      <c r="BG38" s="76"/>
      <c r="BH38" s="77">
        <f t="shared" si="38"/>
        <v>0</v>
      </c>
      <c r="BI38" s="77">
        <f t="shared" si="39"/>
        <v>0</v>
      </c>
      <c r="BJ38" s="77">
        <f t="shared" si="40"/>
        <v>0</v>
      </c>
      <c r="BK38" s="77">
        <f t="shared" si="41"/>
        <v>0</v>
      </c>
      <c r="BL38" s="78">
        <f t="shared" si="21"/>
        <v>1.8000000000000003</v>
      </c>
      <c r="BM38" s="76" t="s">
        <v>181</v>
      </c>
      <c r="BN38" s="197" cm="1">
        <f t="array" ref="BN38">_xlfn.IFS(BM38="Y", 3, BM38="N", 2)</f>
        <v>3</v>
      </c>
      <c r="BO38" s="76" t="s">
        <v>181</v>
      </c>
      <c r="BP38" s="197" cm="1">
        <f t="array" ref="BP38">_xlfn.IFS(BO38="Y", 3, BO38="N", 2)</f>
        <v>3</v>
      </c>
      <c r="BQ38" s="79">
        <f t="shared" si="42"/>
        <v>3</v>
      </c>
      <c r="BR38" s="44">
        <v>40000</v>
      </c>
      <c r="BS38" s="44">
        <f t="shared" si="23"/>
        <v>40000000</v>
      </c>
      <c r="BT38" s="44">
        <f t="shared" si="24"/>
        <v>62500</v>
      </c>
      <c r="BU38" s="80">
        <v>121298</v>
      </c>
      <c r="BV38" s="81">
        <f t="shared" si="25"/>
        <v>51.525993833369057</v>
      </c>
      <c r="BW38" s="82" cm="1">
        <f t="array" ref="BW38">_xlfn.IFS(BV38&gt;44, 3, BV38&lt;26, 1, 44&gt;BV38&gt;26, 2)</f>
        <v>3</v>
      </c>
      <c r="BX38" s="82">
        <v>3942752</v>
      </c>
      <c r="BY38" s="82" cm="1">
        <f t="array" ref="BY38">_xlfn.IFS(BX38&gt;12000000, 3, BX38&lt;4000000, 1, 4000000&gt;BX38&gt;12000000, 2)</f>
        <v>1</v>
      </c>
      <c r="BZ38" s="80">
        <v>7.7938112053853228</v>
      </c>
      <c r="CA38" s="82" cm="1">
        <f t="array" ref="CA38">_xlfn.IFS(BZ38&gt;$BZ$60, 1, BZ38&lt;$BZ$59, 3, BZ38&gt;$BZ$59, 2, BZ38=$BZ$59, 2)</f>
        <v>1</v>
      </c>
      <c r="CB38" s="413">
        <f t="shared" si="26"/>
        <v>1.8000000000000003</v>
      </c>
      <c r="CC38" s="44">
        <v>1792808</v>
      </c>
      <c r="CD38" s="44" cm="1">
        <f t="array" ref="CD38">_xlfn.IFS(CC38&gt;4200000, 3, CC38&lt;1700000, 1, 4200000&gt;CC38&gt;1700000, 2)</f>
        <v>2</v>
      </c>
      <c r="CE38" s="44">
        <v>83038.59</v>
      </c>
      <c r="CF38" s="44" cm="1">
        <f t="array" ref="CF38">_xlfn.IFS(CE38&lt;120000, 1, CE38&gt;620000, 3, 620000&gt;CE38&gt;120000, 2)</f>
        <v>1</v>
      </c>
      <c r="CG38" s="44">
        <v>102333.80000000002</v>
      </c>
      <c r="CH38" s="44" cm="1">
        <f t="array" ref="CH38">_xlfn.IFS(CG38&lt;300000, 1, CG38&gt;1700000, 3, 300000&gt;CG38&gt;170000, 2)</f>
        <v>1</v>
      </c>
      <c r="CI38" s="44">
        <v>83.06289108</v>
      </c>
      <c r="CJ38" s="61" cm="1">
        <f t="array" ref="CJ38">_xlfn.IFS(CI38&lt;$CI$60, 1, CI38&gt;$CI$61, 3, CI38&lt;$CI$61, 2)</f>
        <v>3</v>
      </c>
      <c r="CK38" s="205">
        <f t="shared" si="27"/>
        <v>1.7000000000000002</v>
      </c>
      <c r="CL38" s="44">
        <v>7727727</v>
      </c>
      <c r="CM38" s="48" cm="1">
        <f t="array" ref="CM38">_xlfn.IFS(CL38&gt;4600000, 3, CL38&lt;430000, 1, 4600000&gt;CL38&gt;430000, 2)</f>
        <v>3</v>
      </c>
      <c r="CN38" s="72">
        <f t="shared" si="2"/>
        <v>3</v>
      </c>
      <c r="CO38" s="39">
        <v>0</v>
      </c>
      <c r="CP38" s="65" cm="1">
        <f t="array" ref="CP38">_xlfn.IFS(CO38=0, 1, CO38="active", 3, CO38="permitted", 2)</f>
        <v>1</v>
      </c>
      <c r="CQ38" s="39">
        <v>0</v>
      </c>
      <c r="CR38" s="39" cm="1">
        <f t="array" ref="CR38">_xlfn.IFS(CQ38=0, 1, CQ38&lt;&gt;0, 3)</f>
        <v>1</v>
      </c>
      <c r="CS38" s="72">
        <v>1</v>
      </c>
      <c r="CT38" s="44" t="s">
        <v>545</v>
      </c>
      <c r="CU38" s="82">
        <v>0</v>
      </c>
      <c r="CV38" s="82">
        <v>121590</v>
      </c>
      <c r="CW38" s="39" t="s">
        <v>542</v>
      </c>
      <c r="CX38" s="207" cm="1">
        <f t="array" ref="CX38">_xlfn.IFS(CT38="N", 0, CW38&lt;$CW$61, 2, CW38 = $CW$61, 2, CW38&gt;$CW$61, 3)</f>
        <v>0</v>
      </c>
      <c r="CY38" s="207" t="s">
        <v>542</v>
      </c>
      <c r="CZ38" s="207" t="str" cm="1">
        <f t="array" ref="CZ38">_xlfn.IFS(CY38="NA", "NA", CY38=0, 1, CY38=1, 2, CY38&gt;1, 3)</f>
        <v>NA</v>
      </c>
      <c r="DA38" s="201">
        <f t="shared" si="28"/>
        <v>0</v>
      </c>
      <c r="DB38" s="101">
        <v>3873</v>
      </c>
      <c r="DC38" s="61" cm="1">
        <f t="array" ref="DC38">_xlfn.IFS(DB38&gt;$DB$61, 3, DB38=0, 1, DB38&lt;$DB$61, 2, DB38=$DB$61, 2)</f>
        <v>3</v>
      </c>
      <c r="DD38" s="87">
        <v>2682</v>
      </c>
      <c r="DE38" s="44" cm="1">
        <f t="array" ref="DE38">_xlfn.IFS(DD38&gt;$DD$62, 3, DD38&lt;$DD$60, 1, DD38&gt;$DD$60, 2, DD38=$DD$60, 2)</f>
        <v>1</v>
      </c>
      <c r="DF38" s="44">
        <v>2354</v>
      </c>
      <c r="DG38" s="61" cm="1">
        <f t="array" ref="DG38">_xlfn.IFS(DF38=0, 1, DF38&lt;$DF$61, 2, DF38&gt;$DF$61, 3)</f>
        <v>3</v>
      </c>
      <c r="DH38" s="415">
        <f t="shared" si="29"/>
        <v>2.3333333333333308</v>
      </c>
      <c r="DI38" s="82">
        <v>201508048</v>
      </c>
      <c r="DJ38" s="82">
        <f t="shared" si="30"/>
        <v>23003.201826484019</v>
      </c>
      <c r="DK38" s="88">
        <v>5894.9999999999991</v>
      </c>
      <c r="DL38" s="89">
        <f t="shared" si="31"/>
        <v>0.25626867270333537</v>
      </c>
      <c r="DM38" s="88" cm="1">
        <f t="array" ref="DM38">_xlfn.IFS(DL38&gt;$DL$60,3,(AND(DL38&lt;$DL$60,DL38&gt;$DL$59)),2,DL38&lt;$DL$59,1)</f>
        <v>3</v>
      </c>
      <c r="DN38" s="88">
        <v>17603</v>
      </c>
      <c r="DO38" s="90">
        <f t="shared" si="32"/>
        <v>8.7356312438697237E-2</v>
      </c>
      <c r="DP38" s="88" cm="1">
        <f t="array" ref="DP38">_xlfn.IFS(DO38&gt;DO$60,3,(AND(DO38&lt;DO$60,DO38&gt;DO$59)),2,DO38&lt;DO$59,1)</f>
        <v>3</v>
      </c>
      <c r="DQ38" s="91">
        <v>38310</v>
      </c>
      <c r="DR38" s="92">
        <f t="shared" si="33"/>
        <v>0.4647016678295221</v>
      </c>
      <c r="DS38" s="88" cm="1">
        <f t="array" ref="DS38">_xlfn.IFS(DR38&gt;DR$60,3,(AND(DR38&lt;DR$60,DR38&gt;DR$59)),2,DR38&lt;DR$59,1)</f>
        <v>3</v>
      </c>
      <c r="DT38" s="91" t="s">
        <v>587</v>
      </c>
      <c r="DU38" s="213" cm="1">
        <f t="array" ref="DU38">_xlfn.IFS(DT38="no data","",DT38="40-45", 1, DT38= "45-50", 1, DT38="50-55", 1, DT38 ="30-35", 2, DT38="25-30", 2, DT38="35-40", 2, DT38="20-25", 3, DT38="15-20", 3)</f>
        <v>2</v>
      </c>
      <c r="DV38" s="88">
        <v>33891236107.448246</v>
      </c>
      <c r="DW38" s="88" cm="1">
        <f t="array" ref="DW38">_xlfn.IFS(DV38&gt;DV$60,3,(AND(DV38&lt;DV$60,DV38&gt;DV$59)),2,DV38&lt;DV$59,1)</f>
        <v>3</v>
      </c>
      <c r="DX38" s="93">
        <v>5</v>
      </c>
      <c r="DY38" s="88" cm="1">
        <f t="array" ref="DY38">_xlfn.IFS(DX38&gt;6.99,1,AND(DX38 &gt; 3, DX38 &lt; 7),2,DX38&lt;3.99,3)</f>
        <v>2</v>
      </c>
      <c r="DZ38" s="94">
        <f t="shared" si="3"/>
        <v>2.8</v>
      </c>
      <c r="EA38" s="95">
        <v>121200</v>
      </c>
      <c r="EB38" s="82">
        <v>107400</v>
      </c>
      <c r="EC38" s="82">
        <v>1859</v>
      </c>
      <c r="ED38" s="82">
        <v>0</v>
      </c>
      <c r="EE38" s="82">
        <v>2</v>
      </c>
      <c r="EF38" s="82">
        <f t="shared" si="34"/>
        <v>2</v>
      </c>
      <c r="EG38" s="204" cm="1">
        <f t="array" ref="EG38">_xlfn.IFS(EF38=0, 1, EF38&gt;2, 3, 0&gt;EF38&gt;3,2)</f>
        <v>2</v>
      </c>
      <c r="EH38" s="82">
        <v>1</v>
      </c>
      <c r="EI38" s="82">
        <v>5</v>
      </c>
      <c r="EJ38" s="82">
        <f t="shared" si="35"/>
        <v>6</v>
      </c>
      <c r="EK38" s="82" cm="1">
        <f t="array" ref="EK38">_xlfn.IFS(EH38+EI38=0, 1, EH38+EI38&gt;5, 3, EH38+EI38=5, 2, 0&gt;EH38+EI38&gt;5, 2)</f>
        <v>3</v>
      </c>
      <c r="EL38" s="82">
        <v>0</v>
      </c>
      <c r="EM38" s="82">
        <v>0</v>
      </c>
      <c r="EN38" s="82" cm="1">
        <f t="array" ref="EN38">_xlfn.IFS(EL38+EM38=0, 1, EL38+EM38&gt;10, 3, EL38+EM38 = 10, 2, 0&gt;EL38+EM38&gt;10, 2)</f>
        <v>1</v>
      </c>
      <c r="EO38" s="96">
        <f t="shared" si="4"/>
        <v>1.9999999999999998</v>
      </c>
      <c r="EP38" s="44">
        <v>1</v>
      </c>
      <c r="EQ38" s="61" cm="1">
        <f t="array" ref="EQ38">_xlfn.IFS(EP38=0, 1, EP38&gt;$EP$60, 3, EP38&lt;$EP$60, 2)</f>
        <v>2</v>
      </c>
      <c r="ER38" s="100">
        <v>1018.6</v>
      </c>
      <c r="ES38" s="100" cm="1">
        <f t="array" ref="ES38">_xlfn.IFS(ER38=0, 1, ER38&gt;$ER$59, 3, ER38&lt;$ER$59, 2)</f>
        <v>3</v>
      </c>
      <c r="ET38" s="44">
        <v>0</v>
      </c>
      <c r="EU38" s="44" cm="1">
        <f t="array" ref="EU38">_xlfn.IFS(ET38=0, 1, ET38=1, 2, ET38&gt;1, 3)</f>
        <v>1</v>
      </c>
      <c r="EV38" s="413">
        <f t="shared" si="36"/>
        <v>2</v>
      </c>
      <c r="EW38" s="82">
        <v>139.16</v>
      </c>
      <c r="EX38" s="210" cm="1">
        <f t="array" ref="EX38">_xlfn.IFS(EW38&gt;EX$60,3,(AND(EW38&lt;EX$60,EW38&gt;EX$59)),2,EW38&lt;EX$59,1)</f>
        <v>3</v>
      </c>
      <c r="EY38" s="82">
        <v>0</v>
      </c>
      <c r="EZ38" s="210" cm="1">
        <f t="array" ref="EZ38">_xlfn.IFS(EY38&gt;EZ$60,3,(AND(EY38&lt;EZ$60,EY38&gt;EZ$59)),2,EY38&lt;EZ$59,1)</f>
        <v>1</v>
      </c>
      <c r="FA38" s="253">
        <v>34944505184925</v>
      </c>
      <c r="FB38" s="210" cm="1">
        <f t="array" ref="FB38">_xlfn.IFS(FA38&gt;FB$60,3,(AND(FA38&lt;FB$60,FA38&gt;FB$59)),2,FA38&lt;FB$59,1)</f>
        <v>3</v>
      </c>
      <c r="FC38" s="416">
        <f t="shared" si="5"/>
        <v>2.5</v>
      </c>
      <c r="FD38" s="81">
        <v>1.49</v>
      </c>
      <c r="FE38" s="81" cm="1">
        <f t="array" ref="FE38">_xlfn.IFS(FD38&gt;$FD$60, 3, FD38&lt;$FD$59, 1, FD38&gt;$FD$59, 2)</f>
        <v>2</v>
      </c>
      <c r="FF38" s="44">
        <v>0</v>
      </c>
      <c r="FG38" s="61" cm="1">
        <f t="array" ref="FG38">_xlfn.IFS(FF38&lt;$FF$59, 1, FF38&gt;$FF$60, 3, FF38 = $FF$60, 3, FF38&lt;$FF$60, 2)</f>
        <v>1</v>
      </c>
      <c r="FH38" s="97">
        <f t="shared" si="6"/>
        <v>1.6</v>
      </c>
      <c r="FI38" s="102">
        <v>0</v>
      </c>
      <c r="FJ38" s="44">
        <v>0</v>
      </c>
      <c r="FK38" s="98">
        <f t="shared" si="7"/>
        <v>0</v>
      </c>
      <c r="FL38" s="98" cm="1">
        <f t="array" ref="FL38">_xlfn.IFS(FK38&gt;$FK$60, 3, FK38&lt;$FK$59, 1, FK38&gt;$FK$59, 2, FK38=$FK$59, 2)</f>
        <v>1</v>
      </c>
      <c r="FM38" s="99">
        <f t="shared" si="8"/>
        <v>1</v>
      </c>
    </row>
    <row r="39" spans="1:169" ht="20.100000000000001" customHeight="1">
      <c r="A39" s="38" t="s">
        <v>139</v>
      </c>
      <c r="B39" s="44" t="s">
        <v>564</v>
      </c>
      <c r="C39" s="44">
        <v>3</v>
      </c>
      <c r="D39" s="44" t="s">
        <v>610</v>
      </c>
      <c r="E39" s="44">
        <v>3</v>
      </c>
      <c r="F39" s="61" t="s">
        <v>543</v>
      </c>
      <c r="G39" s="61" cm="1">
        <f t="array" ref="G39">_xlfn.IFS(F39= "Yes", 3, F39 &lt;&gt; "Yes", 1)</f>
        <v>1</v>
      </c>
      <c r="H39" s="44" t="s">
        <v>553</v>
      </c>
      <c r="I39" s="44">
        <v>3</v>
      </c>
      <c r="J39" s="44" t="s">
        <v>543</v>
      </c>
      <c r="K39" s="44">
        <v>1</v>
      </c>
      <c r="L39" s="193">
        <f t="shared" si="37"/>
        <v>2.4</v>
      </c>
      <c r="M39" s="48" t="s">
        <v>543</v>
      </c>
      <c r="N39" s="44">
        <v>1</v>
      </c>
      <c r="O39" s="44" t="s">
        <v>543</v>
      </c>
      <c r="P39" s="44">
        <v>1</v>
      </c>
      <c r="Q39" s="44" t="s">
        <v>556</v>
      </c>
      <c r="R39" s="44">
        <v>3</v>
      </c>
      <c r="S39" s="44" t="s">
        <v>611</v>
      </c>
      <c r="T39" s="44">
        <v>1</v>
      </c>
      <c r="U39" s="44" t="s">
        <v>543</v>
      </c>
      <c r="V39" s="44">
        <v>1</v>
      </c>
      <c r="W39" s="44" t="s">
        <v>543</v>
      </c>
      <c r="X39" s="44">
        <v>1</v>
      </c>
      <c r="Y39" s="85" t="s">
        <v>570</v>
      </c>
      <c r="Z39" s="44">
        <v>2</v>
      </c>
      <c r="AA39" s="72">
        <f t="shared" ref="AA39:AA57" si="43">N39*$N$6+P39*$P$6+R39*$R$6+T39*$T$6+V39*$V$6+X39*$X$6+Z39*$Z$6</f>
        <v>1.2749999999999999</v>
      </c>
      <c r="AB39" s="103" t="s">
        <v>612</v>
      </c>
      <c r="AC39" s="44" t="s">
        <v>181</v>
      </c>
      <c r="AD39" s="44">
        <v>3</v>
      </c>
      <c r="AE39" s="44" t="s">
        <v>561</v>
      </c>
      <c r="AF39" s="44" cm="1">
        <f t="array" ref="AF39">_xlfn.IFS(AE39="NA", 1, AE39="No", 1, AE39="Yes, implicit", 2, AE39="Yes, explicit", 3)</f>
        <v>3</v>
      </c>
      <c r="AG39" s="44" t="s">
        <v>556</v>
      </c>
      <c r="AH39" s="44" t="s">
        <v>556</v>
      </c>
      <c r="AI39" s="44">
        <v>3</v>
      </c>
      <c r="AJ39" s="73">
        <f t="shared" ref="AJ39:AJ57" si="44">SUMPRODUCT($AB$6:$AI$6, AB39:AI39)</f>
        <v>3</v>
      </c>
      <c r="AK39" s="76" t="s">
        <v>544</v>
      </c>
      <c r="AL39" s="74">
        <f t="shared" si="10"/>
        <v>1</v>
      </c>
      <c r="AM39" s="74" t="s">
        <v>545</v>
      </c>
      <c r="AN39" s="74">
        <f t="shared" si="11"/>
        <v>1</v>
      </c>
      <c r="AO39" s="74" t="s">
        <v>545</v>
      </c>
      <c r="AP39" s="74">
        <f t="shared" si="12"/>
        <v>1</v>
      </c>
      <c r="AQ39" s="75">
        <f t="shared" ref="AQ39:AQ57" si="45">AL39*$AL$6+AN39*$AN$6+AP39*$AP$6</f>
        <v>0.30000000000000004</v>
      </c>
      <c r="AR39" s="74" t="s">
        <v>545</v>
      </c>
      <c r="AS39" s="74">
        <f t="shared" si="14"/>
        <v>1</v>
      </c>
      <c r="AT39" s="74" t="s">
        <v>545</v>
      </c>
      <c r="AU39" s="74">
        <f t="shared" si="15"/>
        <v>1</v>
      </c>
      <c r="AV39" s="74">
        <f t="shared" ref="AV39:AV57" si="46">AS39*$AS$6+AU39*$AU$6</f>
        <v>0.2</v>
      </c>
      <c r="AW39" s="76" t="s">
        <v>545</v>
      </c>
      <c r="AX39" s="195">
        <f t="shared" ref="AX39:AX57" si="47">IF(AW39="Y",3,IF(AW39="In Process",2.5,2))*$AW$6</f>
        <v>0.4</v>
      </c>
      <c r="AY39" s="76" t="s">
        <v>546</v>
      </c>
      <c r="AZ39" s="76">
        <f t="shared" ref="AZ39:AZ57" si="48">IF(AY39="Certification",3,1)</f>
        <v>3</v>
      </c>
      <c r="BA39" s="76" t="s">
        <v>545</v>
      </c>
      <c r="BB39" s="74">
        <f t="shared" si="18"/>
        <v>1</v>
      </c>
      <c r="BC39" s="76" t="s">
        <v>181</v>
      </c>
      <c r="BD39" s="74">
        <f t="shared" ref="BD39:BD57" si="49">IF(BC39="Y",3,1)</f>
        <v>3</v>
      </c>
      <c r="BE39" s="76">
        <f t="shared" ref="BE39:BE57" si="50">AZ39*$AZ$6+BB39*$BB$6+BD39*$BD$6</f>
        <v>0.70000000000000007</v>
      </c>
      <c r="BF39" s="76"/>
      <c r="BG39" s="76"/>
      <c r="BH39" s="77">
        <f t="shared" si="38"/>
        <v>0</v>
      </c>
      <c r="BI39" s="77">
        <f t="shared" si="39"/>
        <v>0</v>
      </c>
      <c r="BJ39" s="77">
        <f t="shared" si="40"/>
        <v>0</v>
      </c>
      <c r="BK39" s="77">
        <f t="shared" si="41"/>
        <v>0</v>
      </c>
      <c r="BL39" s="78">
        <f t="shared" ref="BL39:BL57" si="51">BE39+AX39+AV39+AQ39</f>
        <v>1.6</v>
      </c>
      <c r="BM39" s="76" t="s">
        <v>545</v>
      </c>
      <c r="BN39" s="197" cm="1">
        <f t="array" ref="BN39">_xlfn.IFS(BM39="Y", 3, BM39="N", 2)</f>
        <v>2</v>
      </c>
      <c r="BO39" s="76" t="s">
        <v>545</v>
      </c>
      <c r="BP39" s="197" cm="1">
        <f t="array" ref="BP39">_xlfn.IFS(BO39="Y", 3, BO39="N", 2)</f>
        <v>2</v>
      </c>
      <c r="BQ39" s="79">
        <f>SUMPRODUCT($BM$6:$BP$6, BM39:BP39)</f>
        <v>2</v>
      </c>
      <c r="BR39" s="44">
        <v>6900</v>
      </c>
      <c r="BS39" s="44">
        <f t="shared" si="23"/>
        <v>6900000</v>
      </c>
      <c r="BT39" s="44">
        <f t="shared" si="24"/>
        <v>10781.25</v>
      </c>
      <c r="BU39" s="80">
        <v>47126</v>
      </c>
      <c r="BV39" s="81">
        <f>BT39/BU39*100</f>
        <v>22.877498620718921</v>
      </c>
      <c r="BW39" s="82" cm="1">
        <f t="array" ref="BW39">_xlfn.IFS(BV39&gt;44, 3, BV39&lt;26, 1, 44&gt;BV39&gt;26, 2)</f>
        <v>1</v>
      </c>
      <c r="BX39" s="82">
        <v>8001099</v>
      </c>
      <c r="BY39" s="82" cm="1">
        <f t="array" ref="BY39">_xlfn.IFS(BX39&gt;12000000, 3, BX39&lt;4000000, 1, 4000000&gt;BX39&gt;12000000, 2)</f>
        <v>2</v>
      </c>
      <c r="BZ39" s="80">
        <v>5.8996333700900845</v>
      </c>
      <c r="CA39" s="82" cm="1">
        <f t="array" ref="CA39">_xlfn.IFS(BZ39&gt;$BZ$60, 1, BZ39&lt;$BZ$59, 3, BZ39&gt;$BZ$59, 2, BZ39=$BZ$59, 2)</f>
        <v>3</v>
      </c>
      <c r="CB39" s="413">
        <f t="shared" ref="CB39:CB57" si="52">SUMPRODUCT($BR$6:$CA$6, BR39:CA39)</f>
        <v>1.9499999999999997</v>
      </c>
      <c r="CC39" s="44">
        <v>8273065</v>
      </c>
      <c r="CD39" s="44" cm="1">
        <f t="array" ref="CD39">_xlfn.IFS(CC39&gt;4200000, 3, CC39&lt;1700000, 1, 4200000&gt;CC39&gt;1700000, 2)</f>
        <v>3</v>
      </c>
      <c r="CE39" s="44">
        <v>332801.09000000014</v>
      </c>
      <c r="CF39" s="44" cm="1">
        <f t="array" ref="CF39">_xlfn.IFS(CE39&lt;120000, 1, CE39&gt;620000, 3, 620000&gt;CE39&gt;120000, 2)</f>
        <v>2</v>
      </c>
      <c r="CG39" s="44">
        <v>1651820.8999999994</v>
      </c>
      <c r="CH39" s="44" cm="1">
        <f t="array" ref="CH39">_xlfn.IFS(CG39&lt;300000, 1, CG39&gt;1700000, 3, 300000&gt;CG39&gt;170000, 2)</f>
        <v>2</v>
      </c>
      <c r="CI39" s="44">
        <v>42.60414849</v>
      </c>
      <c r="CJ39" s="61" cm="1">
        <f t="array" ref="CJ39">_xlfn.IFS(CI39&lt;$CI$60, 1, CI39&gt;$CI$61, 3, CI39&lt;$CI$61, 2)</f>
        <v>2</v>
      </c>
      <c r="CK39" s="205">
        <f t="shared" si="27"/>
        <v>2.2000000000000002</v>
      </c>
      <c r="CL39" s="44">
        <v>1866633</v>
      </c>
      <c r="CM39" s="48" cm="1">
        <f t="array" ref="CM39">_xlfn.IFS(CL39&gt;4600000, 3, CL39&lt;430000, 1, 4600000&gt;CL39&gt;430000, 2)</f>
        <v>2</v>
      </c>
      <c r="CN39" s="72">
        <f t="shared" ref="CN39:CN57" si="53">SUMPRODUCT($CL$6:$CM$6, CL39:CM39)</f>
        <v>2</v>
      </c>
      <c r="CO39" s="39" t="s">
        <v>613</v>
      </c>
      <c r="CP39" s="65" cm="1">
        <f t="array" ref="CP39">_xlfn.IFS(CO39=0, 1, CO39="active", 3, CO39="permitted", 2)</f>
        <v>2</v>
      </c>
      <c r="CQ39" s="39">
        <v>0</v>
      </c>
      <c r="CR39" s="39" cm="1">
        <f t="array" ref="CR39">_xlfn.IFS(CQ39=0, 1, CQ39&lt;&gt;0, 3)</f>
        <v>1</v>
      </c>
      <c r="CS39" s="72">
        <v>2</v>
      </c>
      <c r="CT39" s="48" t="s">
        <v>181</v>
      </c>
      <c r="CU39" s="48">
        <v>1454</v>
      </c>
      <c r="CV39" s="107">
        <v>54555</v>
      </c>
      <c r="CW39" s="39">
        <f>CU39/CV39</f>
        <v>2.6652002566217577E-2</v>
      </c>
      <c r="CX39" s="207" cm="1">
        <f t="array" ref="CX39">_xlfn.IFS(CT39="N", 0, CW39&lt;$CW$61, 2, CW39 = $CW$61, 2, CW39&gt;$CW$61, 3)</f>
        <v>2</v>
      </c>
      <c r="CY39" s="207">
        <v>1</v>
      </c>
      <c r="CZ39" s="207" cm="1">
        <f t="array" ref="CZ39">_xlfn.IFS(CY39="NA", "NA", CY39=0, 1, CY39=1, 2, CY39&gt;1, 3)</f>
        <v>2</v>
      </c>
      <c r="DA39" s="201">
        <f t="shared" si="28"/>
        <v>2</v>
      </c>
      <c r="DB39" s="86">
        <v>298</v>
      </c>
      <c r="DC39" s="61" cm="1">
        <f t="array" ref="DC39">_xlfn.IFS(DB39&gt;$DB$61, 3, DB39=0, 1, DB39&lt;$DB$61, 2, DB39=$DB$61, 2)</f>
        <v>3</v>
      </c>
      <c r="DD39" s="87">
        <v>20035</v>
      </c>
      <c r="DE39" s="44" cm="1">
        <f t="array" ref="DE39">_xlfn.IFS(DD39&gt;$DD$62, 3, DD39&lt;$DD$60, 1, DD39&gt;$DD$60, 2, DD39=$DD$60, 2)</f>
        <v>3</v>
      </c>
      <c r="DF39" s="44">
        <v>7032</v>
      </c>
      <c r="DG39" s="61" cm="1">
        <f t="array" ref="DG39">_xlfn.IFS(DF39=0, 1, DF39&lt;$DF$61, 2, DF39&gt;$DF$61, 3)</f>
        <v>3</v>
      </c>
      <c r="DH39" s="415">
        <f t="shared" si="29"/>
        <v>2.9999999999999964</v>
      </c>
      <c r="DI39" s="82">
        <v>1011879743</v>
      </c>
      <c r="DJ39" s="82">
        <f t="shared" si="30"/>
        <v>115511.38618721461</v>
      </c>
      <c r="DK39" s="88">
        <v>14152.000000000004</v>
      </c>
      <c r="DL39" s="89">
        <f t="shared" si="31"/>
        <v>0.12251606068568173</v>
      </c>
      <c r="DM39" s="88" cm="1">
        <f t="array" ref="DM39">_xlfn.IFS(DL39&gt;$DL$60,3,(AND(DL39&lt;$DL$60,DL39&gt;$DL$59)),2,DL39&lt;$DL$59,1)</f>
        <v>2</v>
      </c>
      <c r="DN39" s="88">
        <v>36343</v>
      </c>
      <c r="DO39" s="90">
        <f t="shared" si="32"/>
        <v>3.5916323309577315E-2</v>
      </c>
      <c r="DP39" s="88" cm="1">
        <f t="array" ref="DP39">_xlfn.IFS(DO39&gt;DO$60,3,(AND(DO39&lt;DO$60,DO39&gt;DO$59)),2,DO39&lt;DO$59,1)</f>
        <v>2</v>
      </c>
      <c r="DQ39" s="91">
        <v>121618.79999999997</v>
      </c>
      <c r="DR39" s="92">
        <f t="shared" si="33"/>
        <v>0.45004200196775362</v>
      </c>
      <c r="DS39" s="88" cm="1">
        <f t="array" ref="DS39">_xlfn.IFS(DR39&gt;DR$60,3,(AND(DR39&lt;DR$60,DR39&gt;DR$59)),2,DR39&lt;DR$59,1)</f>
        <v>3</v>
      </c>
      <c r="DT39" s="91" t="s">
        <v>563</v>
      </c>
      <c r="DU39" s="213" cm="1">
        <f t="array" ref="DU39">_xlfn.IFS(DT39="no data","",DT39="40-45", 1, DT39= "45-50", 1, DT39="50-55", 1, DT39 ="30-35", 2, DT39="25-30", 2, DT39="35-40", 2, DT39="20-25", 3, DT39="15-20", 3)</f>
        <v>2</v>
      </c>
      <c r="DV39" s="88">
        <v>2752157799.7016425</v>
      </c>
      <c r="DW39" s="88" cm="1">
        <f t="array" ref="DW39">_xlfn.IFS(DV39&gt;DV$60,3,(AND(DV39&lt;DV$60,DV39&gt;DV$59)),2,DV39&lt;DV$59,1)</f>
        <v>1</v>
      </c>
      <c r="DX39" s="93">
        <v>5</v>
      </c>
      <c r="DY39" s="88" cm="1">
        <f t="array" ref="DY39">_xlfn.IFS(DX39&gt;6.99,1,AND(DX39 &gt; 3, DX39 &lt; 7),2,DX39&lt;3.99,3)</f>
        <v>2</v>
      </c>
      <c r="DZ39" s="94">
        <f t="shared" ref="DZ39:DZ57" si="54">SUMPRODUCT($DK$6:$DY$6,DK39:DY39)</f>
        <v>2</v>
      </c>
      <c r="EA39" s="95">
        <v>192600</v>
      </c>
      <c r="EB39" s="82">
        <v>295100</v>
      </c>
      <c r="EC39" s="82">
        <v>3442</v>
      </c>
      <c r="ED39" s="82">
        <v>0</v>
      </c>
      <c r="EE39" s="82">
        <v>0</v>
      </c>
      <c r="EF39" s="82">
        <f t="shared" si="34"/>
        <v>0</v>
      </c>
      <c r="EG39" s="204" cm="1">
        <f t="array" ref="EG39">_xlfn.IFS(EF39=0, 1, EF39&gt;2, 3, 0&gt;EF39&gt;3,2)</f>
        <v>1</v>
      </c>
      <c r="EH39" s="82">
        <v>1</v>
      </c>
      <c r="EI39" s="82">
        <v>3</v>
      </c>
      <c r="EJ39" s="82">
        <f t="shared" si="35"/>
        <v>4</v>
      </c>
      <c r="EK39" s="82" cm="1">
        <f t="array" ref="EK39">_xlfn.IFS(EH39+EI39=0, 1, EH39+EI39&gt;5, 3, EH39+EI39=5, 2, 0&gt;EH39+EI39&gt;5, 2)</f>
        <v>2</v>
      </c>
      <c r="EL39" s="82">
        <v>3</v>
      </c>
      <c r="EM39" s="82">
        <v>1</v>
      </c>
      <c r="EN39" s="82" cm="1">
        <f t="array" ref="EN39">_xlfn.IFS(EL39+EM39=0, 1, EL39+EM39&gt;10, 3, EL39+EM39 = 10, 2, 0&gt;EL39+EM39&gt;10, 2)</f>
        <v>2</v>
      </c>
      <c r="EO39" s="96">
        <f t="shared" ref="EO39:EO57" si="55">SUMPRODUCT($ED$6:$EN$6, ED39:EN39)</f>
        <v>1.6666666666666665</v>
      </c>
      <c r="EP39" s="44">
        <v>0</v>
      </c>
      <c r="EQ39" s="61" cm="1">
        <f t="array" ref="EQ39">_xlfn.IFS(EP39=0, 1, EP39&gt;$EP$60, 3, EP39&lt;$EP$60, 2)</f>
        <v>1</v>
      </c>
      <c r="ER39" s="100">
        <v>0</v>
      </c>
      <c r="ES39" s="100" cm="1">
        <f t="array" ref="ES39">_xlfn.IFS(ER39=0, 1, ER39&gt;$ER$59, 3, ER39&lt;$ER$59, 2)</f>
        <v>1</v>
      </c>
      <c r="ET39" s="44">
        <v>0</v>
      </c>
      <c r="EU39" s="44" cm="1">
        <f t="array" ref="EU39">_xlfn.IFS(ET39=0, 1, ET39=1, 2, ET39&gt;1, 3)</f>
        <v>1</v>
      </c>
      <c r="EV39" s="413">
        <f t="shared" ref="EV39:EV57" si="56">SUMPRODUCT($EP$6:$EU$6, EP39:EU39)</f>
        <v>1</v>
      </c>
      <c r="EW39" s="82">
        <v>4.45</v>
      </c>
      <c r="EX39" s="210" cm="1">
        <f t="array" ref="EX39">_xlfn.IFS(EW39&gt;EX$60,3,(AND(EW39&lt;EX$60,EW39&gt;EX$59)),2,EW39&lt;EX$59,1)</f>
        <v>2</v>
      </c>
      <c r="EY39" s="253">
        <v>2574421352.670938</v>
      </c>
      <c r="EZ39" s="210" cm="1">
        <f t="array" ref="EZ39">_xlfn.IFS(EY39&gt;EZ$60,3,(AND(EY39&lt;EZ$60,EY39&gt;EZ$59)),2,EY39&lt;EZ$59,1)</f>
        <v>3</v>
      </c>
      <c r="FA39" s="253">
        <v>1002919829025</v>
      </c>
      <c r="FB39" s="210" cm="1">
        <f t="array" ref="FB39">_xlfn.IFS(FA39&gt;FB$60,3,(AND(FA39&lt;FB$60,FA39&gt;FB$59)),2,FA39&lt;FB$59,1)</f>
        <v>2</v>
      </c>
      <c r="FC39" s="416">
        <f t="shared" ref="FC39:FC57" si="57">SUMPRODUCT($EX$6:$FB$6,EX39:FB39)</f>
        <v>2.25</v>
      </c>
      <c r="FD39" s="81">
        <v>1.98</v>
      </c>
      <c r="FE39" s="81" cm="1">
        <f t="array" ref="FE39">_xlfn.IFS(FD39&gt;$FD$60, 3, FD39&lt;$FD$59, 1, FD39&gt;$FD$59, 2)</f>
        <v>3</v>
      </c>
      <c r="FF39" s="44">
        <v>1</v>
      </c>
      <c r="FG39" s="61" cm="1">
        <f t="array" ref="FG39">_xlfn.IFS(FF39&lt;$FF$59, 1, FF39&gt;$FF$60, 3, FF39 = $FF$60, 3, FF39&lt;$FF$60, 2)</f>
        <v>2</v>
      </c>
      <c r="FH39" s="97">
        <f t="shared" ref="FH39:FH57" si="58">SUMPRODUCT($FD$6:$FG$6, FD39:FG39)</f>
        <v>2.5999999999999996</v>
      </c>
      <c r="FI39" s="102">
        <v>2</v>
      </c>
      <c r="FJ39" s="44">
        <v>0</v>
      </c>
      <c r="FK39" s="98">
        <f t="shared" ref="FK39:FK57" si="59">SUM(FI39:FJ39)</f>
        <v>2</v>
      </c>
      <c r="FL39" s="98" cm="1">
        <f t="array" ref="FL39">_xlfn.IFS(FK39&gt;$FK$60, 3, FK39&lt;$FK$59, 1, FK39&gt;$FK$59, 2, FK39=$FK$59, 2)</f>
        <v>1</v>
      </c>
      <c r="FM39" s="99">
        <f t="shared" ref="FM39:FM57" si="60">SUMPRODUCT($FI$6:$FL$6, FI39:FL39)</f>
        <v>1</v>
      </c>
    </row>
    <row r="40" spans="1:169" ht="20.100000000000001" customHeight="1">
      <c r="A40" s="38" t="s">
        <v>140</v>
      </c>
      <c r="B40" s="44" t="s">
        <v>576</v>
      </c>
      <c r="C40" s="44">
        <v>2</v>
      </c>
      <c r="D40" s="44" t="s">
        <v>574</v>
      </c>
      <c r="E40" s="44">
        <v>3</v>
      </c>
      <c r="F40" s="61" t="s">
        <v>543</v>
      </c>
      <c r="G40" s="61" cm="1">
        <f t="array" ref="G40">_xlfn.IFS(F40= "Yes", 3, F40 &lt;&gt; "Yes", 1)</f>
        <v>1</v>
      </c>
      <c r="H40" s="44" t="s">
        <v>552</v>
      </c>
      <c r="I40" s="44">
        <v>2</v>
      </c>
      <c r="J40" s="44" t="s">
        <v>543</v>
      </c>
      <c r="K40" s="44">
        <v>1</v>
      </c>
      <c r="L40" s="193">
        <f t="shared" si="37"/>
        <v>1.8499999999999999</v>
      </c>
      <c r="M40" s="48" t="s">
        <v>543</v>
      </c>
      <c r="N40" s="44">
        <v>1</v>
      </c>
      <c r="O40" s="44" t="s">
        <v>543</v>
      </c>
      <c r="P40" s="44">
        <v>1</v>
      </c>
      <c r="Q40" s="44" t="s">
        <v>543</v>
      </c>
      <c r="R40" s="44">
        <v>1</v>
      </c>
      <c r="S40" s="48" t="s">
        <v>543</v>
      </c>
      <c r="T40" s="44">
        <v>1</v>
      </c>
      <c r="U40" s="44" t="s">
        <v>543</v>
      </c>
      <c r="V40" s="44">
        <v>1</v>
      </c>
      <c r="W40" s="44" t="s">
        <v>543</v>
      </c>
      <c r="X40" s="44">
        <v>1</v>
      </c>
      <c r="Y40" s="39" t="s">
        <v>543</v>
      </c>
      <c r="Z40" s="44">
        <v>1</v>
      </c>
      <c r="AA40" s="72">
        <f t="shared" si="43"/>
        <v>0.99999999999999978</v>
      </c>
      <c r="AB40" s="103" t="s">
        <v>614</v>
      </c>
      <c r="AC40" s="104" t="s">
        <v>572</v>
      </c>
      <c r="AD40" s="44">
        <v>3</v>
      </c>
      <c r="AE40" s="44" t="s">
        <v>543</v>
      </c>
      <c r="AF40" s="44" cm="1">
        <f t="array" ref="AF40">_xlfn.IFS(AE40="NA", 1, AE40="No", 1, AE40="Yes, implicit", 2, AE40="Yes, explicit", 3)</f>
        <v>1</v>
      </c>
      <c r="AG40" s="44" t="s">
        <v>556</v>
      </c>
      <c r="AH40" s="44" t="s">
        <v>543</v>
      </c>
      <c r="AI40" s="44">
        <v>2</v>
      </c>
      <c r="AJ40" s="73">
        <f t="shared" si="44"/>
        <v>2.4</v>
      </c>
      <c r="AK40" s="76" t="s">
        <v>544</v>
      </c>
      <c r="AL40" s="74">
        <f t="shared" si="10"/>
        <v>1</v>
      </c>
      <c r="AM40" s="74" t="s">
        <v>545</v>
      </c>
      <c r="AN40" s="74">
        <f t="shared" si="11"/>
        <v>1</v>
      </c>
      <c r="AO40" s="74" t="s">
        <v>545</v>
      </c>
      <c r="AP40" s="74">
        <f t="shared" si="12"/>
        <v>1</v>
      </c>
      <c r="AQ40" s="75">
        <f t="shared" si="45"/>
        <v>0.30000000000000004</v>
      </c>
      <c r="AR40" s="74" t="s">
        <v>545</v>
      </c>
      <c r="AS40" s="74">
        <f t="shared" si="14"/>
        <v>1</v>
      </c>
      <c r="AT40" s="74" t="s">
        <v>545</v>
      </c>
      <c r="AU40" s="74">
        <f t="shared" si="15"/>
        <v>1</v>
      </c>
      <c r="AV40" s="74">
        <f t="shared" si="46"/>
        <v>0.2</v>
      </c>
      <c r="AW40" s="76" t="s">
        <v>545</v>
      </c>
      <c r="AX40" s="195">
        <f t="shared" si="47"/>
        <v>0.4</v>
      </c>
      <c r="AY40" s="76" t="s">
        <v>545</v>
      </c>
      <c r="AZ40" s="76">
        <f t="shared" si="48"/>
        <v>1</v>
      </c>
      <c r="BA40" s="76" t="s">
        <v>545</v>
      </c>
      <c r="BB40" s="74">
        <f t="shared" si="18"/>
        <v>1</v>
      </c>
      <c r="BC40" s="76" t="s">
        <v>181</v>
      </c>
      <c r="BD40" s="74">
        <f t="shared" si="49"/>
        <v>3</v>
      </c>
      <c r="BE40" s="76">
        <f t="shared" si="50"/>
        <v>0.5</v>
      </c>
      <c r="BF40" s="76"/>
      <c r="BG40" s="76"/>
      <c r="BH40" s="77">
        <f t="shared" si="38"/>
        <v>0</v>
      </c>
      <c r="BI40" s="77">
        <f t="shared" si="39"/>
        <v>0</v>
      </c>
      <c r="BJ40" s="77">
        <f t="shared" si="40"/>
        <v>0</v>
      </c>
      <c r="BK40" s="77">
        <f t="shared" si="41"/>
        <v>0</v>
      </c>
      <c r="BL40" s="78">
        <f t="shared" si="51"/>
        <v>1.4000000000000001</v>
      </c>
      <c r="BM40" s="76" t="s">
        <v>181</v>
      </c>
      <c r="BN40" s="197" cm="1">
        <f t="array" ref="BN40">_xlfn.IFS(BM40="Y", 3, BM40="N", 2)</f>
        <v>3</v>
      </c>
      <c r="BO40" s="76" t="s">
        <v>181</v>
      </c>
      <c r="BP40" s="197" cm="1">
        <f t="array" ref="BP40">_xlfn.IFS(BO40="Y", 3, BO40="N", 2)</f>
        <v>3</v>
      </c>
      <c r="BQ40" s="79">
        <f>SUMPRODUCT($BM$6:$BP$6, BM40:BP40)</f>
        <v>3</v>
      </c>
      <c r="BR40" s="44">
        <v>8300</v>
      </c>
      <c r="BS40" s="44">
        <f t="shared" si="23"/>
        <v>8300000</v>
      </c>
      <c r="BT40" s="44">
        <f t="shared" si="24"/>
        <v>12968.75</v>
      </c>
      <c r="BU40" s="80">
        <v>48618</v>
      </c>
      <c r="BV40" s="81">
        <f t="shared" si="25"/>
        <v>26.674791229585747</v>
      </c>
      <c r="BW40" s="82" cm="1">
        <f t="array" ref="BW40">_xlfn.IFS(BV40&gt;44, 3, BV40&lt;26, 1, 44&gt;BV40&gt;26, 2)</f>
        <v>2</v>
      </c>
      <c r="BX40" s="82">
        <v>17855982</v>
      </c>
      <c r="BY40" s="82" cm="1">
        <f t="array" ref="BY40">_xlfn.IFS(BX40&gt;12000000, 3, BX40&lt;4000000, 1, 4000000&gt;BX40&gt;12000000, 2)</f>
        <v>3</v>
      </c>
      <c r="BZ40" s="80">
        <v>5.1281466245529348</v>
      </c>
      <c r="CA40" s="82" cm="1">
        <f t="array" ref="CA40">_xlfn.IFS(BZ40&gt;$BZ$60, 1, BZ40&lt;$BZ$59, 3, BZ40&gt;$BZ$59, 2, BZ40=$BZ$59, 2)</f>
        <v>3</v>
      </c>
      <c r="CB40" s="413">
        <f t="shared" si="52"/>
        <v>2.5999999999999996</v>
      </c>
      <c r="CC40" s="44">
        <v>5462105</v>
      </c>
      <c r="CD40" s="44" cm="1">
        <f t="array" ref="CD40">_xlfn.IFS(CC40&gt;4200000, 3, CC40&lt;1700000, 1, 4200000&gt;CC40&gt;1700000, 2)</f>
        <v>3</v>
      </c>
      <c r="CE40" s="44">
        <v>1960762.2</v>
      </c>
      <c r="CF40" s="44" cm="1">
        <f t="array" ref="CF40">_xlfn.IFS(CE40&lt;120000, 1, CE40&gt;620000, 3, 620000&gt;CE40&gt;120000, 2)</f>
        <v>3</v>
      </c>
      <c r="CG40" s="44">
        <v>618850.69999999984</v>
      </c>
      <c r="CH40" s="44" cm="1">
        <f t="array" ref="CH40">_xlfn.IFS(CG40&lt;300000, 1, CG40&gt;1700000, 3, 300000&gt;CG40&gt;170000, 2)</f>
        <v>2</v>
      </c>
      <c r="CI40" s="44">
        <v>48.939230029999997</v>
      </c>
      <c r="CJ40" s="61" cm="1">
        <f t="array" ref="CJ40">_xlfn.IFS(CI40&lt;$CI$60, 1, CI40&gt;$CI$61, 3, CI40&lt;$CI$61, 2)</f>
        <v>2</v>
      </c>
      <c r="CK40" s="205">
        <f t="shared" si="27"/>
        <v>2.4000000000000004</v>
      </c>
      <c r="CL40" s="108">
        <v>12000000</v>
      </c>
      <c r="CM40" s="48" cm="1">
        <f t="array" ref="CM40">_xlfn.IFS(CL40&gt;4600000, 3, CL40&lt;430000, 1, 4600000&gt;CL40&gt;430000, 2)</f>
        <v>3</v>
      </c>
      <c r="CN40" s="72">
        <f t="shared" si="53"/>
        <v>3</v>
      </c>
      <c r="CO40" s="39">
        <v>0</v>
      </c>
      <c r="CP40" s="65" cm="1">
        <f t="array" ref="CP40">_xlfn.IFS(CO40=0, 1, CO40="active", 3, CO40="permitted", 2)</f>
        <v>1</v>
      </c>
      <c r="CQ40" s="39">
        <v>0</v>
      </c>
      <c r="CR40" s="39" cm="1">
        <f t="array" ref="CR40">_xlfn.IFS(CQ40=0, 1, CQ40&lt;&gt;0, 3)</f>
        <v>1</v>
      </c>
      <c r="CS40" s="72">
        <v>1</v>
      </c>
      <c r="CT40" s="48" t="s">
        <v>181</v>
      </c>
      <c r="CU40" s="48">
        <v>1149</v>
      </c>
      <c r="CV40" s="107">
        <v>53819</v>
      </c>
      <c r="CW40" s="39">
        <f>CU40/CV40</f>
        <v>2.1349337594529814E-2</v>
      </c>
      <c r="CX40" s="207" cm="1">
        <f t="array" ref="CX40">_xlfn.IFS(CT40="N", 0, CW40&lt;$CW$61, 2, CW40 = $CW$61, 2, CW40&gt;$CW$61, 3)</f>
        <v>2</v>
      </c>
      <c r="CY40" s="207">
        <v>0</v>
      </c>
      <c r="CZ40" s="207" cm="1">
        <f t="array" ref="CZ40">_xlfn.IFS(CY40="NA", "NA", CY40=0, 1, CY40=1, 2, CY40&gt;1, 3)</f>
        <v>1</v>
      </c>
      <c r="DA40" s="201">
        <f t="shared" si="28"/>
        <v>1.75</v>
      </c>
      <c r="DB40" s="86">
        <v>0</v>
      </c>
      <c r="DC40" s="61" cm="1">
        <f t="array" ref="DC40">_xlfn.IFS(DB40&gt;$DB$61, 3, DB40=0, 1, DB40&lt;$DB$61, 2, DB40=$DB$61, 2)</f>
        <v>1</v>
      </c>
      <c r="DD40" s="87">
        <v>22570</v>
      </c>
      <c r="DE40" s="44" cm="1">
        <f t="array" ref="DE40">_xlfn.IFS(DD40&gt;$DD$62, 3, DD40&lt;$DD$60, 1, DD40&gt;$DD$60, 2, DD40=$DD$60, 2)</f>
        <v>3</v>
      </c>
      <c r="DF40" s="44">
        <v>0</v>
      </c>
      <c r="DG40" s="61" cm="1">
        <f t="array" ref="DG40">_xlfn.IFS(DF40=0, 1, DF40&lt;$DF$61, 2, DF40&gt;$DF$61, 3)</f>
        <v>1</v>
      </c>
      <c r="DH40" s="415">
        <f t="shared" si="29"/>
        <v>1.666666666666665</v>
      </c>
      <c r="DI40" s="82">
        <v>752835690</v>
      </c>
      <c r="DJ40" s="82">
        <f t="shared" si="30"/>
        <v>85940.147260273967</v>
      </c>
      <c r="DK40" s="88">
        <v>14474.49999999998</v>
      </c>
      <c r="DL40" s="89">
        <f t="shared" si="31"/>
        <v>0.16842535719846097</v>
      </c>
      <c r="DM40" s="88" cm="1">
        <f t="array" ref="DM40">_xlfn.IFS(DL40&gt;$DL$60,3,(AND(DL40&lt;$DL$60,DL40&gt;$DL$59)),2,DL40&lt;$DL$59,1)</f>
        <v>2</v>
      </c>
      <c r="DN40" s="88">
        <v>18408</v>
      </c>
      <c r="DO40" s="90">
        <f t="shared" si="32"/>
        <v>2.445155064314233E-2</v>
      </c>
      <c r="DP40" s="88" cm="1">
        <f t="array" ref="DP40">_xlfn.IFS(DO40&gt;DO$60,3,(AND(DO40&lt;DO$60,DO40&gt;DO$59)),2,DO40&lt;DO$59,1)</f>
        <v>2</v>
      </c>
      <c r="DQ40" s="91">
        <v>11325.899999999996</v>
      </c>
      <c r="DR40" s="92">
        <f t="shared" si="33"/>
        <v>9.6830615741004267E-2</v>
      </c>
      <c r="DS40" s="88" cm="1">
        <f t="array" ref="DS40">_xlfn.IFS(DR40&gt;DR$60,3,(AND(DR40&lt;DR$60,DR40&gt;DR$59)),2,DR40&lt;DR$59,1)</f>
        <v>1</v>
      </c>
      <c r="DT40" s="91" t="s">
        <v>547</v>
      </c>
      <c r="DU40" s="213" cm="1">
        <f t="array" ref="DU40">_xlfn.IFS(DT40="no data","",DT40="40-45", 1, DT40= "45-50", 1, DT40="50-55", 1, DT40 ="30-35", 2, DT40="25-30", 2, DT40="35-40", 2, DT40="20-25", 3, DT40="15-20", 3)</f>
        <v>2</v>
      </c>
      <c r="DV40" s="88">
        <v>4427228492.4847097</v>
      </c>
      <c r="DW40" s="88" cm="1">
        <f t="array" ref="DW40">_xlfn.IFS(DV40&gt;DV$60,3,(AND(DV40&lt;DV$60,DV40&gt;DV$59)),2,DV40&lt;DV$59,1)</f>
        <v>2</v>
      </c>
      <c r="DX40" s="93">
        <v>5</v>
      </c>
      <c r="DY40" s="88" cm="1">
        <f t="array" ref="DY40">_xlfn.IFS(DX40&gt;6.99,1,AND(DX40 &gt; 3, DX40 &lt; 7),2,DX40&lt;3.99,3)</f>
        <v>2</v>
      </c>
      <c r="DZ40" s="94">
        <f t="shared" si="54"/>
        <v>1.9</v>
      </c>
      <c r="EA40" s="95">
        <v>295600</v>
      </c>
      <c r="EB40" s="82">
        <v>546500</v>
      </c>
      <c r="EC40" s="82">
        <v>3125</v>
      </c>
      <c r="ED40" s="82">
        <v>0</v>
      </c>
      <c r="EE40" s="82">
        <v>0</v>
      </c>
      <c r="EF40" s="82">
        <f t="shared" si="34"/>
        <v>0</v>
      </c>
      <c r="EG40" s="204" cm="1">
        <f t="array" ref="EG40">_xlfn.IFS(EF40=0, 1, EF40&gt;2, 3, 0&gt;EF40&gt;3,2)</f>
        <v>1</v>
      </c>
      <c r="EH40" s="82">
        <v>0</v>
      </c>
      <c r="EI40" s="82">
        <v>0</v>
      </c>
      <c r="EJ40" s="82">
        <f t="shared" si="35"/>
        <v>0</v>
      </c>
      <c r="EK40" s="82" cm="1">
        <f t="array" ref="EK40">_xlfn.IFS(EH40+EI40=0, 1, EH40+EI40&gt;5, 3, EH40+EI40=5, 2, 0&gt;EH40+EI40&gt;5, 2)</f>
        <v>1</v>
      </c>
      <c r="EL40" s="82">
        <v>16</v>
      </c>
      <c r="EM40" s="82">
        <v>23</v>
      </c>
      <c r="EN40" s="82" cm="1">
        <f t="array" ref="EN40">_xlfn.IFS(EL40+EM40=0, 1, EL40+EM40&gt;10, 3, EL40+EM40 = 10, 2, 0&gt;EL40+EM40&gt;10, 2)</f>
        <v>3</v>
      </c>
      <c r="EO40" s="96">
        <f t="shared" si="55"/>
        <v>1.6666666666666665</v>
      </c>
      <c r="EP40" s="44">
        <v>0</v>
      </c>
      <c r="EQ40" s="61" cm="1">
        <f t="array" ref="EQ40">_xlfn.IFS(EP40=0, 1, EP40&gt;$EP$60, 3, EP40&lt;$EP$60, 2)</f>
        <v>1</v>
      </c>
      <c r="ER40" s="100">
        <v>0</v>
      </c>
      <c r="ES40" s="100" cm="1">
        <f t="array" ref="ES40">_xlfn.IFS(ER40=0, 1, ER40&gt;$ER$59, 3, ER40&lt;$ER$59, 2)</f>
        <v>1</v>
      </c>
      <c r="ET40" s="44">
        <v>0</v>
      </c>
      <c r="EU40" s="44" cm="1">
        <f t="array" ref="EU40">_xlfn.IFS(ET40=0, 1, ET40=1, 2, ET40&gt;1, 3)</f>
        <v>1</v>
      </c>
      <c r="EV40" s="413">
        <f t="shared" si="56"/>
        <v>1</v>
      </c>
      <c r="EW40" s="82">
        <v>6.5</v>
      </c>
      <c r="EX40" s="210" cm="1">
        <f t="array" ref="EX40">_xlfn.IFS(EW40&gt;EX$60,3,(AND(EW40&lt;EX$60,EW40&gt;EX$59)),2,EW40&lt;EX$59,1)</f>
        <v>2</v>
      </c>
      <c r="EY40" s="253">
        <v>6457262507900</v>
      </c>
      <c r="EZ40" s="210" cm="1">
        <f t="array" ref="EZ40">_xlfn.IFS(EY40&gt;EZ$60,3,(AND(EY40&lt;EZ$60,EY40&gt;EZ$59)),2,EY40&lt;EZ$59,1)</f>
        <v>3</v>
      </c>
      <c r="FA40" s="253">
        <v>6457262507900</v>
      </c>
      <c r="FB40" s="210" cm="1">
        <f t="array" ref="FB40">_xlfn.IFS(FA40&gt;FB$60,3,(AND(FA40&lt;FB$60,FA40&gt;FB$59)),2,FA40&lt;FB$59,1)</f>
        <v>3</v>
      </c>
      <c r="FC40" s="416">
        <f t="shared" si="57"/>
        <v>2.5</v>
      </c>
      <c r="FD40" s="81">
        <v>1.93</v>
      </c>
      <c r="FE40" s="81" cm="1">
        <f t="array" ref="FE40">_xlfn.IFS(FD40&gt;$FD$60, 3, FD40&lt;$FD$59, 1, FD40&gt;$FD$59, 2)</f>
        <v>3</v>
      </c>
      <c r="FF40" s="44">
        <v>1</v>
      </c>
      <c r="FG40" s="61" cm="1">
        <f t="array" ref="FG40">_xlfn.IFS(FF40&lt;$FF$59, 1, FF40&gt;$FF$60, 3, FF40 = $FF$60, 3, FF40&lt;$FF$60, 2)</f>
        <v>2</v>
      </c>
      <c r="FH40" s="97">
        <f t="shared" si="58"/>
        <v>2.5999999999999996</v>
      </c>
      <c r="FI40" s="102">
        <v>17</v>
      </c>
      <c r="FJ40" s="44">
        <v>0</v>
      </c>
      <c r="FK40" s="98">
        <f t="shared" si="59"/>
        <v>17</v>
      </c>
      <c r="FL40" s="98" cm="1">
        <f t="array" ref="FL40">_xlfn.IFS(FK40&gt;$FK$60, 3, FK40&lt;$FK$59, 1, FK40&gt;$FK$59, 2, FK40=$FK$59, 2)</f>
        <v>3</v>
      </c>
      <c r="FM40" s="99">
        <f t="shared" si="60"/>
        <v>3</v>
      </c>
    </row>
    <row r="41" spans="1:169" ht="20.100000000000001" customHeight="1">
      <c r="A41" s="38" t="s">
        <v>141</v>
      </c>
      <c r="B41" s="44" t="s">
        <v>541</v>
      </c>
      <c r="C41" s="44">
        <v>1</v>
      </c>
      <c r="D41" s="44" t="s">
        <v>542</v>
      </c>
      <c r="E41" s="44">
        <v>1</v>
      </c>
      <c r="F41" s="61" t="s">
        <v>543</v>
      </c>
      <c r="G41" s="61" cm="1">
        <f t="array" ref="G41">_xlfn.IFS(F41= "Yes", 3, F41 &lt;&gt; "Yes", 1)</f>
        <v>1</v>
      </c>
      <c r="H41" s="44" t="s">
        <v>543</v>
      </c>
      <c r="I41" s="44">
        <v>1</v>
      </c>
      <c r="J41" s="44" t="s">
        <v>543</v>
      </c>
      <c r="K41" s="44">
        <v>1</v>
      </c>
      <c r="L41" s="193">
        <f t="shared" si="37"/>
        <v>0.99999999999999989</v>
      </c>
      <c r="M41" s="44"/>
      <c r="N41" s="44">
        <v>1</v>
      </c>
      <c r="O41" s="44" t="s">
        <v>543</v>
      </c>
      <c r="P41" s="44">
        <v>1</v>
      </c>
      <c r="Q41" s="44" t="s">
        <v>543</v>
      </c>
      <c r="R41" s="44">
        <v>1</v>
      </c>
      <c r="S41" s="48" t="s">
        <v>543</v>
      </c>
      <c r="T41" s="44">
        <v>1</v>
      </c>
      <c r="U41" s="44" t="s">
        <v>543</v>
      </c>
      <c r="V41" s="44">
        <v>1</v>
      </c>
      <c r="W41" s="44" t="s">
        <v>543</v>
      </c>
      <c r="X41" s="44">
        <v>1</v>
      </c>
      <c r="Y41" s="39" t="s">
        <v>543</v>
      </c>
      <c r="Z41" s="44">
        <v>1</v>
      </c>
      <c r="AA41" s="72">
        <f t="shared" si="43"/>
        <v>0.99999999999999978</v>
      </c>
      <c r="AB41" s="39" t="s">
        <v>543</v>
      </c>
      <c r="AC41" s="44" t="s">
        <v>542</v>
      </c>
      <c r="AD41" s="44">
        <v>1</v>
      </c>
      <c r="AE41" s="44" t="s">
        <v>543</v>
      </c>
      <c r="AF41" s="44" cm="1">
        <f t="array" ref="AF41">_xlfn.IFS(AE41="NA", 1, AE41="No", 1, AE41="Yes, implicit", 2, AE41="Yes, explicit", 3)</f>
        <v>1</v>
      </c>
      <c r="AG41" s="44" t="s">
        <v>543</v>
      </c>
      <c r="AH41" s="44" t="s">
        <v>543</v>
      </c>
      <c r="AI41" s="44">
        <v>1</v>
      </c>
      <c r="AJ41" s="73">
        <f t="shared" si="44"/>
        <v>1</v>
      </c>
      <c r="AK41" s="76" t="s">
        <v>562</v>
      </c>
      <c r="AL41" s="74">
        <f t="shared" si="10"/>
        <v>3</v>
      </c>
      <c r="AM41" s="76" t="s">
        <v>181</v>
      </c>
      <c r="AN41" s="74">
        <f t="shared" si="11"/>
        <v>3</v>
      </c>
      <c r="AO41" s="74" t="s">
        <v>545</v>
      </c>
      <c r="AP41" s="74">
        <f t="shared" si="12"/>
        <v>1</v>
      </c>
      <c r="AQ41" s="75">
        <f t="shared" si="45"/>
        <v>0.70000000000000007</v>
      </c>
      <c r="AR41" s="76" t="s">
        <v>181</v>
      </c>
      <c r="AS41" s="74">
        <f t="shared" si="14"/>
        <v>3</v>
      </c>
      <c r="AT41" s="74" t="s">
        <v>545</v>
      </c>
      <c r="AU41" s="74">
        <f t="shared" si="15"/>
        <v>1</v>
      </c>
      <c r="AV41" s="74">
        <f t="shared" si="46"/>
        <v>0.4</v>
      </c>
      <c r="AW41" s="76" t="s">
        <v>181</v>
      </c>
      <c r="AX41" s="195">
        <f t="shared" si="47"/>
        <v>0.60000000000000009</v>
      </c>
      <c r="AY41" s="76" t="s">
        <v>545</v>
      </c>
      <c r="AZ41" s="76">
        <f t="shared" si="48"/>
        <v>1</v>
      </c>
      <c r="BA41" s="76" t="s">
        <v>545</v>
      </c>
      <c r="BB41" s="74">
        <f t="shared" si="18"/>
        <v>1</v>
      </c>
      <c r="BC41" s="76" t="s">
        <v>181</v>
      </c>
      <c r="BD41" s="74">
        <f t="shared" si="49"/>
        <v>3</v>
      </c>
      <c r="BE41" s="76">
        <f t="shared" si="50"/>
        <v>0.5</v>
      </c>
      <c r="BF41" s="76"/>
      <c r="BG41" s="76"/>
      <c r="BH41" s="77">
        <f t="shared" si="38"/>
        <v>0</v>
      </c>
      <c r="BI41" s="77">
        <f t="shared" si="39"/>
        <v>0</v>
      </c>
      <c r="BJ41" s="77">
        <f t="shared" si="40"/>
        <v>0</v>
      </c>
      <c r="BK41" s="77">
        <f t="shared" si="41"/>
        <v>0</v>
      </c>
      <c r="BL41" s="78">
        <f t="shared" si="51"/>
        <v>2.2000000000000002</v>
      </c>
      <c r="BM41" s="76" t="s">
        <v>181</v>
      </c>
      <c r="BN41" s="197" cm="1">
        <f t="array" ref="BN41">_xlfn.IFS(BM41="Y", 3, BM41="N", 2)</f>
        <v>3</v>
      </c>
      <c r="BO41" s="76" t="s">
        <v>181</v>
      </c>
      <c r="BP41" s="197" cm="1">
        <f t="array" ref="BP41">_xlfn.IFS(BO41="Y", 3, BO41="N", 2)</f>
        <v>3</v>
      </c>
      <c r="BQ41" s="79">
        <f t="shared" ref="BQ41:BQ47" si="61">SUMPRODUCT($BM$6:$BP$6, BM41:BP41)</f>
        <v>3</v>
      </c>
      <c r="BR41" s="44">
        <v>39300</v>
      </c>
      <c r="BS41" s="44">
        <f t="shared" si="23"/>
        <v>39300000</v>
      </c>
      <c r="BT41" s="44">
        <f>BS41/640</f>
        <v>61406.25</v>
      </c>
      <c r="BU41" s="80">
        <v>69001</v>
      </c>
      <c r="BV41" s="81">
        <f t="shared" si="25"/>
        <v>88.993275459775944</v>
      </c>
      <c r="BW41" s="82" cm="1">
        <f t="array" ref="BW41">_xlfn.IFS(BV41&gt;44, 3, BV41&lt;26, 1, 44&gt;BV41&gt;26, 2)</f>
        <v>3</v>
      </c>
      <c r="BX41" s="82">
        <v>12008650</v>
      </c>
      <c r="BY41" s="82" cm="1">
        <f t="array" ref="BY41">_xlfn.IFS(BX41&gt;12000000, 3, BX41&lt;4000000, 1, 4000000&gt;BX41&gt;12000000, 2)</f>
        <v>3</v>
      </c>
      <c r="BZ41" s="80">
        <v>7.6759146085201975</v>
      </c>
      <c r="CA41" s="82" cm="1">
        <f t="array" ref="CA41">_xlfn.IFS(BZ41&gt;$BZ$60, 1, BZ41&lt;$BZ$59, 3, BZ41&gt;$BZ$59, 2, BZ41=$BZ$59, 2)</f>
        <v>1</v>
      </c>
      <c r="CB41" s="413">
        <f t="shared" si="52"/>
        <v>2.3000000000000003</v>
      </c>
      <c r="CC41" s="44">
        <v>424697</v>
      </c>
      <c r="CD41" s="44" cm="1">
        <f t="array" ref="CD41">_xlfn.IFS(CC41&gt;4200000, 3, CC41&lt;1700000, 1, 4200000&gt;CC41&gt;1700000, 2)</f>
        <v>1</v>
      </c>
      <c r="CE41" s="44">
        <v>18995.46999999999</v>
      </c>
      <c r="CF41" s="44" cm="1">
        <f t="array" ref="CF41">_xlfn.IFS(CE41&lt;120000, 1, CE41&gt;620000, 3, 620000&gt;CE41&gt;120000, 2)</f>
        <v>1</v>
      </c>
      <c r="CG41" s="44">
        <v>5793352.0999999996</v>
      </c>
      <c r="CH41" s="44" cm="1">
        <f t="array" ref="CH41">_xlfn.IFS(CG41&lt;300000, 1, CG41&gt;1700000, 3, 300000&gt;CG41&gt;170000, 2)</f>
        <v>3</v>
      </c>
      <c r="CI41" s="44">
        <v>58.56860709</v>
      </c>
      <c r="CJ41" s="61" cm="1">
        <f t="array" ref="CJ41">_xlfn.IFS(CI41&lt;$CI$60, 1, CI41&gt;$CI$61, 3, CI41&lt;$CI$61, 2)</f>
        <v>2</v>
      </c>
      <c r="CK41" s="205">
        <f t="shared" si="27"/>
        <v>1.9499999999999997</v>
      </c>
      <c r="CL41" s="108">
        <v>13000000</v>
      </c>
      <c r="CM41" s="48" cm="1">
        <f t="array" ref="CM41">_xlfn.IFS(CL41&gt;4600000, 3, CL41&lt;430000, 1, 4600000&gt;CL41&gt;430000, 2)</f>
        <v>3</v>
      </c>
      <c r="CN41" s="72">
        <f t="shared" si="53"/>
        <v>3</v>
      </c>
      <c r="CO41" s="39">
        <v>0</v>
      </c>
      <c r="CP41" s="65" cm="1">
        <f t="array" ref="CP41">_xlfn.IFS(CO41=0, 1, CO41="active", 3, CO41="permitted", 2)</f>
        <v>1</v>
      </c>
      <c r="CQ41" s="39">
        <v>0</v>
      </c>
      <c r="CR41" s="39" cm="1">
        <f t="array" ref="CR41">_xlfn.IFS(CQ41=0, 1, CQ41&lt;&gt;0, 3)</f>
        <v>1</v>
      </c>
      <c r="CS41" s="72">
        <v>1</v>
      </c>
      <c r="CT41" s="44" t="s">
        <v>545</v>
      </c>
      <c r="CU41" s="82">
        <v>0</v>
      </c>
      <c r="CV41" s="82">
        <v>70698</v>
      </c>
      <c r="CW41" s="39" t="s">
        <v>542</v>
      </c>
      <c r="CX41" s="207" cm="1">
        <f t="array" ref="CX41">_xlfn.IFS(CT41="N", 0, CW41&lt;$CW$61, 2, CW41 = $CW$61, 2, CW41&gt;$CW$61, 3)</f>
        <v>0</v>
      </c>
      <c r="CY41" s="207" t="s">
        <v>542</v>
      </c>
      <c r="CZ41" s="207" t="str" cm="1">
        <f t="array" ref="CZ41">_xlfn.IFS(CY41="NA", "NA", CY41=0, 1, CY41=1, 2, CY41&gt;1, 3)</f>
        <v>NA</v>
      </c>
      <c r="DA41" s="201">
        <f t="shared" si="28"/>
        <v>0</v>
      </c>
      <c r="DB41" s="101">
        <v>1387</v>
      </c>
      <c r="DC41" s="61" cm="1">
        <f t="array" ref="DC41">_xlfn.IFS(DB41&gt;$DB$61, 3, DB41=0, 1, DB41&lt;$DB$61, 2, DB41=$DB$61, 2)</f>
        <v>3</v>
      </c>
      <c r="DD41" s="87">
        <v>946</v>
      </c>
      <c r="DE41" s="44" cm="1">
        <f t="array" ref="DE41">_xlfn.IFS(DD41&gt;$DD$62, 3, DD41&lt;$DD$60, 1, DD41&gt;$DD$60, 2, DD41=$DD$60, 2)</f>
        <v>1</v>
      </c>
      <c r="DF41" s="44">
        <v>174</v>
      </c>
      <c r="DG41" s="61" cm="1">
        <f t="array" ref="DG41">_xlfn.IFS(DF41=0, 1, DF41&lt;$DF$61, 2, DF41&gt;$DF$61, 3)</f>
        <v>2</v>
      </c>
      <c r="DH41" s="415">
        <f t="shared" si="29"/>
        <v>1.9999999999999978</v>
      </c>
      <c r="DI41" s="82">
        <v>196535804</v>
      </c>
      <c r="DJ41" s="82">
        <f t="shared" si="30"/>
        <v>22435.594063926939</v>
      </c>
      <c r="DK41" s="88">
        <v>4936.3</v>
      </c>
      <c r="DL41" s="89">
        <f t="shared" si="31"/>
        <v>0.22002091791885414</v>
      </c>
      <c r="DM41" s="88" cm="1">
        <f t="array" ref="DM41">_xlfn.IFS(DL41&gt;$DL$60,3,(AND(DL41&lt;$DL$60,DL41&gt;$DL$59)),2,DL41&lt;$DL$59,1)</f>
        <v>3</v>
      </c>
      <c r="DN41" s="88">
        <v>16132</v>
      </c>
      <c r="DO41" s="90">
        <f t="shared" si="32"/>
        <v>8.2081736109518244E-2</v>
      </c>
      <c r="DP41" s="88" cm="1">
        <f t="array" ref="DP41">_xlfn.IFS(DO41&gt;DO$60,3,(AND(DO41&lt;DO$60,DO41&gt;DO$59)),2,DO41&lt;DO$59,1)</f>
        <v>3</v>
      </c>
      <c r="DQ41" s="91">
        <v>13375</v>
      </c>
      <c r="DR41" s="92">
        <f t="shared" si="33"/>
        <v>0.29131659207362903</v>
      </c>
      <c r="DS41" s="88" cm="1">
        <f t="array" ref="DS41">_xlfn.IFS(DR41&gt;DR$60,3,(AND(DR41&lt;DR$60,DR41&gt;DR$59)),2,DR41&lt;DR$59,1)</f>
        <v>2</v>
      </c>
      <c r="DT41" s="91" t="s">
        <v>563</v>
      </c>
      <c r="DU41" s="213" cm="1">
        <f t="array" ref="DU41">_xlfn.IFS(DT41="no data","",DT41="40-45", 1, DT41= "45-50", 1, DT41="50-55", 1, DT41 ="30-35", 2, DT41="25-30", 2, DT41="35-40", 2, DT41="20-25", 3, DT41="15-20", 3)</f>
        <v>2</v>
      </c>
      <c r="DV41" s="88">
        <v>9169948317.5645123</v>
      </c>
      <c r="DW41" s="88" cm="1">
        <f t="array" ref="DW41">_xlfn.IFS(DV41&gt;DV$60,3,(AND(DV41&lt;DV$60,DV41&gt;DV$59)),2,DV41&lt;DV$59,1)</f>
        <v>3</v>
      </c>
      <c r="DX41" s="93">
        <v>4</v>
      </c>
      <c r="DY41" s="88" cm="1">
        <f t="array" ref="DY41">_xlfn.IFS(DX41&gt;6.99,1,AND(DX41 &gt; 3, DX41 &lt; 7),2,DX41&lt;3.99,3)</f>
        <v>2</v>
      </c>
      <c r="DZ41" s="94">
        <f t="shared" si="54"/>
        <v>2.7</v>
      </c>
      <c r="EA41" s="95">
        <v>375500</v>
      </c>
      <c r="EB41" s="82">
        <v>127900</v>
      </c>
      <c r="EC41" s="82">
        <v>3223</v>
      </c>
      <c r="ED41" s="82">
        <v>0</v>
      </c>
      <c r="EE41" s="82">
        <v>0</v>
      </c>
      <c r="EF41" s="82">
        <f t="shared" si="34"/>
        <v>0</v>
      </c>
      <c r="EG41" s="204" cm="1">
        <f t="array" ref="EG41">_xlfn.IFS(EF41=0, 1, EF41&gt;2, 3, 0&gt;EF41&gt;3,2)</f>
        <v>1</v>
      </c>
      <c r="EH41" s="82">
        <v>0</v>
      </c>
      <c r="EI41" s="82">
        <v>0</v>
      </c>
      <c r="EJ41" s="82">
        <f t="shared" si="35"/>
        <v>0</v>
      </c>
      <c r="EK41" s="82" cm="1">
        <f t="array" ref="EK41">_xlfn.IFS(EH41+EI41=0, 1, EH41+EI41&gt;5, 3, EH41+EI41=5, 2, 0&gt;EH41+EI41&gt;5, 2)</f>
        <v>1</v>
      </c>
      <c r="EL41" s="82">
        <v>0</v>
      </c>
      <c r="EM41" s="82">
        <v>0</v>
      </c>
      <c r="EN41" s="82" cm="1">
        <f t="array" ref="EN41">_xlfn.IFS(EL41+EM41=0, 1, EL41+EM41&gt;10, 3, EL41+EM41 = 10, 2, 0&gt;EL41+EM41&gt;10, 2)</f>
        <v>1</v>
      </c>
      <c r="EO41" s="96">
        <f t="shared" si="55"/>
        <v>1</v>
      </c>
      <c r="EP41" s="44">
        <v>6.5</v>
      </c>
      <c r="EQ41" s="61" cm="1">
        <f t="array" ref="EQ41">_xlfn.IFS(EP41=0, 1, EP41&gt;$EP$60, 3, EP41&lt;$EP$60, 2)</f>
        <v>3</v>
      </c>
      <c r="ER41" s="100">
        <v>176.3</v>
      </c>
      <c r="ES41" s="100" cm="1">
        <f t="array" ref="ES41">_xlfn.IFS(ER41=0, 1, ER41&gt;$ER$59, 3, ER41&lt;$ER$59, 2)</f>
        <v>3</v>
      </c>
      <c r="ET41" s="44">
        <v>1</v>
      </c>
      <c r="EU41" s="44" cm="1">
        <f t="array" ref="EU41">_xlfn.IFS(ET41=0, 1, ET41=1, 2, ET41&gt;1, 3)</f>
        <v>2</v>
      </c>
      <c r="EV41" s="413">
        <f t="shared" si="56"/>
        <v>2.6000000000000005</v>
      </c>
      <c r="EW41" s="82">
        <v>137.94999999999999</v>
      </c>
      <c r="EX41" s="210" cm="1">
        <f t="array" ref="EX41">_xlfn.IFS(EW41&gt;EX$60,3,(AND(EW41&lt;EX$60,EW41&gt;EX$59)),2,EW41&lt;EX$59,1)</f>
        <v>3</v>
      </c>
      <c r="EY41" s="82">
        <v>0</v>
      </c>
      <c r="EZ41" s="210" cm="1">
        <f t="array" ref="EZ41">_xlfn.IFS(EY41&gt;EZ$60,3,(AND(EY41&lt;EZ$60,EY41&gt;EZ$59)),2,EY41&lt;EZ$59,1)</f>
        <v>1</v>
      </c>
      <c r="FA41" s="82">
        <v>0</v>
      </c>
      <c r="FB41" s="210" cm="1">
        <f t="array" ref="FB41">_xlfn.IFS(FA41&gt;FB$60,3,(AND(FA41&lt;FB$60,FA41&gt;FB$59)),2,FA41&lt;FB$59,1)</f>
        <v>1</v>
      </c>
      <c r="FC41" s="416">
        <f t="shared" si="57"/>
        <v>2</v>
      </c>
      <c r="FD41" s="81">
        <v>0.11</v>
      </c>
      <c r="FE41" s="81" cm="1">
        <f t="array" ref="FE41">_xlfn.IFS(FD41&gt;$FD$60, 3, FD41&lt;$FD$59, 1, FD41&gt;$FD$59, 2)</f>
        <v>1</v>
      </c>
      <c r="FF41" s="44">
        <v>2</v>
      </c>
      <c r="FG41" s="61" cm="1">
        <f t="array" ref="FG41">_xlfn.IFS(FF41&lt;$FF$59, 1, FF41&gt;$FF$60, 3, FF41 = $FF$60, 3, FF41&lt;$FF$60, 2)</f>
        <v>3</v>
      </c>
      <c r="FH41" s="97">
        <f t="shared" si="58"/>
        <v>1.8000000000000003</v>
      </c>
      <c r="FI41" s="102">
        <v>7</v>
      </c>
      <c r="FJ41" s="44">
        <v>1</v>
      </c>
      <c r="FK41" s="98">
        <f t="shared" si="59"/>
        <v>8</v>
      </c>
      <c r="FL41" s="98" cm="1">
        <f t="array" ref="FL41">_xlfn.IFS(FK41&gt;$FK$60, 3, FK41&lt;$FK$59, 1, FK41&gt;$FK$59, 2, FK41=$FK$59, 2)</f>
        <v>3</v>
      </c>
      <c r="FM41" s="99">
        <f t="shared" si="60"/>
        <v>3</v>
      </c>
    </row>
    <row r="42" spans="1:169" ht="20.100000000000001" customHeight="1">
      <c r="A42" s="38" t="s">
        <v>142</v>
      </c>
      <c r="B42" s="44" t="s">
        <v>541</v>
      </c>
      <c r="C42" s="44">
        <v>1</v>
      </c>
      <c r="D42" s="44" t="s">
        <v>542</v>
      </c>
      <c r="E42" s="44">
        <v>1</v>
      </c>
      <c r="F42" s="61" t="s">
        <v>543</v>
      </c>
      <c r="G42" s="61" cm="1">
        <f t="array" ref="G42">_xlfn.IFS(F42= "Yes", 3, F42 &lt;&gt; "Yes", 1)</f>
        <v>1</v>
      </c>
      <c r="H42" s="44" t="s">
        <v>543</v>
      </c>
      <c r="I42" s="44">
        <v>1</v>
      </c>
      <c r="J42" s="44" t="s">
        <v>543</v>
      </c>
      <c r="K42" s="44">
        <v>1</v>
      </c>
      <c r="L42" s="193">
        <f t="shared" si="37"/>
        <v>0.99999999999999989</v>
      </c>
      <c r="M42" s="48" t="s">
        <v>543</v>
      </c>
      <c r="N42" s="44">
        <v>1</v>
      </c>
      <c r="O42" s="44" t="s">
        <v>543</v>
      </c>
      <c r="P42" s="44">
        <v>1</v>
      </c>
      <c r="Q42" s="44" t="s">
        <v>543</v>
      </c>
      <c r="R42" s="44">
        <v>1</v>
      </c>
      <c r="S42" s="48" t="s">
        <v>543</v>
      </c>
      <c r="T42" s="44">
        <v>1</v>
      </c>
      <c r="U42" s="44" t="s">
        <v>543</v>
      </c>
      <c r="V42" s="44">
        <v>1</v>
      </c>
      <c r="W42" s="44" t="s">
        <v>543</v>
      </c>
      <c r="X42" s="44">
        <v>1</v>
      </c>
      <c r="Y42" s="39" t="s">
        <v>543</v>
      </c>
      <c r="Z42" s="44">
        <v>1</v>
      </c>
      <c r="AA42" s="72">
        <f t="shared" si="43"/>
        <v>0.99999999999999978</v>
      </c>
      <c r="AB42" s="39" t="s">
        <v>543</v>
      </c>
      <c r="AC42" s="44" t="s">
        <v>542</v>
      </c>
      <c r="AD42" s="44">
        <v>1</v>
      </c>
      <c r="AE42" s="44" t="s">
        <v>543</v>
      </c>
      <c r="AF42" s="44" cm="1">
        <f t="array" ref="AF42">_xlfn.IFS(AE42="NA", 1, AE42="No", 1, AE42="Yes, implicit", 2, AE42="Yes, explicit", 3)</f>
        <v>1</v>
      </c>
      <c r="AG42" s="44" t="s">
        <v>543</v>
      </c>
      <c r="AH42" s="44" t="s">
        <v>543</v>
      </c>
      <c r="AI42" s="44">
        <v>1</v>
      </c>
      <c r="AJ42" s="73">
        <f t="shared" si="44"/>
        <v>1</v>
      </c>
      <c r="AK42" s="76" t="s">
        <v>544</v>
      </c>
      <c r="AL42" s="74">
        <f t="shared" si="10"/>
        <v>1</v>
      </c>
      <c r="AM42" s="74" t="s">
        <v>545</v>
      </c>
      <c r="AN42" s="74">
        <f t="shared" si="11"/>
        <v>1</v>
      </c>
      <c r="AO42" s="74" t="s">
        <v>545</v>
      </c>
      <c r="AP42" s="74">
        <f t="shared" si="12"/>
        <v>1</v>
      </c>
      <c r="AQ42" s="75">
        <f t="shared" si="45"/>
        <v>0.30000000000000004</v>
      </c>
      <c r="AR42" s="74" t="s">
        <v>545</v>
      </c>
      <c r="AS42" s="74">
        <f t="shared" si="14"/>
        <v>1</v>
      </c>
      <c r="AT42" s="74" t="s">
        <v>545</v>
      </c>
      <c r="AU42" s="74">
        <f t="shared" si="15"/>
        <v>1</v>
      </c>
      <c r="AV42" s="74">
        <f t="shared" si="46"/>
        <v>0.2</v>
      </c>
      <c r="AW42" s="76" t="s">
        <v>545</v>
      </c>
      <c r="AX42" s="195">
        <f t="shared" si="47"/>
        <v>0.4</v>
      </c>
      <c r="AY42" s="76" t="s">
        <v>545</v>
      </c>
      <c r="AZ42" s="76">
        <f t="shared" si="48"/>
        <v>1</v>
      </c>
      <c r="BA42" s="76" t="s">
        <v>545</v>
      </c>
      <c r="BB42" s="74">
        <f t="shared" si="18"/>
        <v>1</v>
      </c>
      <c r="BC42" s="76" t="s">
        <v>545</v>
      </c>
      <c r="BD42" s="74">
        <f t="shared" si="49"/>
        <v>1</v>
      </c>
      <c r="BE42" s="76">
        <f t="shared" si="50"/>
        <v>0.30000000000000004</v>
      </c>
      <c r="BF42" s="76"/>
      <c r="BG42" s="76"/>
      <c r="BH42" s="77">
        <f t="shared" si="38"/>
        <v>0</v>
      </c>
      <c r="BI42" s="77">
        <f t="shared" si="39"/>
        <v>0</v>
      </c>
      <c r="BJ42" s="77">
        <f t="shared" si="40"/>
        <v>0</v>
      </c>
      <c r="BK42" s="77">
        <f t="shared" si="41"/>
        <v>0</v>
      </c>
      <c r="BL42" s="78">
        <f t="shared" si="51"/>
        <v>1.2000000000000002</v>
      </c>
      <c r="BM42" s="76" t="s">
        <v>181</v>
      </c>
      <c r="BN42" s="197" cm="1">
        <f t="array" ref="BN42">_xlfn.IFS(BM42="Y", 3, BM42="N", 2)</f>
        <v>3</v>
      </c>
      <c r="BO42" s="76" t="s">
        <v>181</v>
      </c>
      <c r="BP42" s="197" cm="1">
        <f t="array" ref="BP42">_xlfn.IFS(BO42="Y", 3, BO42="N", 2)</f>
        <v>3</v>
      </c>
      <c r="BQ42" s="79">
        <f t="shared" si="61"/>
        <v>3</v>
      </c>
      <c r="BR42" s="44">
        <v>13500</v>
      </c>
      <c r="BS42" s="44">
        <f t="shared" si="23"/>
        <v>13500000</v>
      </c>
      <c r="BT42" s="44">
        <f t="shared" si="24"/>
        <v>21093.75</v>
      </c>
      <c r="BU42" s="80">
        <v>40861</v>
      </c>
      <c r="BV42" s="81">
        <f t="shared" si="25"/>
        <v>51.623185923007263</v>
      </c>
      <c r="BW42" s="82" cm="1">
        <f t="array" ref="BW42">_xlfn.IFS(BV42&gt;44, 3, BV42&lt;26, 1, 44&gt;BV42&gt;26, 2)</f>
        <v>3</v>
      </c>
      <c r="BX42" s="82">
        <v>16333876</v>
      </c>
      <c r="BY42" s="82" cm="1">
        <f t="array" ref="BY42">_xlfn.IFS(BX42&gt;12000000, 3, BX42&lt;4000000, 1, 4000000&gt;BX42&gt;12000000, 2)</f>
        <v>3</v>
      </c>
      <c r="BZ42" s="80">
        <v>6.3582718403789604</v>
      </c>
      <c r="CA42" s="82" cm="1">
        <f t="array" ref="CA42">_xlfn.IFS(BZ42&gt;$BZ$60, 1, BZ42&lt;$BZ$59, 3, BZ42&gt;$BZ$59, 2, BZ42=$BZ$59, 2)</f>
        <v>2</v>
      </c>
      <c r="CB42" s="413">
        <f t="shared" si="52"/>
        <v>2.6500000000000004</v>
      </c>
      <c r="CC42" s="44">
        <v>6231524</v>
      </c>
      <c r="CD42" s="44" cm="1">
        <f t="array" ref="CD42">_xlfn.IFS(CC42&gt;4200000, 3, CC42&lt;1700000, 1, 4200000&gt;CC42&gt;1700000, 2)</f>
        <v>3</v>
      </c>
      <c r="CE42" s="44">
        <v>288570.01000000013</v>
      </c>
      <c r="CF42" s="44" cm="1">
        <f t="array" ref="CF42">_xlfn.IFS(CE42&lt;120000, 1, CE42&gt;620000, 3, 620000&gt;CE42&gt;120000, 2)</f>
        <v>2</v>
      </c>
      <c r="CG42" s="44">
        <v>4802598.0000000009</v>
      </c>
      <c r="CH42" s="44" cm="1">
        <f t="array" ref="CH42">_xlfn.IFS(CG42&lt;300000, 1, CG42&gt;1700000, 3, 300000&gt;CG42&gt;170000, 2)</f>
        <v>3</v>
      </c>
      <c r="CI42" s="44">
        <v>38.303372570000001</v>
      </c>
      <c r="CJ42" s="61" cm="1">
        <f t="array" ref="CJ42">_xlfn.IFS(CI42&lt;$CI$60, 1, CI42&gt;$CI$61, 3, CI42&lt;$CI$61, 2)</f>
        <v>1</v>
      </c>
      <c r="CK42" s="205">
        <f t="shared" si="27"/>
        <v>2.2999999999999998</v>
      </c>
      <c r="CL42" s="44">
        <v>2876459</v>
      </c>
      <c r="CM42" s="48" cm="1">
        <f t="array" ref="CM42">_xlfn.IFS(CL42&gt;4600000, 3, CL42&lt;430000, 1, 4600000&gt;CL42&gt;430000, 2)</f>
        <v>2</v>
      </c>
      <c r="CN42" s="72">
        <f t="shared" si="53"/>
        <v>2</v>
      </c>
      <c r="CO42" s="39">
        <v>0</v>
      </c>
      <c r="CP42" s="65" cm="1">
        <f t="array" ref="CP42">_xlfn.IFS(CO42=0, 1, CO42="active", 3, CO42="permitted", 2)</f>
        <v>1</v>
      </c>
      <c r="CQ42" s="39">
        <v>0</v>
      </c>
      <c r="CR42" s="39" cm="1">
        <f t="array" ref="CR42">_xlfn.IFS(CQ42=0, 1, CQ42&lt;&gt;0, 3)</f>
        <v>1</v>
      </c>
      <c r="CS42" s="72">
        <v>1</v>
      </c>
      <c r="CT42" s="44" t="s">
        <v>545</v>
      </c>
      <c r="CU42" s="82">
        <v>0</v>
      </c>
      <c r="CV42" s="107">
        <v>44826</v>
      </c>
      <c r="CW42" s="39" t="s">
        <v>542</v>
      </c>
      <c r="CX42" s="207" cm="1">
        <f t="array" ref="CX42">_xlfn.IFS(CT42="N", 0, CW42&lt;$CW$61, 2, CW42 = $CW$61, 2, CW42&gt;$CW$61, 3)</f>
        <v>0</v>
      </c>
      <c r="CY42" s="207" t="s">
        <v>542</v>
      </c>
      <c r="CZ42" s="207" t="str" cm="1">
        <f t="array" ref="CZ42">_xlfn.IFS(CY42="NA", "NA", CY42=0, 1, CY42=1, 2, CY42&gt;1, 3)</f>
        <v>NA</v>
      </c>
      <c r="DA42" s="201">
        <f t="shared" si="28"/>
        <v>0</v>
      </c>
      <c r="DB42" s="101">
        <v>2161</v>
      </c>
      <c r="DC42" s="61" cm="1">
        <f t="array" ref="DC42">_xlfn.IFS(DB42&gt;$DB$61, 3, DB42=0, 1, DB42&lt;$DB$61, 2, DB42=$DB$61, 2)</f>
        <v>3</v>
      </c>
      <c r="DD42" s="87">
        <v>24354</v>
      </c>
      <c r="DE42" s="44" cm="1">
        <f t="array" ref="DE42">_xlfn.IFS(DD42&gt;$DD$62, 3, DD42&lt;$DD$60, 1, DD42&gt;$DD$60, 2, DD42=$DD$60, 2)</f>
        <v>3</v>
      </c>
      <c r="DF42" s="44">
        <v>20540</v>
      </c>
      <c r="DG42" s="61" cm="1">
        <f t="array" ref="DG42">_xlfn.IFS(DF42=0, 1, DF42&lt;$DF$61, 2, DF42&gt;$DF$61, 3)</f>
        <v>3</v>
      </c>
      <c r="DH42" s="415">
        <f t="shared" si="29"/>
        <v>2.9999999999999964</v>
      </c>
      <c r="DI42" s="82">
        <v>1026690090</v>
      </c>
      <c r="DJ42" s="82">
        <f t="shared" si="30"/>
        <v>117202.06506849315</v>
      </c>
      <c r="DK42" s="88">
        <v>4956.0000000000009</v>
      </c>
      <c r="DL42" s="89">
        <f t="shared" si="31"/>
        <v>4.2285944339834826E-2</v>
      </c>
      <c r="DM42" s="88" cm="1">
        <f t="array" ref="DM42">_xlfn.IFS(DL42&gt;$DL$60,3,(AND(DL42&lt;$DL$60,DL42&gt;$DL$59)),2,DL42&lt;$DL$59,1)</f>
        <v>1</v>
      </c>
      <c r="DN42" s="88">
        <v>4957</v>
      </c>
      <c r="DO42" s="90">
        <f t="shared" si="32"/>
        <v>4.8281365996237485E-3</v>
      </c>
      <c r="DP42" s="88" cm="1">
        <f t="array" ref="DP42">_xlfn.IFS(DO42&gt;DO$60,3,(AND(DO42&lt;DO$60,DO42&gt;DO$59)),2,DO42&lt;DO$59,1)</f>
        <v>1</v>
      </c>
      <c r="DQ42" s="91">
        <v>33664</v>
      </c>
      <c r="DR42" s="92">
        <f t="shared" si="33"/>
        <v>0.21370270348806827</v>
      </c>
      <c r="DS42" s="88" cm="1">
        <f t="array" ref="DS42">_xlfn.IFS(DR42&gt;DR$60,3,(AND(DR42&lt;DR$60,DR42&gt;DR$59)),2,DR42&lt;DR$59,1)</f>
        <v>2</v>
      </c>
      <c r="DT42" s="91" t="s">
        <v>563</v>
      </c>
      <c r="DU42" s="213" cm="1">
        <f t="array" ref="DU42">_xlfn.IFS(DT42="no data","",DT42="40-45", 1, DT42= "45-50", 1, DT42="50-55", 1, DT42 ="30-35", 2, DT42="25-30", 2, DT42="35-40", 2, DT42="20-25", 3, DT42="15-20", 3)</f>
        <v>2</v>
      </c>
      <c r="DV42" s="88">
        <v>4002382898.6595039</v>
      </c>
      <c r="DW42" s="88" cm="1">
        <f t="array" ref="DW42">_xlfn.IFS(DV42&gt;DV$60,3,(AND(DV42&lt;DV$60,DV42&gt;DV$59)),2,DV42&lt;DV$59,1)</f>
        <v>2</v>
      </c>
      <c r="DX42" s="93">
        <v>5</v>
      </c>
      <c r="DY42" s="88" cm="1">
        <f t="array" ref="DY42">_xlfn.IFS(DX42&gt;6.99,1,AND(DX42 &gt; 3, DX42 &lt; 7),2,DX42&lt;3.99,3)</f>
        <v>2</v>
      </c>
      <c r="DZ42" s="94">
        <f t="shared" si="54"/>
        <v>1.4</v>
      </c>
      <c r="EA42" s="95">
        <v>1081600</v>
      </c>
      <c r="EB42" s="82">
        <v>1069200</v>
      </c>
      <c r="EC42" s="82">
        <v>5139</v>
      </c>
      <c r="ED42" s="82">
        <v>0</v>
      </c>
      <c r="EE42" s="82">
        <v>0</v>
      </c>
      <c r="EF42" s="82">
        <f t="shared" si="34"/>
        <v>0</v>
      </c>
      <c r="EG42" s="204" cm="1">
        <f t="array" ref="EG42">_xlfn.IFS(EF42=0, 1, EF42&gt;2, 3, 0&gt;EF42&gt;3,2)</f>
        <v>1</v>
      </c>
      <c r="EH42" s="82">
        <v>0</v>
      </c>
      <c r="EI42" s="82">
        <v>0</v>
      </c>
      <c r="EJ42" s="82">
        <f t="shared" si="35"/>
        <v>0</v>
      </c>
      <c r="EK42" s="82" cm="1">
        <f t="array" ref="EK42">_xlfn.IFS(EH42+EI42=0, 1, EH42+EI42&gt;5, 3, EH42+EI42=5, 2, 0&gt;EH42+EI42&gt;5, 2)</f>
        <v>1</v>
      </c>
      <c r="EL42" s="82">
        <v>0</v>
      </c>
      <c r="EM42" s="82">
        <v>0</v>
      </c>
      <c r="EN42" s="82" cm="1">
        <f t="array" ref="EN42">_xlfn.IFS(EL42+EM42=0, 1, EL42+EM42&gt;10, 3, EL42+EM42 = 10, 2, 0&gt;EL42+EM42&gt;10, 2)</f>
        <v>1</v>
      </c>
      <c r="EO42" s="96">
        <f t="shared" si="55"/>
        <v>1</v>
      </c>
      <c r="EP42" s="44">
        <v>1</v>
      </c>
      <c r="EQ42" s="61" cm="1">
        <f t="array" ref="EQ42">_xlfn.IFS(EP42=0, 1, EP42&gt;$EP$60, 3, EP42&lt;$EP$60, 2)</f>
        <v>2</v>
      </c>
      <c r="ER42" s="100">
        <v>0</v>
      </c>
      <c r="ES42" s="100" cm="1">
        <f t="array" ref="ES42">_xlfn.IFS(ER42=0, 1, ER42&gt;$ER$59, 3, ER42&lt;$ER$59, 2)</f>
        <v>1</v>
      </c>
      <c r="ET42" s="44">
        <v>1</v>
      </c>
      <c r="EU42" s="44" cm="1">
        <f t="array" ref="EU42">_xlfn.IFS(ET42=0, 1, ET42=1, 2, ET42&gt;1, 3)</f>
        <v>2</v>
      </c>
      <c r="EV42" s="413">
        <f t="shared" si="56"/>
        <v>1.6</v>
      </c>
      <c r="EW42" s="82">
        <v>11.11</v>
      </c>
      <c r="EX42" s="210" cm="1">
        <f t="array" ref="EX42">_xlfn.IFS(EW42&gt;EX$60,3,(AND(EW42&lt;EX$60,EW42&gt;EX$59)),2,EW42&lt;EX$59,1)</f>
        <v>2</v>
      </c>
      <c r="EY42" s="82">
        <v>0</v>
      </c>
      <c r="EZ42" s="210" cm="1">
        <f t="array" ref="EZ42">_xlfn.IFS(EY42&gt;EZ$60,3,(AND(EY42&lt;EZ$60,EY42&gt;EZ$59)),2,EY42&lt;EZ$59,1)</f>
        <v>1</v>
      </c>
      <c r="FA42" s="82">
        <v>0</v>
      </c>
      <c r="FB42" s="210" cm="1">
        <f t="array" ref="FB42">_xlfn.IFS(FA42&gt;FB$60,3,(AND(FA42&lt;FB$60,FA42&gt;FB$59)),2,FA42&lt;FB$59,1)</f>
        <v>1</v>
      </c>
      <c r="FC42" s="416">
        <f t="shared" si="57"/>
        <v>1.5</v>
      </c>
      <c r="FD42" s="81">
        <v>1.52</v>
      </c>
      <c r="FE42" s="81" cm="1">
        <f t="array" ref="FE42">_xlfn.IFS(FD42&gt;$FD$60, 3, FD42&lt;$FD$59, 1, FD42&gt;$FD$59, 2)</f>
        <v>2</v>
      </c>
      <c r="FF42" s="44">
        <v>2</v>
      </c>
      <c r="FG42" s="61" cm="1">
        <f t="array" ref="FG42">_xlfn.IFS(FF42&lt;$FF$59, 1, FF42&gt;$FF$60, 3, FF42 = $FF$60, 3, FF42&lt;$FF$60, 2)</f>
        <v>3</v>
      </c>
      <c r="FH42" s="97">
        <f t="shared" si="58"/>
        <v>2.4000000000000004</v>
      </c>
      <c r="FI42" s="102">
        <v>8</v>
      </c>
      <c r="FJ42" s="44">
        <v>1</v>
      </c>
      <c r="FK42" s="98">
        <f t="shared" si="59"/>
        <v>9</v>
      </c>
      <c r="FL42" s="98" cm="1">
        <f t="array" ref="FL42">_xlfn.IFS(FK42&gt;$FK$60, 3, FK42&lt;$FK$59, 1, FK42&gt;$FK$59, 2, FK42=$FK$59, 2)</f>
        <v>3</v>
      </c>
      <c r="FM42" s="99">
        <f t="shared" si="60"/>
        <v>3</v>
      </c>
    </row>
    <row r="43" spans="1:169" ht="20.100000000000001" customHeight="1">
      <c r="A43" s="38" t="s">
        <v>143</v>
      </c>
      <c r="B43" s="44" t="s">
        <v>541</v>
      </c>
      <c r="C43" s="44">
        <v>1</v>
      </c>
      <c r="D43" s="44" t="s">
        <v>542</v>
      </c>
      <c r="E43" s="44">
        <v>1</v>
      </c>
      <c r="F43" s="61" t="s">
        <v>543</v>
      </c>
      <c r="G43" s="61" cm="1">
        <f t="array" ref="G43">_xlfn.IFS(F43= "Yes", 3, F43 &lt;&gt; "Yes", 1)</f>
        <v>1</v>
      </c>
      <c r="H43" s="44" t="s">
        <v>543</v>
      </c>
      <c r="I43" s="44">
        <v>1</v>
      </c>
      <c r="J43" s="44" t="s">
        <v>543</v>
      </c>
      <c r="K43" s="44">
        <v>1</v>
      </c>
      <c r="L43" s="193">
        <f t="shared" si="37"/>
        <v>0.99999999999999989</v>
      </c>
      <c r="M43" s="44" t="s">
        <v>543</v>
      </c>
      <c r="N43" s="44"/>
      <c r="O43" s="44" t="s">
        <v>543</v>
      </c>
      <c r="P43" s="44">
        <v>1</v>
      </c>
      <c r="Q43" s="44" t="s">
        <v>543</v>
      </c>
      <c r="R43" s="44">
        <v>1</v>
      </c>
      <c r="S43" s="48" t="s">
        <v>543</v>
      </c>
      <c r="T43" s="44">
        <v>1</v>
      </c>
      <c r="U43" s="44" t="s">
        <v>543</v>
      </c>
      <c r="V43" s="44">
        <v>1</v>
      </c>
      <c r="W43" s="44" t="s">
        <v>543</v>
      </c>
      <c r="X43" s="44">
        <v>1</v>
      </c>
      <c r="Y43" s="39" t="s">
        <v>543</v>
      </c>
      <c r="Z43" s="44">
        <v>1</v>
      </c>
      <c r="AA43" s="72">
        <f t="shared" si="43"/>
        <v>0.79999999999999993</v>
      </c>
      <c r="AB43" s="39" t="s">
        <v>543</v>
      </c>
      <c r="AC43" s="44" t="s">
        <v>542</v>
      </c>
      <c r="AD43" s="44">
        <v>1</v>
      </c>
      <c r="AE43" s="44" t="s">
        <v>543</v>
      </c>
      <c r="AF43" s="44" cm="1">
        <f t="array" ref="AF43">_xlfn.IFS(AE43="NA", 1, AE43="No", 1, AE43="Yes, implicit", 2, AE43="Yes, explicit", 3)</f>
        <v>1</v>
      </c>
      <c r="AG43" s="44" t="s">
        <v>543</v>
      </c>
      <c r="AH43" s="44" t="s">
        <v>543</v>
      </c>
      <c r="AI43" s="44">
        <v>1</v>
      </c>
      <c r="AJ43" s="73">
        <f t="shared" si="44"/>
        <v>1</v>
      </c>
      <c r="AK43" s="76" t="s">
        <v>544</v>
      </c>
      <c r="AL43" s="74">
        <f t="shared" si="10"/>
        <v>1</v>
      </c>
      <c r="AM43" s="74" t="s">
        <v>545</v>
      </c>
      <c r="AN43" s="74">
        <f t="shared" si="11"/>
        <v>1</v>
      </c>
      <c r="AO43" s="76" t="s">
        <v>181</v>
      </c>
      <c r="AP43" s="74">
        <f t="shared" si="12"/>
        <v>3</v>
      </c>
      <c r="AQ43" s="75">
        <f t="shared" si="45"/>
        <v>0.5</v>
      </c>
      <c r="AR43" s="74" t="s">
        <v>545</v>
      </c>
      <c r="AS43" s="74">
        <f t="shared" si="14"/>
        <v>1</v>
      </c>
      <c r="AT43" s="74" t="s">
        <v>545</v>
      </c>
      <c r="AU43" s="74">
        <f t="shared" si="15"/>
        <v>1</v>
      </c>
      <c r="AV43" s="74">
        <f t="shared" si="46"/>
        <v>0.2</v>
      </c>
      <c r="AW43" s="76" t="s">
        <v>545</v>
      </c>
      <c r="AX43" s="195">
        <f t="shared" si="47"/>
        <v>0.4</v>
      </c>
      <c r="AY43" s="76" t="s">
        <v>546</v>
      </c>
      <c r="AZ43" s="76">
        <f t="shared" si="48"/>
        <v>3</v>
      </c>
      <c r="BA43" s="76" t="s">
        <v>545</v>
      </c>
      <c r="BB43" s="74">
        <f t="shared" si="18"/>
        <v>1</v>
      </c>
      <c r="BC43" s="76" t="s">
        <v>181</v>
      </c>
      <c r="BD43" s="74">
        <f t="shared" si="49"/>
        <v>3</v>
      </c>
      <c r="BE43" s="76">
        <f t="shared" si="50"/>
        <v>0.70000000000000007</v>
      </c>
      <c r="BF43" s="76"/>
      <c r="BG43" s="76"/>
      <c r="BH43" s="77">
        <f t="shared" si="38"/>
        <v>0</v>
      </c>
      <c r="BI43" s="77">
        <f t="shared" si="39"/>
        <v>0</v>
      </c>
      <c r="BJ43" s="77">
        <f t="shared" si="40"/>
        <v>0</v>
      </c>
      <c r="BK43" s="77">
        <f t="shared" si="41"/>
        <v>0</v>
      </c>
      <c r="BL43" s="78">
        <f t="shared" si="51"/>
        <v>1.8</v>
      </c>
      <c r="BM43" s="76" t="s">
        <v>181</v>
      </c>
      <c r="BN43" s="197" cm="1">
        <f t="array" ref="BN43">_xlfn.IFS(BM43="Y", 3, BM43="N", 2)</f>
        <v>3</v>
      </c>
      <c r="BO43" s="76" t="s">
        <v>181</v>
      </c>
      <c r="BP43" s="197" cm="1">
        <f t="array" ref="BP43">_xlfn.IFS(BO43="Y", 3, BO43="N", 2)</f>
        <v>3</v>
      </c>
      <c r="BQ43" s="79">
        <f t="shared" si="61"/>
        <v>3</v>
      </c>
      <c r="BR43" s="44">
        <v>34400</v>
      </c>
      <c r="BS43" s="44">
        <f t="shared" si="23"/>
        <v>34400000</v>
      </c>
      <c r="BT43" s="44">
        <f t="shared" si="24"/>
        <v>53750</v>
      </c>
      <c r="BU43" s="80">
        <v>68595</v>
      </c>
      <c r="BV43" s="81">
        <f t="shared" si="25"/>
        <v>78.35848093884394</v>
      </c>
      <c r="BW43" s="82" cm="1">
        <f t="array" ref="BW43">_xlfn.IFS(BV43&gt;44, 3, BV43&lt;26, 1, 44&gt;BV43&gt;26, 2)</f>
        <v>3</v>
      </c>
      <c r="BX43" s="82">
        <v>10083399</v>
      </c>
      <c r="BY43" s="82" cm="1">
        <f t="array" ref="BY43">_xlfn.IFS(BX43&gt;12000000, 3, BX43&lt;4000000, 1, 4000000&gt;BX43&gt;12000000, 2)</f>
        <v>2</v>
      </c>
      <c r="BZ43" s="80">
        <v>6.7951660468084452</v>
      </c>
      <c r="CA43" s="82" cm="1">
        <f t="array" ref="CA43">_xlfn.IFS(BZ43&gt;$BZ$60, 1, BZ43&lt;$BZ$59, 3, BZ43&gt;$BZ$59, 2, BZ43=$BZ$59, 2)</f>
        <v>2</v>
      </c>
      <c r="CB43" s="413">
        <f t="shared" si="52"/>
        <v>2.4000000000000004</v>
      </c>
      <c r="CC43" s="44">
        <v>2676884</v>
      </c>
      <c r="CD43" s="44" cm="1">
        <f t="array" ref="CD43">_xlfn.IFS(CC43&gt;4200000, 3, CC43&lt;1700000, 1, 4200000&gt;CC43&gt;1700000, 2)</f>
        <v>2</v>
      </c>
      <c r="CE43" s="44">
        <v>234146.88999999996</v>
      </c>
      <c r="CF43" s="44" cm="1">
        <f t="array" ref="CF43">_xlfn.IFS(CE43&lt;120000, 1, CE43&gt;620000, 3, 620000&gt;CE43&gt;120000, 2)</f>
        <v>2</v>
      </c>
      <c r="CG43" s="44">
        <v>347048.4</v>
      </c>
      <c r="CH43" s="44" cm="1">
        <f t="array" ref="CH43">_xlfn.IFS(CG43&lt;300000, 1, CG43&gt;1700000, 3, 300000&gt;CG43&gt;170000, 2)</f>
        <v>2</v>
      </c>
      <c r="CI43" s="44">
        <v>77.477056829999995</v>
      </c>
      <c r="CJ43" s="61" cm="1">
        <f t="array" ref="CJ43">_xlfn.IFS(CI43&lt;$CI$60, 1, CI43&gt;$CI$61, 3, CI43&lt;$CI$61, 2)</f>
        <v>3</v>
      </c>
      <c r="CK43" s="205">
        <f t="shared" si="27"/>
        <v>2.25</v>
      </c>
      <c r="CL43" s="108">
        <v>51000000</v>
      </c>
      <c r="CM43" s="48" cm="1">
        <f t="array" ref="CM43">_xlfn.IFS(CL43&gt;4600000, 3, CL43&lt;430000, 1, 4600000&gt;CL43&gt;430000, 2)</f>
        <v>3</v>
      </c>
      <c r="CN43" s="72">
        <f t="shared" si="53"/>
        <v>3</v>
      </c>
      <c r="CO43" s="39">
        <v>0</v>
      </c>
      <c r="CP43" s="65" cm="1">
        <f t="array" ref="CP43">_xlfn.IFS(CO43=0, 1, CO43="active", 3, CO43="permitted", 2)</f>
        <v>1</v>
      </c>
      <c r="CQ43" s="39">
        <v>0</v>
      </c>
      <c r="CR43" s="39" cm="1">
        <f t="array" ref="CR43">_xlfn.IFS(CQ43=0, 1, CQ43&lt;&gt;0, 3)</f>
        <v>1</v>
      </c>
      <c r="CS43" s="72">
        <v>1</v>
      </c>
      <c r="CT43" s="44" t="s">
        <v>545</v>
      </c>
      <c r="CU43" s="82">
        <v>0</v>
      </c>
      <c r="CV43" s="82">
        <v>69899</v>
      </c>
      <c r="CW43" s="39" t="s">
        <v>542</v>
      </c>
      <c r="CX43" s="207" cm="1">
        <f t="array" ref="CX43">_xlfn.IFS(CT43="N", 0, CW43&lt;$CW$61, 2, CW43 = $CW$61, 2, CW43&gt;$CW$61, 3)</f>
        <v>0</v>
      </c>
      <c r="CY43" s="207" t="s">
        <v>542</v>
      </c>
      <c r="CZ43" s="207" t="str" cm="1">
        <f t="array" ref="CZ43">_xlfn.IFS(CY43="NA", "NA", CY43=0, 1, CY43=1, 2, CY43&gt;1, 3)</f>
        <v>NA</v>
      </c>
      <c r="DA43" s="201">
        <f t="shared" si="28"/>
        <v>0</v>
      </c>
      <c r="DB43" s="101">
        <v>10638</v>
      </c>
      <c r="DC43" s="61" cm="1">
        <f t="array" ref="DC43">_xlfn.IFS(DB43&gt;$DB$61, 3, DB43=0, 1, DB43&lt;$DB$61, 2, DB43=$DB$61, 2)</f>
        <v>3</v>
      </c>
      <c r="DD43" s="87">
        <v>2925</v>
      </c>
      <c r="DE43" s="44" cm="1">
        <f t="array" ref="DE43">_xlfn.IFS(DD43&gt;$DD$62, 3, DD43&lt;$DD$60, 1, DD43&gt;$DD$60, 2, DD43=$DD$60, 2)</f>
        <v>2</v>
      </c>
      <c r="DF43" s="44">
        <v>15557</v>
      </c>
      <c r="DG43" s="61" cm="1">
        <f t="array" ref="DG43">_xlfn.IFS(DF43=0, 1, DF43&lt;$DF$61, 2, DF43&gt;$DF$61, 3)</f>
        <v>3</v>
      </c>
      <c r="DH43" s="415">
        <f t="shared" si="29"/>
        <v>2.6666666666666634</v>
      </c>
      <c r="DI43" s="82">
        <v>447353939</v>
      </c>
      <c r="DJ43" s="82">
        <f t="shared" si="30"/>
        <v>51067.80125570776</v>
      </c>
      <c r="DK43" s="88">
        <v>13372.899999999998</v>
      </c>
      <c r="DL43" s="89">
        <f t="shared" si="31"/>
        <v>0.2618655918440454</v>
      </c>
      <c r="DM43" s="88" cm="1">
        <f t="array" ref="DM43">_xlfn.IFS(DL43&gt;$DL$60,3,(AND(DL43&lt;$DL$60,DL43&gt;$DL$59)),2,DL43&lt;$DL$59,1)</f>
        <v>3</v>
      </c>
      <c r="DN43" s="88">
        <v>39874</v>
      </c>
      <c r="DO43" s="90">
        <f t="shared" si="32"/>
        <v>8.9133003029174179E-2</v>
      </c>
      <c r="DP43" s="88" cm="1">
        <f t="array" ref="DP43">_xlfn.IFS(DO43&gt;DO$60,3,(AND(DO43&lt;DO$60,DO43&gt;DO$59)),2,DO43&lt;DO$59,1)</f>
        <v>3</v>
      </c>
      <c r="DQ43" s="91">
        <v>40171.5</v>
      </c>
      <c r="DR43" s="92">
        <f t="shared" si="33"/>
        <v>0.3249911602691275</v>
      </c>
      <c r="DS43" s="88" cm="1">
        <f t="array" ref="DS43">_xlfn.IFS(DR43&gt;DR$60,3,(AND(DR43&lt;DR$60,DR43&gt;DR$59)),2,DR43&lt;DR$59,1)</f>
        <v>2</v>
      </c>
      <c r="DT43" s="91" t="s">
        <v>587</v>
      </c>
      <c r="DU43" s="213" cm="1">
        <f t="array" ref="DU43">_xlfn.IFS(DT43="no data","",DT43="40-45", 1, DT43= "45-50", 1, DT43="50-55", 1, DT43 ="30-35", 2, DT43="25-30", 2, DT43="35-40", 2, DT43="20-25", 3, DT43="15-20", 3)</f>
        <v>2</v>
      </c>
      <c r="DV43" s="88">
        <v>21805068051.660072</v>
      </c>
      <c r="DW43" s="88" cm="1">
        <f t="array" ref="DW43">_xlfn.IFS(DV43&gt;DV$60,3,(AND(DV43&lt;DV$60,DV43&gt;DV$59)),2,DV43&lt;DV$59,1)</f>
        <v>3</v>
      </c>
      <c r="DX43" s="93">
        <v>6</v>
      </c>
      <c r="DY43" s="88" cm="1">
        <f t="array" ref="DY43">_xlfn.IFS(DX43&gt;6.99,1,AND(DX43 &gt; 3, DX43 &lt; 7),2,DX43&lt;3.99,3)</f>
        <v>2</v>
      </c>
      <c r="DZ43" s="94">
        <f t="shared" si="54"/>
        <v>2.7</v>
      </c>
      <c r="EA43" s="95">
        <v>211900</v>
      </c>
      <c r="EB43" s="82">
        <v>186500</v>
      </c>
      <c r="EC43" s="82">
        <v>3222</v>
      </c>
      <c r="ED43" s="82">
        <v>0</v>
      </c>
      <c r="EE43" s="82">
        <v>0</v>
      </c>
      <c r="EF43" s="82">
        <f>ED43+EE43</f>
        <v>0</v>
      </c>
      <c r="EG43" s="204" cm="1">
        <f t="array" ref="EG43">_xlfn.IFS(EF43=0, 1, EF43&gt;2, 3, 0&gt;EF43&gt;3,2)</f>
        <v>1</v>
      </c>
      <c r="EH43" s="82">
        <v>0</v>
      </c>
      <c r="EI43" s="82">
        <v>0</v>
      </c>
      <c r="EJ43" s="82">
        <f t="shared" si="35"/>
        <v>0</v>
      </c>
      <c r="EK43" s="82" cm="1">
        <f t="array" ref="EK43">_xlfn.IFS(EH43+EI43=0, 1, EH43+EI43&gt;5, 3, EH43+EI43=5, 2, 0&gt;EH43+EI43&gt;5, 2)</f>
        <v>1</v>
      </c>
      <c r="EL43" s="82">
        <v>2</v>
      </c>
      <c r="EM43" s="82">
        <v>0</v>
      </c>
      <c r="EN43" s="82" cm="1">
        <f t="array" ref="EN43">_xlfn.IFS(EL43+EM43=0, 1, EL43+EM43&gt;10, 3, EL43+EM43 = 10, 2, 0&gt;EL43+EM43&gt;10, 2)</f>
        <v>2</v>
      </c>
      <c r="EO43" s="96">
        <f t="shared" si="55"/>
        <v>1.3333333333333333</v>
      </c>
      <c r="EP43" s="44">
        <v>2</v>
      </c>
      <c r="EQ43" s="61" cm="1">
        <f t="array" ref="EQ43">_xlfn.IFS(EP43=0, 1, EP43&gt;$EP$60, 3, EP43&lt;$EP$60, 2)</f>
        <v>3</v>
      </c>
      <c r="ER43" s="100">
        <v>337.1</v>
      </c>
      <c r="ES43" s="100" cm="1">
        <f t="array" ref="ES43">_xlfn.IFS(ER43=0, 1, ER43&gt;$ER$59, 3, ER43&lt;$ER$59, 2)</f>
        <v>3</v>
      </c>
      <c r="ET43" s="44">
        <v>0</v>
      </c>
      <c r="EU43" s="44" cm="1">
        <f t="array" ref="EU43">_xlfn.IFS(ET43=0, 1, ET43=1, 2, ET43&gt;1, 3)</f>
        <v>1</v>
      </c>
      <c r="EV43" s="413">
        <f t="shared" si="56"/>
        <v>2.2000000000000002</v>
      </c>
      <c r="EW43" s="82">
        <v>81.27</v>
      </c>
      <c r="EX43" s="210" cm="1">
        <f t="array" ref="EX43">_xlfn.IFS(EW43&gt;EX$60,3,(AND(EW43&lt;EX$60,EW43&gt;EX$59)),2,EW43&lt;EX$59,1)</f>
        <v>3</v>
      </c>
      <c r="EY43" s="82">
        <v>0</v>
      </c>
      <c r="EZ43" s="210" cm="1">
        <f t="array" ref="EZ43">_xlfn.IFS(EY43&gt;EZ$60,3,(AND(EY43&lt;EZ$60,EY43&gt;EZ$59)),2,EY43&lt;EZ$59,1)</f>
        <v>1</v>
      </c>
      <c r="FA43" s="253">
        <v>731125600050</v>
      </c>
      <c r="FB43" s="210" cm="1">
        <f t="array" ref="FB43">_xlfn.IFS(FA43&gt;FB$60,3,(AND(FA43&lt;FB$60,FA43&gt;FB$59)),2,FA43&lt;FB$59,1)</f>
        <v>2</v>
      </c>
      <c r="FC43" s="416">
        <f t="shared" si="57"/>
        <v>2.25</v>
      </c>
      <c r="FD43" s="81">
        <v>1.05</v>
      </c>
      <c r="FE43" s="81" cm="1">
        <f t="array" ref="FE43">_xlfn.IFS(FD43&gt;$FD$60, 3, FD43&lt;$FD$59, 1, FD43&gt;$FD$59, 2)</f>
        <v>2</v>
      </c>
      <c r="FF43" s="44">
        <v>3</v>
      </c>
      <c r="FG43" s="61" cm="1">
        <f t="array" ref="FG43">_xlfn.IFS(FF43&lt;$FF$59, 1, FF43&gt;$FF$60, 3, FF43 = $FF$60, 3, FF43&lt;$FF$60, 2)</f>
        <v>3</v>
      </c>
      <c r="FH43" s="97">
        <f t="shared" si="58"/>
        <v>2.4000000000000004</v>
      </c>
      <c r="FI43" s="102">
        <v>2</v>
      </c>
      <c r="FJ43" s="44">
        <v>2</v>
      </c>
      <c r="FK43" s="98">
        <f t="shared" si="59"/>
        <v>4</v>
      </c>
      <c r="FL43" s="98" cm="1">
        <f t="array" ref="FL43">_xlfn.IFS(FK43&gt;$FK$60, 3, FK43&lt;$FK$59, 1, FK43&gt;$FK$59, 2, FK43=$FK$59, 2)</f>
        <v>2</v>
      </c>
      <c r="FM43" s="99">
        <f t="shared" si="60"/>
        <v>2</v>
      </c>
    </row>
    <row r="44" spans="1:169" ht="20.100000000000001" customHeight="1">
      <c r="A44" s="38" t="s">
        <v>144</v>
      </c>
      <c r="B44" s="44" t="s">
        <v>554</v>
      </c>
      <c r="C44" s="44">
        <v>3</v>
      </c>
      <c r="D44" s="44" t="s">
        <v>615</v>
      </c>
      <c r="E44" s="44">
        <v>2</v>
      </c>
      <c r="F44" s="61" t="s">
        <v>543</v>
      </c>
      <c r="G44" s="61" cm="1">
        <f t="array" ref="G44">_xlfn.IFS(F44= "Yes", 3, F44 &lt;&gt; "Yes", 1)</f>
        <v>1</v>
      </c>
      <c r="H44" s="44" t="s">
        <v>552</v>
      </c>
      <c r="I44" s="44">
        <v>2</v>
      </c>
      <c r="J44" s="44" t="s">
        <v>543</v>
      </c>
      <c r="K44" s="44">
        <v>1</v>
      </c>
      <c r="L44" s="193">
        <f t="shared" si="37"/>
        <v>2</v>
      </c>
      <c r="M44" s="48" t="s">
        <v>543</v>
      </c>
      <c r="N44" s="44">
        <v>1</v>
      </c>
      <c r="O44" s="44" t="s">
        <v>543</v>
      </c>
      <c r="P44" s="44">
        <v>1</v>
      </c>
      <c r="Q44" s="44" t="s">
        <v>556</v>
      </c>
      <c r="R44" s="44">
        <v>3</v>
      </c>
      <c r="S44" s="48" t="s">
        <v>543</v>
      </c>
      <c r="T44" s="44">
        <v>1</v>
      </c>
      <c r="U44" s="44" t="s">
        <v>543</v>
      </c>
      <c r="V44" s="44">
        <v>1</v>
      </c>
      <c r="W44" s="44" t="s">
        <v>616</v>
      </c>
      <c r="X44" s="44">
        <v>2</v>
      </c>
      <c r="Y44" s="39" t="s">
        <v>617</v>
      </c>
      <c r="Z44" s="44">
        <v>2</v>
      </c>
      <c r="AA44" s="72">
        <f t="shared" si="43"/>
        <v>1.3499999999999999</v>
      </c>
      <c r="AB44" s="39" t="s">
        <v>543</v>
      </c>
      <c r="AC44" s="44" t="s">
        <v>542</v>
      </c>
      <c r="AD44" s="44">
        <v>1</v>
      </c>
      <c r="AE44" s="44" t="s">
        <v>568</v>
      </c>
      <c r="AF44" s="44" cm="1">
        <f t="array" ref="AF44">_xlfn.IFS(AE44="NA", 1, AE44="No", 1, AE44="Yes, implicit", 2, AE44="Yes, explicit", 3)</f>
        <v>2</v>
      </c>
      <c r="AG44" s="44" t="s">
        <v>556</v>
      </c>
      <c r="AH44" s="44" t="s">
        <v>556</v>
      </c>
      <c r="AI44" s="44">
        <v>3</v>
      </c>
      <c r="AJ44" s="73">
        <f t="shared" si="44"/>
        <v>1.6</v>
      </c>
      <c r="AK44" s="76" t="s">
        <v>544</v>
      </c>
      <c r="AL44" s="74">
        <f t="shared" si="10"/>
        <v>1</v>
      </c>
      <c r="AM44" s="74" t="s">
        <v>545</v>
      </c>
      <c r="AN44" s="74">
        <f t="shared" si="11"/>
        <v>1</v>
      </c>
      <c r="AO44" s="74" t="s">
        <v>545</v>
      </c>
      <c r="AP44" s="74">
        <f t="shared" si="12"/>
        <v>1</v>
      </c>
      <c r="AQ44" s="75">
        <f t="shared" si="45"/>
        <v>0.30000000000000004</v>
      </c>
      <c r="AR44" s="74" t="s">
        <v>545</v>
      </c>
      <c r="AS44" s="74">
        <f t="shared" si="14"/>
        <v>1</v>
      </c>
      <c r="AT44" s="74" t="s">
        <v>545</v>
      </c>
      <c r="AU44" s="74">
        <f t="shared" si="15"/>
        <v>1</v>
      </c>
      <c r="AV44" s="74">
        <f t="shared" si="46"/>
        <v>0.2</v>
      </c>
      <c r="AW44" s="76" t="s">
        <v>545</v>
      </c>
      <c r="AX44" s="195">
        <f t="shared" si="47"/>
        <v>0.4</v>
      </c>
      <c r="AY44" s="76" t="s">
        <v>545</v>
      </c>
      <c r="AZ44" s="76">
        <f t="shared" si="48"/>
        <v>1</v>
      </c>
      <c r="BA44" s="76" t="s">
        <v>545</v>
      </c>
      <c r="BB44" s="74">
        <f t="shared" si="18"/>
        <v>1</v>
      </c>
      <c r="BC44" s="76" t="s">
        <v>181</v>
      </c>
      <c r="BD44" s="74">
        <f t="shared" si="49"/>
        <v>3</v>
      </c>
      <c r="BE44" s="76">
        <f t="shared" si="50"/>
        <v>0.5</v>
      </c>
      <c r="BF44" s="76"/>
      <c r="BG44" s="76"/>
      <c r="BH44" s="77">
        <f t="shared" si="38"/>
        <v>0</v>
      </c>
      <c r="BI44" s="77">
        <f t="shared" si="39"/>
        <v>0</v>
      </c>
      <c r="BJ44" s="77">
        <f t="shared" si="40"/>
        <v>0</v>
      </c>
      <c r="BK44" s="77">
        <f t="shared" si="41"/>
        <v>0</v>
      </c>
      <c r="BL44" s="78">
        <f t="shared" si="51"/>
        <v>1.4000000000000001</v>
      </c>
      <c r="BM44" s="76" t="s">
        <v>181</v>
      </c>
      <c r="BN44" s="197" cm="1">
        <f t="array" ref="BN44">_xlfn.IFS(BM44="Y", 3, BM44="N", 2)</f>
        <v>3</v>
      </c>
      <c r="BO44" s="76" t="s">
        <v>181</v>
      </c>
      <c r="BP44" s="197" cm="1">
        <f t="array" ref="BP44">_xlfn.IFS(BO44="Y", 3, BO44="N", 2)</f>
        <v>3</v>
      </c>
      <c r="BQ44" s="79">
        <f t="shared" si="61"/>
        <v>3</v>
      </c>
      <c r="BR44" s="44">
        <v>15700</v>
      </c>
      <c r="BS44" s="44">
        <f t="shared" si="23"/>
        <v>15700000</v>
      </c>
      <c r="BT44" s="44">
        <f t="shared" si="24"/>
        <v>24531.25</v>
      </c>
      <c r="BU44" s="80">
        <v>95988</v>
      </c>
      <c r="BV44" s="81">
        <f t="shared" si="25"/>
        <v>25.556579989165311</v>
      </c>
      <c r="BW44" s="82" cm="1">
        <f t="array" ref="BW44">_xlfn.IFS(BV44&gt;44, 3, BV44&lt;26, 1, 44&gt;BV44&gt;26, 2)</f>
        <v>1</v>
      </c>
      <c r="BX44" s="82">
        <v>6618745</v>
      </c>
      <c r="BY44" s="82" cm="1">
        <f t="array" ref="BY44">_xlfn.IFS(BX44&gt;12000000, 3, BX44&lt;4000000, 1, 4000000&gt;BX44&gt;12000000, 2)</f>
        <v>2</v>
      </c>
      <c r="BZ44" s="80">
        <v>6.6469600371389914</v>
      </c>
      <c r="CA44" s="82" cm="1">
        <f t="array" ref="CA44">_xlfn.IFS(BZ44&gt;$BZ$60, 1, BZ44&lt;$BZ$59, 3, BZ44&gt;$BZ$59, 2, BZ44=$BZ$59, 2)</f>
        <v>2</v>
      </c>
      <c r="CB44" s="413">
        <f t="shared" si="52"/>
        <v>1.6</v>
      </c>
      <c r="CC44" s="44">
        <v>1996735</v>
      </c>
      <c r="CD44" s="44" cm="1">
        <f t="array" ref="CD44">_xlfn.IFS(CC44&gt;4200000, 3, CC44&lt;1700000, 1, 4200000&gt;CC44&gt;1700000, 2)</f>
        <v>2</v>
      </c>
      <c r="CE44" s="44">
        <v>893285.62000000023</v>
      </c>
      <c r="CF44" s="44" cm="1">
        <f t="array" ref="CF44">_xlfn.IFS(CE44&lt;120000, 1, CE44&gt;620000, 3, 620000&gt;CE44&gt;120000, 2)</f>
        <v>3</v>
      </c>
      <c r="CG44" s="44">
        <v>847870.1</v>
      </c>
      <c r="CH44" s="44" cm="1">
        <f t="array" ref="CH44">_xlfn.IFS(CG44&lt;300000, 1, CG44&gt;1700000, 3, 300000&gt;CG44&gt;170000, 2)</f>
        <v>2</v>
      </c>
      <c r="CI44" s="44">
        <v>72.211616640000003</v>
      </c>
      <c r="CJ44" s="61" cm="1">
        <f t="array" ref="CJ44">_xlfn.IFS(CI44&lt;$CI$60, 1, CI44&gt;$CI$61, 3, CI44&lt;$CI$61, 2)</f>
        <v>3</v>
      </c>
      <c r="CK44" s="205">
        <f t="shared" si="27"/>
        <v>2.4500000000000002</v>
      </c>
      <c r="CL44" s="44">
        <v>0</v>
      </c>
      <c r="CM44" s="48" cm="1">
        <f t="array" ref="CM44">_xlfn.IFS(CL44&gt;4600000, 3, CL44&lt;430000, 1, 4600000&gt;CL44&gt;430000, 2)</f>
        <v>1</v>
      </c>
      <c r="CN44" s="72">
        <f t="shared" si="53"/>
        <v>1</v>
      </c>
      <c r="CO44" s="39" t="s">
        <v>549</v>
      </c>
      <c r="CP44" s="65" cm="1">
        <f t="array" ref="CP44">_xlfn.IFS(CO44=0, 1, CO44="active", 3, CO44="permitted", 2)</f>
        <v>3</v>
      </c>
      <c r="CQ44" s="39">
        <v>0</v>
      </c>
      <c r="CR44" s="39" cm="1">
        <f t="array" ref="CR44">_xlfn.IFS(CQ44=0, 1, CQ44&lt;&gt;0, 3)</f>
        <v>1</v>
      </c>
      <c r="CS44" s="72">
        <v>3</v>
      </c>
      <c r="CT44" s="48" t="s">
        <v>181</v>
      </c>
      <c r="CU44" s="48">
        <v>1323</v>
      </c>
      <c r="CV44" s="107">
        <v>98379</v>
      </c>
      <c r="CW44" s="39">
        <f>CU44/CV44</f>
        <v>1.3447991949501418E-2</v>
      </c>
      <c r="CX44" s="207" cm="1">
        <f t="array" ref="CX44">_xlfn.IFS(CT44="N", 0, CW44&lt;$CW$61, 2, CW44 = $CW$61, 2, CW44&gt;$CW$61, 3)</f>
        <v>2</v>
      </c>
      <c r="CY44" s="207">
        <v>1</v>
      </c>
      <c r="CZ44" s="207" cm="1">
        <f t="array" ref="CZ44">_xlfn.IFS(CY44="NA", "NA", CY44=0, 1, CY44=1, 2, CY44&gt;1, 3)</f>
        <v>2</v>
      </c>
      <c r="DA44" s="201">
        <f t="shared" si="28"/>
        <v>2</v>
      </c>
      <c r="DB44" s="86">
        <v>9</v>
      </c>
      <c r="DC44" s="61" cm="1">
        <f t="array" ref="DC44">_xlfn.IFS(DB44&gt;$DB$61, 3, DB44=0, 1, DB44&lt;$DB$61, 2, DB44=$DB$61, 2)</f>
        <v>2</v>
      </c>
      <c r="DD44" s="87">
        <v>33708</v>
      </c>
      <c r="DE44" s="44" cm="1">
        <f t="array" ref="DE44">_xlfn.IFS(DD44&gt;$DD$62, 3, DD44&lt;$DD$60, 1, DD44&gt;$DD$60, 2, DD44=$DD$60, 2)</f>
        <v>3</v>
      </c>
      <c r="DF44" s="44">
        <v>0</v>
      </c>
      <c r="DG44" s="61" cm="1">
        <f t="array" ref="DG44">_xlfn.IFS(DF44=0, 1, DF44&lt;$DF$61, 2, DF44&gt;$DF$61, 3)</f>
        <v>1</v>
      </c>
      <c r="DH44" s="415">
        <f t="shared" si="29"/>
        <v>1.9999999999999978</v>
      </c>
      <c r="DI44" s="82">
        <v>251236054</v>
      </c>
      <c r="DJ44" s="82">
        <f t="shared" si="30"/>
        <v>28679.91484018265</v>
      </c>
      <c r="DK44" s="88">
        <v>13793.800000000008</v>
      </c>
      <c r="DL44" s="89">
        <f t="shared" si="31"/>
        <v>0.48095679770547611</v>
      </c>
      <c r="DM44" s="88" cm="1">
        <f t="array" ref="DM44">_xlfn.IFS(DL44&gt;$DL$60,3,(AND(DL44&lt;$DL$60,DL44&gt;$DL$59)),2,DL44&lt;$DL$59,1)</f>
        <v>3</v>
      </c>
      <c r="DN44" s="88">
        <v>36527</v>
      </c>
      <c r="DO44" s="90">
        <f t="shared" si="32"/>
        <v>0.14538916456632456</v>
      </c>
      <c r="DP44" s="88" cm="1">
        <f t="array" ref="DP44">_xlfn.IFS(DO44&gt;DO$60,3,(AND(DO44&lt;DO$60,DO44&gt;DO$59)),2,DO44&lt;DO$59,1)</f>
        <v>3</v>
      </c>
      <c r="DQ44" s="91">
        <v>156900.04999999999</v>
      </c>
      <c r="DR44" s="92">
        <f t="shared" si="33"/>
        <v>0.43882918321653658</v>
      </c>
      <c r="DS44" s="88" cm="1">
        <f t="array" ref="DS44">_xlfn.IFS(DR44&gt;DR$60,3,(AND(DR44&lt;DR$60,DR44&gt;DR$59)),2,DR44&lt;DR$59,1)</f>
        <v>3</v>
      </c>
      <c r="DT44" s="91" t="s">
        <v>573</v>
      </c>
      <c r="DU44" s="213" cm="1">
        <f t="array" ref="DU44">_xlfn.IFS(DT44="no data","",DT44="40-45", 1, DT44= "45-50", 1, DT44="50-55", 1, DT44 ="30-35", 2, DT44="25-30", 2, DT44="35-40", 2, DT44="20-25", 3, DT44="15-20", 3)</f>
        <v>3</v>
      </c>
      <c r="DV44" s="88">
        <v>7494567014.0063305</v>
      </c>
      <c r="DW44" s="88" cm="1">
        <f t="array" ref="DW44">_xlfn.IFS(DV44&gt;DV$60,3,(AND(DV44&lt;DV$60,DV44&gt;DV$59)),2,DV44&lt;DV$59,1)</f>
        <v>2</v>
      </c>
      <c r="DX44" s="93">
        <v>4</v>
      </c>
      <c r="DY44" s="88" cm="1">
        <f t="array" ref="DY44">_xlfn.IFS(DX44&gt;6.99,1,AND(DX44 &gt; 3, DX44 &lt; 7),2,DX44&lt;3.99,3)</f>
        <v>2</v>
      </c>
      <c r="DZ44" s="94">
        <f t="shared" si="54"/>
        <v>2.8</v>
      </c>
      <c r="EA44" s="95">
        <v>302200</v>
      </c>
      <c r="EB44" s="82">
        <v>423600</v>
      </c>
      <c r="EC44" s="82">
        <v>2369</v>
      </c>
      <c r="ED44" s="82">
        <v>1</v>
      </c>
      <c r="EE44" s="82">
        <v>1</v>
      </c>
      <c r="EF44" s="82">
        <f t="shared" si="34"/>
        <v>2</v>
      </c>
      <c r="EG44" s="204" cm="1">
        <f t="array" ref="EG44">_xlfn.IFS(EF44=0, 1, EF44&gt;2, 3, 0&gt;EF44&gt;3,2)</f>
        <v>2</v>
      </c>
      <c r="EH44" s="82">
        <v>1</v>
      </c>
      <c r="EI44" s="82">
        <v>1</v>
      </c>
      <c r="EJ44" s="82">
        <f t="shared" si="35"/>
        <v>2</v>
      </c>
      <c r="EK44" s="82" cm="1">
        <f t="array" ref="EK44">_xlfn.IFS(EH44+EI44=0, 1, EH44+EI44&gt;5, 3, EH44+EI44=5, 2, 0&gt;EH44+EI44&gt;5, 2)</f>
        <v>2</v>
      </c>
      <c r="EL44" s="82">
        <v>6</v>
      </c>
      <c r="EM44" s="82">
        <v>10</v>
      </c>
      <c r="EN44" s="82" cm="1">
        <f t="array" ref="EN44">_xlfn.IFS(EL44+EM44=0, 1, EL44+EM44&gt;10, 3, EL44+EM44 = 10, 2, 0&gt;EL44+EM44&gt;10, 2)</f>
        <v>3</v>
      </c>
      <c r="EO44" s="96">
        <f t="shared" si="55"/>
        <v>2.333333333333333</v>
      </c>
      <c r="EP44" s="44">
        <v>0.5</v>
      </c>
      <c r="EQ44" s="61" cm="1">
        <f t="array" ref="EQ44">_xlfn.IFS(EP44=0, 1, EP44&gt;$EP$60, 3, EP44&lt;$EP$60, 2)</f>
        <v>2</v>
      </c>
      <c r="ER44" s="100">
        <v>0</v>
      </c>
      <c r="ES44" s="100" cm="1">
        <f t="array" ref="ES44">_xlfn.IFS(ER44=0, 1, ER44&gt;$ER$59, 3, ER44&lt;$ER$59, 2)</f>
        <v>1</v>
      </c>
      <c r="ET44" s="44">
        <v>0</v>
      </c>
      <c r="EU44" s="44" cm="1">
        <f t="array" ref="EU44">_xlfn.IFS(ET44=0, 1, ET44=1, 2, ET44&gt;1, 3)</f>
        <v>1</v>
      </c>
      <c r="EV44" s="413">
        <f t="shared" si="56"/>
        <v>1.2000000000000002</v>
      </c>
      <c r="EW44" s="82">
        <v>33.15</v>
      </c>
      <c r="EX44" s="210" cm="1">
        <f t="array" ref="EX44">_xlfn.IFS(EW44&gt;EX$60,3,(AND(EW44&lt;EX$60,EW44&gt;EX$59)),2,EW44&lt;EX$59,1)</f>
        <v>2</v>
      </c>
      <c r="EY44" s="253">
        <v>2951082056335.6577</v>
      </c>
      <c r="EZ44" s="210" cm="1">
        <f t="array" ref="EZ44">_xlfn.IFS(EY44&gt;EZ$60,3,(AND(EY44&lt;EZ$60,EY44&gt;EZ$59)),2,EY44&lt;EZ$59,1)</f>
        <v>3</v>
      </c>
      <c r="FA44" s="253">
        <v>186670302624967.5</v>
      </c>
      <c r="FB44" s="210" cm="1">
        <f t="array" ref="FB44">_xlfn.IFS(FA44&gt;FB$60,3,(AND(FA44&lt;FB$60,FA44&gt;FB$59)),2,FA44&lt;FB$59,1)</f>
        <v>3</v>
      </c>
      <c r="FC44" s="416">
        <f t="shared" si="57"/>
        <v>2.5</v>
      </c>
      <c r="FD44" s="81">
        <v>0.7</v>
      </c>
      <c r="FE44" s="81" cm="1">
        <f t="array" ref="FE44">_xlfn.IFS(FD44&gt;$FD$60, 3, FD44&lt;$FD$59, 1, FD44&gt;$FD$59, 2)</f>
        <v>1</v>
      </c>
      <c r="FF44" s="44">
        <v>1</v>
      </c>
      <c r="FG44" s="61" cm="1">
        <f t="array" ref="FG44">_xlfn.IFS(FF44&lt;$FF$59, 1, FF44&gt;$FF$60, 3, FF44 = $FF$60, 3, FF44&lt;$FF$60, 2)</f>
        <v>2</v>
      </c>
      <c r="FH44" s="97">
        <f t="shared" si="58"/>
        <v>1.4</v>
      </c>
      <c r="FI44" s="102">
        <v>0</v>
      </c>
      <c r="FJ44" s="44">
        <v>0</v>
      </c>
      <c r="FK44" s="98">
        <f t="shared" si="59"/>
        <v>0</v>
      </c>
      <c r="FL44" s="98" cm="1">
        <f t="array" ref="FL44">_xlfn.IFS(FK44&gt;$FK$60, 3, FK44&lt;$FK$59, 1, FK44&gt;$FK$59, 2, FK44=$FK$59, 2)</f>
        <v>1</v>
      </c>
      <c r="FM44" s="99">
        <f t="shared" si="60"/>
        <v>1</v>
      </c>
    </row>
    <row r="45" spans="1:169" ht="20.100000000000001" customHeight="1">
      <c r="A45" s="38" t="s">
        <v>145</v>
      </c>
      <c r="B45" s="44" t="s">
        <v>576</v>
      </c>
      <c r="C45" s="44">
        <v>2</v>
      </c>
      <c r="D45" s="44" t="s">
        <v>618</v>
      </c>
      <c r="E45" s="44">
        <v>2</v>
      </c>
      <c r="F45" s="61" t="s">
        <v>543</v>
      </c>
      <c r="G45" s="61" cm="1">
        <f t="array" ref="G45">_xlfn.IFS(F45= "Yes", 3, F45 &lt;&gt; "Yes", 1)</f>
        <v>1</v>
      </c>
      <c r="H45" s="44" t="s">
        <v>553</v>
      </c>
      <c r="I45" s="44">
        <v>3</v>
      </c>
      <c r="J45" s="44" t="s">
        <v>543</v>
      </c>
      <c r="K45" s="44">
        <v>1</v>
      </c>
      <c r="L45" s="193">
        <f t="shared" si="37"/>
        <v>1.95</v>
      </c>
      <c r="M45" s="44" t="s">
        <v>543</v>
      </c>
      <c r="N45" s="44"/>
      <c r="O45" s="44" t="s">
        <v>543</v>
      </c>
      <c r="P45" s="44">
        <v>1</v>
      </c>
      <c r="Q45" s="44" t="s">
        <v>543</v>
      </c>
      <c r="R45" s="44">
        <v>1</v>
      </c>
      <c r="S45" s="48" t="s">
        <v>543</v>
      </c>
      <c r="T45" s="44">
        <v>1</v>
      </c>
      <c r="U45" s="44" t="s">
        <v>543</v>
      </c>
      <c r="V45" s="44">
        <v>1</v>
      </c>
      <c r="W45" s="44" t="s">
        <v>543</v>
      </c>
      <c r="X45" s="44">
        <v>1</v>
      </c>
      <c r="Y45" s="85" t="s">
        <v>570</v>
      </c>
      <c r="Z45" s="44">
        <v>2</v>
      </c>
      <c r="AA45" s="72">
        <f t="shared" si="43"/>
        <v>0.875</v>
      </c>
      <c r="AB45" s="39" t="s">
        <v>543</v>
      </c>
      <c r="AC45" s="44" t="s">
        <v>542</v>
      </c>
      <c r="AD45" s="44">
        <v>1</v>
      </c>
      <c r="AE45" s="44" t="s">
        <v>561</v>
      </c>
      <c r="AF45" s="44" cm="1">
        <f t="array" ref="AF45">_xlfn.IFS(AE45="NA", 1, AE45="No", 1, AE45="Yes, implicit", 2, AE45="Yes, explicit", 3)</f>
        <v>3</v>
      </c>
      <c r="AG45" s="44" t="s">
        <v>556</v>
      </c>
      <c r="AH45" s="44" t="s">
        <v>556</v>
      </c>
      <c r="AI45" s="44">
        <v>3</v>
      </c>
      <c r="AJ45" s="73">
        <f t="shared" si="44"/>
        <v>1.8000000000000003</v>
      </c>
      <c r="AK45" s="76" t="s">
        <v>544</v>
      </c>
      <c r="AL45" s="74">
        <f t="shared" si="10"/>
        <v>1</v>
      </c>
      <c r="AM45" s="74" t="s">
        <v>545</v>
      </c>
      <c r="AN45" s="74">
        <f t="shared" si="11"/>
        <v>1</v>
      </c>
      <c r="AO45" s="74" t="s">
        <v>545</v>
      </c>
      <c r="AP45" s="74">
        <f t="shared" si="12"/>
        <v>1</v>
      </c>
      <c r="AQ45" s="75">
        <f t="shared" si="45"/>
        <v>0.30000000000000004</v>
      </c>
      <c r="AR45" s="74" t="s">
        <v>545</v>
      </c>
      <c r="AS45" s="74">
        <f t="shared" si="14"/>
        <v>1</v>
      </c>
      <c r="AT45" s="74" t="s">
        <v>545</v>
      </c>
      <c r="AU45" s="74">
        <f t="shared" si="15"/>
        <v>1</v>
      </c>
      <c r="AV45" s="74">
        <f t="shared" si="46"/>
        <v>0.2</v>
      </c>
      <c r="AW45" s="76" t="s">
        <v>545</v>
      </c>
      <c r="AX45" s="195">
        <f t="shared" si="47"/>
        <v>0.4</v>
      </c>
      <c r="AY45" s="76" t="s">
        <v>546</v>
      </c>
      <c r="AZ45" s="76">
        <f t="shared" si="48"/>
        <v>3</v>
      </c>
      <c r="BA45" s="76" t="s">
        <v>545</v>
      </c>
      <c r="BB45" s="74">
        <f t="shared" si="18"/>
        <v>1</v>
      </c>
      <c r="BC45" s="76" t="s">
        <v>545</v>
      </c>
      <c r="BD45" s="74">
        <f t="shared" si="49"/>
        <v>1</v>
      </c>
      <c r="BE45" s="76">
        <f t="shared" si="50"/>
        <v>0.5</v>
      </c>
      <c r="BF45" s="76"/>
      <c r="BG45" s="76"/>
      <c r="BH45" s="77">
        <f t="shared" si="38"/>
        <v>0</v>
      </c>
      <c r="BI45" s="77">
        <f t="shared" si="39"/>
        <v>0</v>
      </c>
      <c r="BJ45" s="77">
        <f t="shared" si="40"/>
        <v>0</v>
      </c>
      <c r="BK45" s="77">
        <f t="shared" si="41"/>
        <v>0</v>
      </c>
      <c r="BL45" s="78">
        <f t="shared" si="51"/>
        <v>1.4000000000000001</v>
      </c>
      <c r="BM45" s="76" t="s">
        <v>545</v>
      </c>
      <c r="BN45" s="197" cm="1">
        <f t="array" ref="BN45">_xlfn.IFS(BM45="Y", 3, BM45="N", 2)</f>
        <v>2</v>
      </c>
      <c r="BO45" s="76" t="s">
        <v>545</v>
      </c>
      <c r="BP45" s="197" cm="1">
        <f t="array" ref="BP45">_xlfn.IFS(BO45="Y", 3, BO45="N", 2)</f>
        <v>2</v>
      </c>
      <c r="BQ45" s="79">
        <f t="shared" si="61"/>
        <v>2</v>
      </c>
      <c r="BR45" s="44">
        <v>7300</v>
      </c>
      <c r="BS45" s="44">
        <f t="shared" si="23"/>
        <v>7300000</v>
      </c>
      <c r="BT45" s="44">
        <f t="shared" si="24"/>
        <v>11406.25</v>
      </c>
      <c r="BU45" s="80">
        <v>44743</v>
      </c>
      <c r="BV45" s="81">
        <f t="shared" si="25"/>
        <v>25.492814518472162</v>
      </c>
      <c r="BW45" s="82" cm="1">
        <f t="array" ref="BW45">_xlfn.IFS(BV45&gt;44, 3, BV45&lt;26, 1, 44&gt;BV45&gt;26, 2)</f>
        <v>1</v>
      </c>
      <c r="BX45" s="82">
        <v>10227449</v>
      </c>
      <c r="BY45" s="82" cm="1">
        <f t="array" ref="BY45">_xlfn.IFS(BX45&gt;12000000, 3, BX45&lt;4000000, 1, 4000000&gt;BX45&gt;12000000, 2)</f>
        <v>2</v>
      </c>
      <c r="BZ45" s="80">
        <v>5.2154622506109884</v>
      </c>
      <c r="CA45" s="82" cm="1">
        <f t="array" ref="CA45">_xlfn.IFS(BZ45&gt;$BZ$60, 1, BZ45&lt;$BZ$59, 3, BZ45&gt;$BZ$59, 2, BZ45=$BZ$59, 2)</f>
        <v>3</v>
      </c>
      <c r="CB45" s="413">
        <f t="shared" si="52"/>
        <v>1.9499999999999997</v>
      </c>
      <c r="CC45" s="44">
        <v>7736515</v>
      </c>
      <c r="CD45" s="44" cm="1">
        <f t="array" ref="CD45">_xlfn.IFS(CC45&gt;4200000, 3, CC45&lt;1700000, 1, 4200000&gt;CC45&gt;1700000, 2)</f>
        <v>3</v>
      </c>
      <c r="CE45" s="44">
        <v>539614.69000000006</v>
      </c>
      <c r="CF45" s="44" cm="1">
        <f t="array" ref="CF45">_xlfn.IFS(CE45&lt;120000, 1, CE45&gt;620000, 3, 620000&gt;CE45&gt;120000, 2)</f>
        <v>2</v>
      </c>
      <c r="CG45" s="44">
        <v>809675.5</v>
      </c>
      <c r="CH45" s="44" cm="1">
        <f t="array" ref="CH45">_xlfn.IFS(CG45&lt;300000, 1, CG45&gt;1700000, 3, 300000&gt;CG45&gt;170000, 2)</f>
        <v>2</v>
      </c>
      <c r="CI45" s="44">
        <v>35.186460320000002</v>
      </c>
      <c r="CJ45" s="61" cm="1">
        <f t="array" ref="CJ45">_xlfn.IFS(CI45&lt;$CI$60, 1, CI45&gt;$CI$61, 3, CI45&lt;$CI$61, 2)</f>
        <v>1</v>
      </c>
      <c r="CK45" s="205">
        <f t="shared" si="27"/>
        <v>1.95</v>
      </c>
      <c r="CL45" s="44">
        <v>4421779</v>
      </c>
      <c r="CM45" s="48" cm="1">
        <f t="array" ref="CM45">_xlfn.IFS(CL45&gt;4600000, 3, CL45&lt;430000, 1, 4600000&gt;CL45&gt;430000, 2)</f>
        <v>2</v>
      </c>
      <c r="CN45" s="72">
        <f t="shared" si="53"/>
        <v>2</v>
      </c>
      <c r="CO45" s="39">
        <v>0</v>
      </c>
      <c r="CP45" s="65" cm="1">
        <f t="array" ref="CP45">_xlfn.IFS(CO45=0, 1, CO45="active", 3, CO45="permitted", 2)</f>
        <v>1</v>
      </c>
      <c r="CQ45" s="39">
        <v>0</v>
      </c>
      <c r="CR45" s="39" cm="1">
        <f t="array" ref="CR45">_xlfn.IFS(CQ45=0, 1, CQ45&lt;&gt;0, 3)</f>
        <v>1</v>
      </c>
      <c r="CS45" s="72">
        <v>1</v>
      </c>
      <c r="CT45" s="44" t="s">
        <v>545</v>
      </c>
      <c r="CU45" s="82">
        <v>0</v>
      </c>
      <c r="CV45" s="84">
        <v>46054</v>
      </c>
      <c r="CW45" s="39" t="s">
        <v>542</v>
      </c>
      <c r="CX45" s="207" cm="1">
        <f t="array" ref="CX45">_xlfn.IFS(CT45="N", 0, CW45&lt;$CW$61, 2, CW45 = $CW$61, 2, CW45&gt;$CW$61, 3)</f>
        <v>0</v>
      </c>
      <c r="CY45" s="207" t="s">
        <v>542</v>
      </c>
      <c r="CZ45" s="207" t="str" cm="1">
        <f t="array" ref="CZ45">_xlfn.IFS(CY45="NA", "NA", CY45=0, 1, CY45=1, 2, CY45&gt;1, 3)</f>
        <v>NA</v>
      </c>
      <c r="DA45" s="201">
        <f t="shared" si="28"/>
        <v>0</v>
      </c>
      <c r="DB45" s="101">
        <v>1585</v>
      </c>
      <c r="DC45" s="61" cm="1">
        <f t="array" ref="DC45">_xlfn.IFS(DB45&gt;$DB$61, 3, DB45=0, 1, DB45&lt;$DB$61, 2, DB45=$DB$61, 2)</f>
        <v>3</v>
      </c>
      <c r="DD45" s="87">
        <v>16642</v>
      </c>
      <c r="DE45" s="44" cm="1">
        <f t="array" ref="DE45">_xlfn.IFS(DD45&gt;$DD$62, 3, DD45&lt;$DD$60, 1, DD45&gt;$DD$60, 2, DD45=$DD$60, 2)</f>
        <v>3</v>
      </c>
      <c r="DF45" s="44">
        <v>18455</v>
      </c>
      <c r="DG45" s="61" cm="1">
        <f t="array" ref="DG45">_xlfn.IFS(DF45=0, 1, DF45&lt;$DF$61, 2, DF45&gt;$DF$61, 3)</f>
        <v>3</v>
      </c>
      <c r="DH45" s="415">
        <f t="shared" si="29"/>
        <v>2.9999999999999964</v>
      </c>
      <c r="DI45" s="82">
        <v>1095173472</v>
      </c>
      <c r="DJ45" s="82">
        <f t="shared" si="30"/>
        <v>125019.80273972603</v>
      </c>
      <c r="DK45" s="88">
        <v>14469.800000000005</v>
      </c>
      <c r="DL45" s="89">
        <f t="shared" si="31"/>
        <v>0.11574006423705635</v>
      </c>
      <c r="DM45" s="88" cm="1">
        <f t="array" ref="DM45">_xlfn.IFS(DL45&gt;$DL$60,3,(AND(DL45&lt;$DL$60,DL45&gt;$DL$59)),2,DL45&lt;$DL$59,1)</f>
        <v>1</v>
      </c>
      <c r="DN45" s="88">
        <v>7207</v>
      </c>
      <c r="DO45" s="90">
        <f t="shared" si="32"/>
        <v>6.5806926338697874E-3</v>
      </c>
      <c r="DP45" s="88" cm="1">
        <f t="array" ref="DP45">_xlfn.IFS(DO45&gt;DO$60,3,(AND(DO45&lt;DO$60,DO45&gt;DO$59)),2,DO45&lt;DO$59,1)</f>
        <v>1</v>
      </c>
      <c r="DQ45" s="91">
        <v>23190.699999999997</v>
      </c>
      <c r="DR45" s="92">
        <f t="shared" si="33"/>
        <v>0.13836136112640784</v>
      </c>
      <c r="DS45" s="88" cm="1">
        <f t="array" ref="DS45">_xlfn.IFS(DR45&gt;DR$60,3,(AND(DR45&lt;DR$60,DR45&gt;DR$59)),2,DR45&lt;DR$59,1)</f>
        <v>1</v>
      </c>
      <c r="DT45" s="91" t="s">
        <v>563</v>
      </c>
      <c r="DU45" s="213" cm="1">
        <f t="array" ref="DU45">_xlfn.IFS(DT45="no data","",DT45="40-45", 1, DT45= "45-50", 1, DT45="50-55", 1, DT45 ="30-35", 2, DT45="25-30", 2, DT45="35-40", 2, DT45="20-25", 3, DT45="15-20", 3)</f>
        <v>2</v>
      </c>
      <c r="DV45" s="88">
        <v>1877600016.7552357</v>
      </c>
      <c r="DW45" s="88" cm="1">
        <f t="array" ref="DW45">_xlfn.IFS(DV45&gt;DV$60,3,(AND(DV45&lt;DV$60,DV45&gt;DV$59)),2,DV45&lt;DV$59,1)</f>
        <v>1</v>
      </c>
      <c r="DX45" s="93">
        <v>6</v>
      </c>
      <c r="DY45" s="88" cm="1">
        <f t="array" ref="DY45">_xlfn.IFS(DX45&gt;6.99,1,AND(DX45 &gt; 3, DX45 &lt; 7),2,DX45&lt;3.99,3)</f>
        <v>2</v>
      </c>
      <c r="DZ45" s="94">
        <f t="shared" si="54"/>
        <v>1.2</v>
      </c>
      <c r="EA45" s="95">
        <v>960200</v>
      </c>
      <c r="EB45" s="82">
        <v>1074900</v>
      </c>
      <c r="EC45" s="82">
        <v>5228</v>
      </c>
      <c r="ED45" s="82">
        <v>0</v>
      </c>
      <c r="EE45" s="82">
        <v>0</v>
      </c>
      <c r="EF45" s="82">
        <f t="shared" si="34"/>
        <v>0</v>
      </c>
      <c r="EG45" s="204" cm="1">
        <f t="array" ref="EG45">_xlfn.IFS(EF45=0, 1, EF45&gt;2, 3, 0&gt;EF45&gt;3,2)</f>
        <v>1</v>
      </c>
      <c r="EH45" s="82">
        <v>0</v>
      </c>
      <c r="EI45" s="82">
        <v>0</v>
      </c>
      <c r="EJ45" s="82">
        <f t="shared" si="35"/>
        <v>0</v>
      </c>
      <c r="EK45" s="82" cm="1">
        <f t="array" ref="EK45">_xlfn.IFS(EH45+EI45=0, 1, EH45+EI45&gt;5, 3, EH45+EI45=5, 2, 0&gt;EH45+EI45&gt;5, 2)</f>
        <v>1</v>
      </c>
      <c r="EL45" s="82">
        <v>0</v>
      </c>
      <c r="EM45" s="82">
        <v>1</v>
      </c>
      <c r="EN45" s="82" cm="1">
        <f t="array" ref="EN45">_xlfn.IFS(EL45+EM45=0, 1, EL45+EM45&gt;10, 3, EL45+EM45 = 10, 2, 0&gt;EL45+EM45&gt;10, 2)</f>
        <v>2</v>
      </c>
      <c r="EO45" s="96">
        <f t="shared" si="55"/>
        <v>1.3333333333333333</v>
      </c>
      <c r="EP45" s="44">
        <v>1</v>
      </c>
      <c r="EQ45" s="61" cm="1">
        <f t="array" ref="EQ45">_xlfn.IFS(EP45=0, 1, EP45&gt;$EP$60, 3, EP45&lt;$EP$60, 2)</f>
        <v>2</v>
      </c>
      <c r="ER45" s="100">
        <v>0</v>
      </c>
      <c r="ES45" s="100" cm="1">
        <f t="array" ref="ES45">_xlfn.IFS(ER45=0, 1, ER45&gt;$ER$59, 3, ER45&lt;$ER$59, 2)</f>
        <v>1</v>
      </c>
      <c r="ET45" s="44">
        <v>0</v>
      </c>
      <c r="EU45" s="44" cm="1">
        <f t="array" ref="EU45">_xlfn.IFS(ET45=0, 1, ET45=1, 2, ET45&gt;1, 3)</f>
        <v>1</v>
      </c>
      <c r="EV45" s="413">
        <f t="shared" si="56"/>
        <v>1.2000000000000002</v>
      </c>
      <c r="EW45" s="82">
        <v>18.95</v>
      </c>
      <c r="EX45" s="210" cm="1">
        <f t="array" ref="EX45">_xlfn.IFS(EW45&gt;EX$60,3,(AND(EW45&lt;EX$60,EW45&gt;EX$59)),2,EW45&lt;EX$59,1)</f>
        <v>2</v>
      </c>
      <c r="EY45" s="253">
        <v>30140446403.278255</v>
      </c>
      <c r="EZ45" s="210" cm="1">
        <f t="array" ref="EZ45">_xlfn.IFS(EY45&gt;EZ$60,3,(AND(EY45&lt;EZ$60,EY45&gt;EZ$59)),2,EY45&lt;EZ$59,1)</f>
        <v>3</v>
      </c>
      <c r="FA45" s="253">
        <v>2927954638200</v>
      </c>
      <c r="FB45" s="210" cm="1">
        <f t="array" ref="FB45">_xlfn.IFS(FA45&gt;FB$60,3,(AND(FA45&lt;FB$60,FA45&gt;FB$59)),2,FA45&lt;FB$59,1)</f>
        <v>3</v>
      </c>
      <c r="FC45" s="416">
        <f t="shared" si="57"/>
        <v>2.5</v>
      </c>
      <c r="FD45" s="81">
        <v>2.09</v>
      </c>
      <c r="FE45" s="81" cm="1">
        <f t="array" ref="FE45">_xlfn.IFS(FD45&gt;$FD$60, 3, FD45&lt;$FD$59, 1, FD45&gt;$FD$59, 2)</f>
        <v>3</v>
      </c>
      <c r="FF45" s="44">
        <v>7</v>
      </c>
      <c r="FG45" s="61" cm="1">
        <f t="array" ref="FG45">_xlfn.IFS(FF45&lt;$FF$59, 1, FF45&gt;$FF$60, 3, FF45 = $FF$60, 3, FF45&lt;$FF$60, 2)</f>
        <v>3</v>
      </c>
      <c r="FH45" s="97">
        <f t="shared" si="58"/>
        <v>3</v>
      </c>
      <c r="FI45" s="102">
        <v>2</v>
      </c>
      <c r="FJ45" s="44">
        <v>2</v>
      </c>
      <c r="FK45" s="98">
        <f t="shared" si="59"/>
        <v>4</v>
      </c>
      <c r="FL45" s="98" cm="1">
        <f t="array" ref="FL45">_xlfn.IFS(FK45&gt;$FK$60, 3, FK45&lt;$FK$59, 1, FK45&gt;$FK$59, 2, FK45=$FK$59, 2)</f>
        <v>2</v>
      </c>
      <c r="FM45" s="99">
        <f t="shared" si="60"/>
        <v>2</v>
      </c>
    </row>
    <row r="46" spans="1:169" ht="20.100000000000001" customHeight="1">
      <c r="A46" s="38" t="s">
        <v>146</v>
      </c>
      <c r="B46" s="44" t="s">
        <v>564</v>
      </c>
      <c r="C46" s="44">
        <v>3</v>
      </c>
      <c r="D46" s="44" t="s">
        <v>619</v>
      </c>
      <c r="E46" s="44">
        <v>3</v>
      </c>
      <c r="F46" s="61" t="s">
        <v>543</v>
      </c>
      <c r="G46" s="61" cm="1">
        <f t="array" ref="G46">_xlfn.IFS(F46= "Yes", 3, F46 &lt;&gt; "Yes", 1)</f>
        <v>1</v>
      </c>
      <c r="H46" s="44" t="s">
        <v>553</v>
      </c>
      <c r="I46" s="44">
        <v>3</v>
      </c>
      <c r="J46" s="44" t="s">
        <v>543</v>
      </c>
      <c r="K46" s="44">
        <v>1</v>
      </c>
      <c r="L46" s="193">
        <f t="shared" si="37"/>
        <v>2.4</v>
      </c>
      <c r="M46" s="48" t="s">
        <v>543</v>
      </c>
      <c r="N46" s="44">
        <v>1</v>
      </c>
      <c r="O46" s="44" t="s">
        <v>543</v>
      </c>
      <c r="P46" s="44">
        <v>1</v>
      </c>
      <c r="Q46" s="44" t="s">
        <v>543</v>
      </c>
      <c r="R46" s="44">
        <v>1</v>
      </c>
      <c r="S46" s="48" t="s">
        <v>543</v>
      </c>
      <c r="T46" s="44">
        <v>1</v>
      </c>
      <c r="U46" s="44" t="s">
        <v>543</v>
      </c>
      <c r="V46" s="44">
        <v>1</v>
      </c>
      <c r="W46" s="44" t="s">
        <v>543</v>
      </c>
      <c r="X46" s="44">
        <v>1</v>
      </c>
      <c r="Y46" s="85" t="s">
        <v>570</v>
      </c>
      <c r="Z46" s="44">
        <v>2</v>
      </c>
      <c r="AA46" s="72">
        <f t="shared" si="43"/>
        <v>1.0749999999999997</v>
      </c>
      <c r="AB46" s="39" t="s">
        <v>543</v>
      </c>
      <c r="AC46" s="44" t="s">
        <v>542</v>
      </c>
      <c r="AD46" s="44">
        <v>1</v>
      </c>
      <c r="AE46" s="44" t="s">
        <v>561</v>
      </c>
      <c r="AF46" s="44" cm="1">
        <f t="array" ref="AF46">_xlfn.IFS(AE46="NA", 1, AE46="No", 1, AE46="Yes, implicit", 2, AE46="Yes, explicit", 3)</f>
        <v>3</v>
      </c>
      <c r="AG46" s="44" t="s">
        <v>543</v>
      </c>
      <c r="AH46" s="44" t="s">
        <v>543</v>
      </c>
      <c r="AI46" s="44">
        <v>1</v>
      </c>
      <c r="AJ46" s="73">
        <f t="shared" si="44"/>
        <v>1.4000000000000001</v>
      </c>
      <c r="AK46" s="76" t="s">
        <v>544</v>
      </c>
      <c r="AL46" s="74">
        <f t="shared" si="10"/>
        <v>1</v>
      </c>
      <c r="AM46" s="74" t="s">
        <v>545</v>
      </c>
      <c r="AN46" s="74">
        <f t="shared" si="11"/>
        <v>1</v>
      </c>
      <c r="AO46" s="74" t="s">
        <v>545</v>
      </c>
      <c r="AP46" s="74">
        <f t="shared" si="12"/>
        <v>1</v>
      </c>
      <c r="AQ46" s="75">
        <f t="shared" si="45"/>
        <v>0.30000000000000004</v>
      </c>
      <c r="AR46" s="74" t="s">
        <v>545</v>
      </c>
      <c r="AS46" s="74">
        <f t="shared" si="14"/>
        <v>1</v>
      </c>
      <c r="AT46" s="74" t="s">
        <v>545</v>
      </c>
      <c r="AU46" s="74">
        <f t="shared" si="15"/>
        <v>1</v>
      </c>
      <c r="AV46" s="74">
        <f t="shared" si="46"/>
        <v>0.2</v>
      </c>
      <c r="AW46" s="76" t="s">
        <v>545</v>
      </c>
      <c r="AX46" s="195">
        <f t="shared" si="47"/>
        <v>0.4</v>
      </c>
      <c r="AY46" s="76" t="s">
        <v>545</v>
      </c>
      <c r="AZ46" s="76">
        <f t="shared" si="48"/>
        <v>1</v>
      </c>
      <c r="BA46" s="76" t="s">
        <v>545</v>
      </c>
      <c r="BB46" s="74">
        <f t="shared" si="18"/>
        <v>1</v>
      </c>
      <c r="BC46" s="76" t="s">
        <v>181</v>
      </c>
      <c r="BD46" s="74">
        <f t="shared" si="49"/>
        <v>3</v>
      </c>
      <c r="BE46" s="76">
        <f t="shared" si="50"/>
        <v>0.5</v>
      </c>
      <c r="BF46" s="76"/>
      <c r="BG46" s="76"/>
      <c r="BH46" s="77">
        <f t="shared" si="38"/>
        <v>0</v>
      </c>
      <c r="BI46" s="77">
        <f t="shared" si="39"/>
        <v>0</v>
      </c>
      <c r="BJ46" s="77">
        <f t="shared" si="40"/>
        <v>0</v>
      </c>
      <c r="BK46" s="77">
        <f t="shared" si="41"/>
        <v>0</v>
      </c>
      <c r="BL46" s="78">
        <f t="shared" si="51"/>
        <v>1.4000000000000001</v>
      </c>
      <c r="BM46" s="76" t="s">
        <v>181</v>
      </c>
      <c r="BN46" s="197" cm="1">
        <f t="array" ref="BN46">_xlfn.IFS(BM46="Y", 3, BM46="N", 2)</f>
        <v>3</v>
      </c>
      <c r="BO46" s="76" t="s">
        <v>181</v>
      </c>
      <c r="BP46" s="197" cm="1">
        <f t="array" ref="BP46">_xlfn.IFS(BO46="Y", 3, BO46="N", 2)</f>
        <v>3</v>
      </c>
      <c r="BQ46" s="79">
        <f t="shared" si="61"/>
        <v>3</v>
      </c>
      <c r="BR46" s="44">
        <v>60</v>
      </c>
      <c r="BS46" s="44">
        <f t="shared" si="23"/>
        <v>60000</v>
      </c>
      <c r="BT46" s="44">
        <f t="shared" si="24"/>
        <v>93.75</v>
      </c>
      <c r="BU46" s="80">
        <v>1034</v>
      </c>
      <c r="BV46" s="81">
        <f t="shared" si="25"/>
        <v>9.0667311411992255</v>
      </c>
      <c r="BW46" s="82" cm="1">
        <f t="array" ref="BW46">_xlfn.IFS(BV46&gt;44, 3, BV46&lt;26, 1, 44&gt;BV46&gt;26, 2)</f>
        <v>1</v>
      </c>
      <c r="BX46" s="82">
        <v>81267</v>
      </c>
      <c r="BY46" s="82" cm="1">
        <f t="array" ref="BY46">_xlfn.IFS(BX46&gt;12000000, 3, BX46&lt;4000000, 1, 4000000&gt;BX46&gt;12000000, 2)</f>
        <v>1</v>
      </c>
      <c r="BZ46" s="80">
        <v>5.2055259086266208</v>
      </c>
      <c r="CA46" s="82" cm="1">
        <f t="array" ref="CA46">_xlfn.IFS(BZ46&gt;$BZ$60, 1, BZ46&lt;$BZ$59, 3, BZ46&gt;$BZ$59, 2, BZ46=$BZ$59, 2)</f>
        <v>3</v>
      </c>
      <c r="CB46" s="413">
        <f t="shared" si="52"/>
        <v>1.6999999999999997</v>
      </c>
      <c r="CC46" s="44">
        <v>557022</v>
      </c>
      <c r="CD46" s="44" cm="1">
        <f t="array" ref="CD46">_xlfn.IFS(CC46&gt;4200000, 3, CC46&lt;1700000, 1, 4200000&gt;CC46&gt;1700000, 2)</f>
        <v>1</v>
      </c>
      <c r="CE46" s="44">
        <v>19672.57</v>
      </c>
      <c r="CF46" s="44" cm="1">
        <f t="array" ref="CF46">_xlfn.IFS(CE46&lt;120000, 1, CE46&gt;620000, 3, 620000&gt;CE46&gt;120000, 2)</f>
        <v>1</v>
      </c>
      <c r="CG46" s="44">
        <v>539.4</v>
      </c>
      <c r="CH46" s="44" cm="1">
        <f t="array" ref="CH46">_xlfn.IFS(CG46&lt;300000, 1, CG46&gt;1700000, 3, 300000&gt;CG46&gt;170000, 2)</f>
        <v>1</v>
      </c>
      <c r="CI46" s="44">
        <v>28.04963411</v>
      </c>
      <c r="CJ46" s="61" cm="1">
        <f t="array" ref="CJ46">_xlfn.IFS(CI46&lt;$CI$60, 1, CI46&gt;$CI$61, 3, CI46&lt;$CI$61, 2)</f>
        <v>1</v>
      </c>
      <c r="CK46" s="205">
        <f t="shared" si="27"/>
        <v>1</v>
      </c>
      <c r="CL46" s="44">
        <v>20842</v>
      </c>
      <c r="CM46" s="48" cm="1">
        <f t="array" ref="CM46">_xlfn.IFS(CL46&gt;4600000, 3, CL46&lt;430000, 1, 4600000&gt;CL46&gt;430000, 2)</f>
        <v>1</v>
      </c>
      <c r="CN46" s="72">
        <f t="shared" si="53"/>
        <v>1</v>
      </c>
      <c r="CO46" s="39" t="s">
        <v>549</v>
      </c>
      <c r="CP46" s="65" cm="1">
        <f t="array" ref="CP46">_xlfn.IFS(CO46=0, 1, CO46="active", 3, CO46="permitted", 2)</f>
        <v>3</v>
      </c>
      <c r="CQ46" s="39">
        <v>0</v>
      </c>
      <c r="CR46" s="39" cm="1">
        <f t="array" ref="CR46">_xlfn.IFS(CQ46=0, 1, CQ46&lt;&gt;0, 3)</f>
        <v>1</v>
      </c>
      <c r="CS46" s="72">
        <v>3</v>
      </c>
      <c r="CT46" s="48" t="s">
        <v>181</v>
      </c>
      <c r="CU46" s="48">
        <v>330</v>
      </c>
      <c r="CV46" s="107">
        <v>1545</v>
      </c>
      <c r="CW46" s="39">
        <f>CU46/CV46</f>
        <v>0.21359223300970873</v>
      </c>
      <c r="CX46" s="207" cm="1">
        <f t="array" ref="CX46">_xlfn.IFS(CT46="N", 0, CW46&lt;$CW$61, 2, CW46 = $CW$61, 2, CW46&gt;$CW$61, 3)</f>
        <v>3</v>
      </c>
      <c r="CY46" s="207">
        <v>0</v>
      </c>
      <c r="CZ46" s="207" cm="1">
        <f t="array" ref="CZ46">_xlfn.IFS(CY46="NA", "NA", CY46=0, 1, CY46=1, 2, CY46&gt;1, 3)</f>
        <v>1</v>
      </c>
      <c r="DA46" s="201">
        <f t="shared" si="28"/>
        <v>2.5</v>
      </c>
      <c r="DB46" s="86">
        <v>0</v>
      </c>
      <c r="DC46" s="61" cm="1">
        <f t="array" ref="DC46">_xlfn.IFS(DB46&gt;$DB$61, 3, DB46=0, 1, DB46&lt;$DB$61, 2, DB46=$DB$61, 2)</f>
        <v>1</v>
      </c>
      <c r="DD46" s="87">
        <v>2009</v>
      </c>
      <c r="DE46" s="44" cm="1">
        <f t="array" ref="DE46">_xlfn.IFS(DD46&gt;$DD$62, 3, DD46&lt;$DD$60, 1, DD46&gt;$DD$60, 2, DD46=$DD$60, 2)</f>
        <v>1</v>
      </c>
      <c r="DF46" s="44">
        <v>0</v>
      </c>
      <c r="DG46" s="61" cm="1">
        <f t="array" ref="DG46">_xlfn.IFS(DF46=0, 1, DF46&lt;$DF$61, 2, DF46&gt;$DF$61, 3)</f>
        <v>1</v>
      </c>
      <c r="DH46" s="415">
        <f t="shared" si="29"/>
        <v>0.99999999999999889</v>
      </c>
      <c r="DI46" s="82">
        <v>54701715</v>
      </c>
      <c r="DJ46" s="82">
        <f t="shared" si="30"/>
        <v>6244.4880136986303</v>
      </c>
      <c r="DK46" s="88">
        <v>434.20000000000005</v>
      </c>
      <c r="DL46" s="89">
        <f t="shared" si="31"/>
        <v>6.9533322675532208E-2</v>
      </c>
      <c r="DM46" s="88" cm="1">
        <f t="array" ref="DM46">_xlfn.IFS(DL46&gt;$DL$60,3,(AND(DL46&lt;$DL$60,DL46&gt;$DL$59)),2,DL46&lt;$DL$59,1)</f>
        <v>1</v>
      </c>
      <c r="DN46" s="88">
        <v>871</v>
      </c>
      <c r="DO46" s="90">
        <f t="shared" si="32"/>
        <v>1.5922718327935421E-2</v>
      </c>
      <c r="DP46" s="88" cm="1">
        <f t="array" ref="DP46">_xlfn.IFS(DO46&gt;DO$60,3,(AND(DO46&lt;DO$60,DO46&gt;DO$59)),2,DO46&lt;DO$59,1)</f>
        <v>2</v>
      </c>
      <c r="DQ46" s="91">
        <v>1918.5</v>
      </c>
      <c r="DR46" s="92">
        <f t="shared" si="33"/>
        <v>0.21868221752271894</v>
      </c>
      <c r="DS46" s="88" cm="1">
        <f t="array" ref="DS46">_xlfn.IFS(DR46&gt;DR$60,3,(AND(DR46&lt;DR$60,DR46&gt;DR$59)),2,DR46&lt;DR$59,1)</f>
        <v>2</v>
      </c>
      <c r="DT46" s="91" t="s">
        <v>590</v>
      </c>
      <c r="DU46" s="213" cm="1">
        <f t="array" ref="DU46">_xlfn.IFS(DT46="no data","",DT46="40-45", 1, DT46= "45-50", 1, DT46="50-55", 1, DT46 ="30-35", 2, DT46="25-30", 2, DT46="35-40", 2, DT46="20-25", 3, DT46="15-20", 3)</f>
        <v>1</v>
      </c>
      <c r="DV46" s="88">
        <v>148084896.79032367</v>
      </c>
      <c r="DW46" s="88" cm="1">
        <f t="array" ref="DW46">_xlfn.IFS(DV46&gt;DV$60,3,(AND(DV46&lt;DV$60,DV46&gt;DV$59)),2,DV46&lt;DV$59,1)</f>
        <v>1</v>
      </c>
      <c r="DX46" s="93">
        <v>6</v>
      </c>
      <c r="DY46" s="88" cm="1">
        <f t="array" ref="DY46">_xlfn.IFS(DX46&gt;6.99,1,AND(DX46 &gt; 3, DX46 &lt; 7),2,DX46&lt;3.99,3)</f>
        <v>2</v>
      </c>
      <c r="DZ46" s="94">
        <f t="shared" si="54"/>
        <v>1.5</v>
      </c>
      <c r="EA46" s="102">
        <v>500</v>
      </c>
      <c r="EB46" s="82">
        <v>6500</v>
      </c>
      <c r="EC46" s="44">
        <v>143</v>
      </c>
      <c r="ED46" s="44">
        <v>0</v>
      </c>
      <c r="EE46" s="82">
        <v>0</v>
      </c>
      <c r="EF46" s="82">
        <f t="shared" si="34"/>
        <v>0</v>
      </c>
      <c r="EG46" s="204" cm="1">
        <f t="array" ref="EG46">_xlfn.IFS(EF46=0, 1, EF46&gt;2, 3, 0&gt;EF46&gt;3,2)</f>
        <v>1</v>
      </c>
      <c r="EH46" s="82">
        <v>0</v>
      </c>
      <c r="EI46" s="82">
        <v>0</v>
      </c>
      <c r="EJ46" s="82">
        <f t="shared" si="35"/>
        <v>0</v>
      </c>
      <c r="EK46" s="82" cm="1">
        <f t="array" ref="EK46">_xlfn.IFS(EH46+EI46=0, 1, EH46+EI46&gt;5, 3, EH46+EI46=5, 2, 0&gt;EH46+EI46&gt;5, 2)</f>
        <v>1</v>
      </c>
      <c r="EL46" s="82">
        <v>0</v>
      </c>
      <c r="EM46" s="82">
        <v>0</v>
      </c>
      <c r="EN46" s="82" cm="1">
        <f t="array" ref="EN46">_xlfn.IFS(EL46+EM46=0, 1, EL46+EM46&gt;10, 3, EL46+EM46 = 10, 2, 0&gt;EL46+EM46&gt;10, 2)</f>
        <v>1</v>
      </c>
      <c r="EO46" s="96">
        <f t="shared" si="55"/>
        <v>1</v>
      </c>
      <c r="EP46" s="44">
        <v>0</v>
      </c>
      <c r="EQ46" s="61" cm="1">
        <f t="array" ref="EQ46">_xlfn.IFS(EP46=0, 1, EP46&gt;$EP$60, 3, EP46&lt;$EP$60, 2)</f>
        <v>1</v>
      </c>
      <c r="ER46" s="100">
        <v>0</v>
      </c>
      <c r="ES46" s="100" cm="1">
        <f t="array" ref="ES46">_xlfn.IFS(ER46=0, 1, ER46&gt;$ER$59, 3, ER46&lt;$ER$59, 2)</f>
        <v>1</v>
      </c>
      <c r="ET46" s="44">
        <v>0</v>
      </c>
      <c r="EU46" s="44" cm="1">
        <f t="array" ref="EU46">_xlfn.IFS(ET46=0, 1, ET46=1, 2, ET46&gt;1, 3)</f>
        <v>1</v>
      </c>
      <c r="EV46" s="413">
        <f t="shared" si="56"/>
        <v>1</v>
      </c>
      <c r="EW46" s="82">
        <v>0</v>
      </c>
      <c r="EX46" s="210" cm="1">
        <f t="array" ref="EX46">_xlfn.IFS(EW46&gt;EX$60,3,(AND(EW46&lt;EX$60,EW46&gt;EX$59)),2,EW46&lt;EX$59,1)</f>
        <v>1</v>
      </c>
      <c r="EY46" s="82">
        <v>0</v>
      </c>
      <c r="EZ46" s="210" cm="1">
        <f t="array" ref="EZ46">_xlfn.IFS(EY46&gt;EZ$60,3,(AND(EY46&lt;EZ$60,EY46&gt;EZ$59)),2,EY46&lt;EZ$59,1)</f>
        <v>1</v>
      </c>
      <c r="FA46" s="82">
        <v>0</v>
      </c>
      <c r="FB46" s="210" cm="1">
        <f t="array" ref="FB46">_xlfn.IFS(FA46&gt;FB$60,3,(AND(FA46&lt;FB$60,FA46&gt;FB$59)),2,FA46&lt;FB$59,1)</f>
        <v>1</v>
      </c>
      <c r="FC46" s="416">
        <f t="shared" si="57"/>
        <v>1</v>
      </c>
      <c r="FD46" s="81">
        <v>0.09</v>
      </c>
      <c r="FE46" s="81" cm="1">
        <f t="array" ref="FE46">_xlfn.IFS(FD46&gt;$FD$60, 3, FD46&lt;$FD$59, 1, FD46&gt;$FD$59, 2)</f>
        <v>1</v>
      </c>
      <c r="FF46" s="44">
        <v>0</v>
      </c>
      <c r="FG46" s="61" cm="1">
        <f t="array" ref="FG46">_xlfn.IFS(FF46&lt;$FF$59, 1, FF46&gt;$FF$60, 3, FF46 = $FF$60, 3, FF46&lt;$FF$60, 2)</f>
        <v>1</v>
      </c>
      <c r="FH46" s="97">
        <f t="shared" si="58"/>
        <v>1</v>
      </c>
      <c r="FI46" s="102">
        <v>0</v>
      </c>
      <c r="FJ46" s="44">
        <v>0</v>
      </c>
      <c r="FK46" s="98">
        <f t="shared" si="59"/>
        <v>0</v>
      </c>
      <c r="FL46" s="98" cm="1">
        <f t="array" ref="FL46">_xlfn.IFS(FK46&gt;$FK$60, 3, FK46&lt;$FK$59, 1, FK46&gt;$FK$59, 2, FK46=$FK$59, 2)</f>
        <v>1</v>
      </c>
      <c r="FM46" s="99">
        <f t="shared" si="60"/>
        <v>1</v>
      </c>
    </row>
    <row r="47" spans="1:169" ht="20.100000000000001" customHeight="1">
      <c r="A47" s="38" t="s">
        <v>147</v>
      </c>
      <c r="B47" s="44" t="s">
        <v>541</v>
      </c>
      <c r="C47" s="44">
        <v>1</v>
      </c>
      <c r="D47" s="44" t="s">
        <v>542</v>
      </c>
      <c r="E47" s="44">
        <v>1</v>
      </c>
      <c r="F47" s="61" t="s">
        <v>543</v>
      </c>
      <c r="G47" s="61" cm="1">
        <f t="array" ref="G47">_xlfn.IFS(F47= "Yes", 3, F47 &lt;&gt; "Yes", 1)</f>
        <v>1</v>
      </c>
      <c r="H47" s="44" t="s">
        <v>553</v>
      </c>
      <c r="I47" s="44">
        <v>3</v>
      </c>
      <c r="J47" s="44" t="s">
        <v>543</v>
      </c>
      <c r="K47" s="44">
        <v>1</v>
      </c>
      <c r="L47" s="193">
        <f t="shared" si="37"/>
        <v>1.5</v>
      </c>
      <c r="M47" s="48" t="s">
        <v>543</v>
      </c>
      <c r="N47" s="44">
        <v>1</v>
      </c>
      <c r="O47" s="44" t="s">
        <v>543</v>
      </c>
      <c r="P47" s="44">
        <v>1</v>
      </c>
      <c r="Q47" s="44" t="s">
        <v>543</v>
      </c>
      <c r="R47" s="44">
        <v>1</v>
      </c>
      <c r="S47" s="48" t="s">
        <v>543</v>
      </c>
      <c r="T47" s="44">
        <v>1</v>
      </c>
      <c r="U47" s="44" t="s">
        <v>543</v>
      </c>
      <c r="V47" s="44">
        <v>1</v>
      </c>
      <c r="W47" s="44" t="s">
        <v>543</v>
      </c>
      <c r="X47" s="44">
        <v>1</v>
      </c>
      <c r="Y47" s="39" t="s">
        <v>543</v>
      </c>
      <c r="Z47" s="44">
        <v>1</v>
      </c>
      <c r="AA47" s="72">
        <f t="shared" si="43"/>
        <v>0.99999999999999978</v>
      </c>
      <c r="AB47" s="39" t="s">
        <v>543</v>
      </c>
      <c r="AC47" s="44" t="s">
        <v>542</v>
      </c>
      <c r="AD47" s="44">
        <v>1</v>
      </c>
      <c r="AE47" s="44" t="s">
        <v>543</v>
      </c>
      <c r="AF47" s="44" cm="1">
        <f t="array" ref="AF47">_xlfn.IFS(AE47="NA", 1, AE47="No", 1, AE47="Yes, implicit", 2, AE47="Yes, explicit", 3)</f>
        <v>1</v>
      </c>
      <c r="AG47" s="44" t="s">
        <v>543</v>
      </c>
      <c r="AH47" s="44" t="s">
        <v>543</v>
      </c>
      <c r="AI47" s="44">
        <v>1</v>
      </c>
      <c r="AJ47" s="73">
        <f t="shared" si="44"/>
        <v>1</v>
      </c>
      <c r="AK47" s="76" t="s">
        <v>544</v>
      </c>
      <c r="AL47" s="74">
        <f t="shared" si="10"/>
        <v>1</v>
      </c>
      <c r="AM47" s="74" t="s">
        <v>545</v>
      </c>
      <c r="AN47" s="74">
        <f t="shared" si="11"/>
        <v>1</v>
      </c>
      <c r="AO47" s="74" t="s">
        <v>545</v>
      </c>
      <c r="AP47" s="74">
        <f t="shared" si="12"/>
        <v>1</v>
      </c>
      <c r="AQ47" s="75">
        <f t="shared" si="45"/>
        <v>0.30000000000000004</v>
      </c>
      <c r="AR47" s="74" t="s">
        <v>545</v>
      </c>
      <c r="AS47" s="74">
        <f t="shared" si="14"/>
        <v>1</v>
      </c>
      <c r="AT47" s="74" t="s">
        <v>545</v>
      </c>
      <c r="AU47" s="74">
        <f t="shared" si="15"/>
        <v>1</v>
      </c>
      <c r="AV47" s="74">
        <f t="shared" si="46"/>
        <v>0.2</v>
      </c>
      <c r="AW47" s="76" t="s">
        <v>545</v>
      </c>
      <c r="AX47" s="195">
        <f t="shared" si="47"/>
        <v>0.4</v>
      </c>
      <c r="AY47" s="76" t="s">
        <v>545</v>
      </c>
      <c r="AZ47" s="76">
        <f t="shared" si="48"/>
        <v>1</v>
      </c>
      <c r="BA47" s="76" t="s">
        <v>545</v>
      </c>
      <c r="BB47" s="74">
        <f t="shared" si="18"/>
        <v>1</v>
      </c>
      <c r="BC47" s="76" t="s">
        <v>545</v>
      </c>
      <c r="BD47" s="74">
        <f t="shared" si="49"/>
        <v>1</v>
      </c>
      <c r="BE47" s="76">
        <f t="shared" si="50"/>
        <v>0.30000000000000004</v>
      </c>
      <c r="BF47" s="76"/>
      <c r="BG47" s="76"/>
      <c r="BH47" s="77">
        <f t="shared" si="38"/>
        <v>0</v>
      </c>
      <c r="BI47" s="77">
        <f t="shared" si="39"/>
        <v>0</v>
      </c>
      <c r="BJ47" s="77">
        <f t="shared" si="40"/>
        <v>0</v>
      </c>
      <c r="BK47" s="77">
        <f t="shared" si="41"/>
        <v>0</v>
      </c>
      <c r="BL47" s="78">
        <f t="shared" si="51"/>
        <v>1.2000000000000002</v>
      </c>
      <c r="BM47" s="76" t="s">
        <v>181</v>
      </c>
      <c r="BN47" s="197" cm="1">
        <f t="array" ref="BN47">_xlfn.IFS(BM47="Y", 3, BM47="N", 2)</f>
        <v>3</v>
      </c>
      <c r="BO47" s="76" t="s">
        <v>181</v>
      </c>
      <c r="BP47" s="197" cm="1">
        <f t="array" ref="BP47">_xlfn.IFS(BO47="Y", 3, BO47="N", 2)</f>
        <v>3</v>
      </c>
      <c r="BQ47" s="79">
        <f t="shared" si="61"/>
        <v>3</v>
      </c>
      <c r="BR47" s="44">
        <v>4800</v>
      </c>
      <c r="BS47" s="44">
        <f t="shared" si="23"/>
        <v>4800000</v>
      </c>
      <c r="BT47" s="44">
        <f t="shared" si="24"/>
        <v>7500</v>
      </c>
      <c r="BU47" s="80">
        <v>30061</v>
      </c>
      <c r="BV47" s="81">
        <f t="shared" si="25"/>
        <v>24.949269818036658</v>
      </c>
      <c r="BW47" s="82" cm="1">
        <f t="array" ref="BW47">_xlfn.IFS(BV47&gt;44, 3, BV47&lt;26, 1, 44&gt;BV47&gt;26, 2)</f>
        <v>1</v>
      </c>
      <c r="BX47" s="82">
        <v>3754785</v>
      </c>
      <c r="BY47" s="82" cm="1">
        <f t="array" ref="BY47">_xlfn.IFS(BX47&gt;12000000, 3, BX47&lt;4000000, 1, 4000000&gt;BX47&gt;12000000, 2)</f>
        <v>1</v>
      </c>
      <c r="BZ47" s="80">
        <v>5.2630663066325294</v>
      </c>
      <c r="CA47" s="82" cm="1">
        <f t="array" ref="CA47">_xlfn.IFS(BZ47&gt;$BZ$60, 1, BZ47&lt;$BZ$59, 3, BZ47&gt;$BZ$59, 2, BZ47=$BZ$59, 2)</f>
        <v>3</v>
      </c>
      <c r="CB47" s="413">
        <f t="shared" si="52"/>
        <v>1.6999999999999997</v>
      </c>
      <c r="CC47" s="44">
        <v>3640680</v>
      </c>
      <c r="CD47" s="44" cm="1">
        <f t="array" ref="CD47">_xlfn.IFS(CC47&gt;4200000, 3, CC47&lt;1700000, 1, 4200000&gt;CC47&gt;1700000, 2)</f>
        <v>2</v>
      </c>
      <c r="CE47" s="44">
        <v>1050314.0899999994</v>
      </c>
      <c r="CF47" s="44" cm="1">
        <f t="array" ref="CF47">_xlfn.IFS(CE47&lt;120000, 1, CE47&gt;620000, 3, 620000&gt;CE47&gt;120000, 2)</f>
        <v>3</v>
      </c>
      <c r="CG47" s="44">
        <v>398522.39999999973</v>
      </c>
      <c r="CH47" s="44" cm="1">
        <f t="array" ref="CH47">_xlfn.IFS(CG47&lt;300000, 1, CG47&gt;1700000, 3, 300000&gt;CG47&gt;170000, 2)</f>
        <v>2</v>
      </c>
      <c r="CI47" s="44">
        <v>51.42829476</v>
      </c>
      <c r="CJ47" s="61" cm="1">
        <f t="array" ref="CJ47">_xlfn.IFS(CI47&lt;$CI$60, 1, CI47&gt;$CI$61, 3, CI47&lt;$CI$61, 2)</f>
        <v>2</v>
      </c>
      <c r="CK47" s="205">
        <f t="shared" si="27"/>
        <v>2.2000000000000002</v>
      </c>
      <c r="CL47" s="44">
        <v>4748926</v>
      </c>
      <c r="CM47" s="48" cm="1">
        <f t="array" ref="CM47">_xlfn.IFS(CL47&gt;4600000, 3, CL47&lt;430000, 1, 4600000&gt;CL47&gt;430000, 2)</f>
        <v>3</v>
      </c>
      <c r="CN47" s="72">
        <f t="shared" si="53"/>
        <v>3</v>
      </c>
      <c r="CO47" s="39">
        <v>0</v>
      </c>
      <c r="CP47" s="65" cm="1">
        <f t="array" ref="CP47">_xlfn.IFS(CO47=0, 1, CO47="active", 3, CO47="permitted", 2)</f>
        <v>1</v>
      </c>
      <c r="CQ47" s="39">
        <v>0</v>
      </c>
      <c r="CR47" s="39" cm="1">
        <f t="array" ref="CR47">_xlfn.IFS(CQ47=0, 1, CQ47&lt;&gt;0, 3)</f>
        <v>1</v>
      </c>
      <c r="CS47" s="72">
        <v>1</v>
      </c>
      <c r="CT47" s="48" t="s">
        <v>181</v>
      </c>
      <c r="CU47" s="48">
        <v>896</v>
      </c>
      <c r="CV47" s="107">
        <v>32020</v>
      </c>
      <c r="CW47" s="39">
        <f>CU47/CV47</f>
        <v>2.7982510930668333E-2</v>
      </c>
      <c r="CX47" s="207" cm="1">
        <f t="array" ref="CX47">_xlfn.IFS(CT47="N", 0, CW47&lt;$CW$61, 2, CW47 = $CW$61, 2, CW47&gt;$CW$61, 3)</f>
        <v>2</v>
      </c>
      <c r="CY47" s="207">
        <v>1</v>
      </c>
      <c r="CZ47" s="207" cm="1">
        <f t="array" ref="CZ47">_xlfn.IFS(CY47="NA", "NA", CY47=0, 1, CY47=1, 2, CY47&gt;1, 3)</f>
        <v>2</v>
      </c>
      <c r="DA47" s="201">
        <f t="shared" si="28"/>
        <v>2</v>
      </c>
      <c r="DB47" s="86">
        <v>0</v>
      </c>
      <c r="DC47" s="61" cm="1">
        <f t="array" ref="DC47">_xlfn.IFS(DB47&gt;$DB$61, 3, DB47=0, 1, DB47&lt;$DB$61, 2, DB47=$DB$61, 2)</f>
        <v>1</v>
      </c>
      <c r="DD47" s="87">
        <v>13333</v>
      </c>
      <c r="DE47" s="44" cm="1">
        <f t="array" ref="DE47">_xlfn.IFS(DD47&gt;$DD$62, 3, DD47&lt;$DD$60, 1, DD47&gt;$DD$60, 2, DD47=$DD$60, 2)</f>
        <v>3</v>
      </c>
      <c r="DF47" s="44">
        <v>0</v>
      </c>
      <c r="DG47" s="61" cm="1">
        <f t="array" ref="DG47">_xlfn.IFS(DF47=0, 1, DF47&lt;$DF$61, 2, DF47&gt;$DF$61, 3)</f>
        <v>1</v>
      </c>
      <c r="DH47" s="415">
        <f t="shared" si="29"/>
        <v>1.666666666666665</v>
      </c>
      <c r="DI47" s="82">
        <v>475775971</v>
      </c>
      <c r="DJ47" s="82">
        <f t="shared" si="30"/>
        <v>54312.325456621002</v>
      </c>
      <c r="DK47" s="88">
        <v>13247.500000000007</v>
      </c>
      <c r="DL47" s="89">
        <f t="shared" si="31"/>
        <v>0.24391332701415488</v>
      </c>
      <c r="DM47" s="88" cm="1">
        <f t="array" ref="DM47">_xlfn.IFS(DL47&gt;$DL$60,3,(AND(DL47&lt;$DL$60,DL47&gt;$DL$59)),2,DL47&lt;$DL$59,1)</f>
        <v>3</v>
      </c>
      <c r="DN47" s="88">
        <v>6679</v>
      </c>
      <c r="DO47" s="90">
        <f t="shared" si="32"/>
        <v>1.4038119634251138E-2</v>
      </c>
      <c r="DP47" s="88" cm="1">
        <f t="array" ref="DP47">_xlfn.IFS(DO47&gt;DO$60,3,(AND(DO47&lt;DO$60,DO47&gt;DO$59)),2,DO47&lt;DO$59,1)</f>
        <v>1</v>
      </c>
      <c r="DQ47" s="91">
        <v>13268.6</v>
      </c>
      <c r="DR47" s="92">
        <f t="shared" si="33"/>
        <v>0.14844738454520698</v>
      </c>
      <c r="DS47" s="88" cm="1">
        <f t="array" ref="DS47">_xlfn.IFS(DR47&gt;DR$60,3,(AND(DR47&lt;DR$60,DR47&gt;DR$59)),2,DR47&lt;DR$59,1)</f>
        <v>1</v>
      </c>
      <c r="DT47" s="91" t="s">
        <v>584</v>
      </c>
      <c r="DU47" s="213" cm="1">
        <f t="array" ref="DU47">_xlfn.IFS(DT47="no data","",DT47="40-45", 1, DT47= "45-50", 1, DT47="50-55", 1, DT47 ="30-35", 2, DT47="25-30", 2, DT47="35-40", 2, DT47="20-25", 3, DT47="15-20", 3)</f>
        <v>3</v>
      </c>
      <c r="DV47" s="88">
        <v>3435310605.4191861</v>
      </c>
      <c r="DW47" s="88" cm="1">
        <f t="array" ref="DW47">_xlfn.IFS(DV47&gt;DV$60,3,(AND(DV47&lt;DV$60,DV47&gt;DV$59)),2,DV47&lt;DV$59,1)</f>
        <v>1</v>
      </c>
      <c r="DX47" s="93">
        <v>6</v>
      </c>
      <c r="DY47" s="88" cm="1">
        <f t="array" ref="DY47">_xlfn.IFS(DX47&gt;6.99,1,AND(DX47 &gt; 3, DX47 &lt; 7),2,DX47&lt;3.99,3)</f>
        <v>2</v>
      </c>
      <c r="DZ47" s="94">
        <f t="shared" si="54"/>
        <v>1.9000000000000001</v>
      </c>
      <c r="EA47" s="95">
        <v>355000</v>
      </c>
      <c r="EB47" s="82">
        <v>527300</v>
      </c>
      <c r="EC47" s="82">
        <v>2191</v>
      </c>
      <c r="ED47" s="82">
        <v>0</v>
      </c>
      <c r="EE47" s="82">
        <v>0</v>
      </c>
      <c r="EF47" s="82">
        <f t="shared" si="34"/>
        <v>0</v>
      </c>
      <c r="EG47" s="204" cm="1">
        <f t="array" ref="EG47">_xlfn.IFS(EF47=0, 1, EF47&gt;2, 3, 0&gt;EF47&gt;3,2)</f>
        <v>1</v>
      </c>
      <c r="EH47" s="82">
        <v>0</v>
      </c>
      <c r="EI47" s="82">
        <v>0</v>
      </c>
      <c r="EJ47" s="82">
        <f t="shared" si="35"/>
        <v>0</v>
      </c>
      <c r="EK47" s="82" cm="1">
        <f t="array" ref="EK47">_xlfn.IFS(EH47+EI47=0, 1, EH47+EI47&gt;5, 3, EH47+EI47=5, 2, 0&gt;EH47+EI47&gt;5, 2)</f>
        <v>1</v>
      </c>
      <c r="EL47" s="82">
        <v>0</v>
      </c>
      <c r="EM47" s="82">
        <v>0</v>
      </c>
      <c r="EN47" s="82" cm="1">
        <f t="array" ref="EN47">_xlfn.IFS(EL47+EM47=0, 1, EL47+EM47&gt;10, 3, EL47+EM47 = 10, 2, 0&gt;EL47+EM47&gt;10, 2)</f>
        <v>1</v>
      </c>
      <c r="EO47" s="96">
        <f t="shared" si="55"/>
        <v>1</v>
      </c>
      <c r="EP47" s="44">
        <v>0</v>
      </c>
      <c r="EQ47" s="61" cm="1">
        <f t="array" ref="EQ47">_xlfn.IFS(EP47=0, 1, EP47&gt;$EP$60, 3, EP47&lt;$EP$60, 2)</f>
        <v>1</v>
      </c>
      <c r="ER47" s="100">
        <v>0</v>
      </c>
      <c r="ES47" s="100" cm="1">
        <f t="array" ref="ES47">_xlfn.IFS(ER47=0, 1, ER47&gt;$ER$59, 3, ER47&lt;$ER$59, 2)</f>
        <v>1</v>
      </c>
      <c r="ET47" s="44">
        <v>0</v>
      </c>
      <c r="EU47" s="44" cm="1">
        <f t="array" ref="EU47">_xlfn.IFS(ET47=0, 1, ET47=1, 2, ET47&gt;1, 3)</f>
        <v>1</v>
      </c>
      <c r="EV47" s="413">
        <f t="shared" si="56"/>
        <v>1</v>
      </c>
      <c r="EW47" s="82">
        <v>31.07</v>
      </c>
      <c r="EX47" s="210" cm="1">
        <f t="array" ref="EX47">_xlfn.IFS(EW47&gt;EX$60,3,(AND(EW47&lt;EX$60,EW47&gt;EX$59)),2,EW47&lt;EX$59,1)</f>
        <v>2</v>
      </c>
      <c r="EY47" s="253">
        <v>344394486.04556251</v>
      </c>
      <c r="EZ47" s="210" cm="1">
        <f t="array" ref="EZ47">_xlfn.IFS(EY47&gt;EZ$60,3,(AND(EY47&lt;EZ$60,EY47&gt;EZ$59)),2,EY47&lt;EZ$59,1)</f>
        <v>2</v>
      </c>
      <c r="FA47" s="253">
        <v>756201445547.5</v>
      </c>
      <c r="FB47" s="210" cm="1">
        <f t="array" ref="FB47">_xlfn.IFS(FA47&gt;FB$60,3,(AND(FA47&lt;FB$60,FA47&gt;FB$59)),2,FA47&lt;FB$59,1)</f>
        <v>2</v>
      </c>
      <c r="FC47" s="416">
        <f t="shared" si="57"/>
        <v>2</v>
      </c>
      <c r="FD47" s="81">
        <v>1.18</v>
      </c>
      <c r="FE47" s="81" cm="1">
        <f t="array" ref="FE47">_xlfn.IFS(FD47&gt;$FD$60, 3, FD47&lt;$FD$59, 1, FD47&gt;$FD$59, 2)</f>
        <v>2</v>
      </c>
      <c r="FF47" s="44">
        <v>3</v>
      </c>
      <c r="FG47" s="61" cm="1">
        <f t="array" ref="FG47">_xlfn.IFS(FF47&lt;$FF$59, 1, FF47&gt;$FF$60, 3, FF47 = $FF$60, 3, FF47&lt;$FF$60, 2)</f>
        <v>3</v>
      </c>
      <c r="FH47" s="97">
        <f t="shared" si="58"/>
        <v>2.4000000000000004</v>
      </c>
      <c r="FI47" s="102">
        <v>6</v>
      </c>
      <c r="FJ47" s="44">
        <v>1</v>
      </c>
      <c r="FK47" s="98">
        <f t="shared" si="59"/>
        <v>7</v>
      </c>
      <c r="FL47" s="98" cm="1">
        <f t="array" ref="FL47">_xlfn.IFS(FK47&gt;$FK$60, 3, FK47&lt;$FK$59, 1, FK47&gt;$FK$59, 2, FK47=$FK$59, 2)</f>
        <v>3</v>
      </c>
      <c r="FM47" s="99">
        <f t="shared" si="60"/>
        <v>3</v>
      </c>
    </row>
    <row r="48" spans="1:169" ht="20.100000000000001" customHeight="1">
      <c r="A48" s="38" t="s">
        <v>148</v>
      </c>
      <c r="B48" s="44" t="s">
        <v>541</v>
      </c>
      <c r="C48" s="44">
        <v>1</v>
      </c>
      <c r="D48" s="44" t="s">
        <v>542</v>
      </c>
      <c r="E48" s="44">
        <v>1</v>
      </c>
      <c r="F48" s="61" t="s">
        <v>543</v>
      </c>
      <c r="G48" s="61" cm="1">
        <f t="array" ref="G48">_xlfn.IFS(F48= "Yes", 3, F48 &lt;&gt; "Yes", 1)</f>
        <v>1</v>
      </c>
      <c r="H48" s="44" t="s">
        <v>543</v>
      </c>
      <c r="I48" s="44">
        <v>1</v>
      </c>
      <c r="J48" s="44" t="s">
        <v>543</v>
      </c>
      <c r="K48" s="44">
        <v>1</v>
      </c>
      <c r="L48" s="193">
        <f t="shared" si="37"/>
        <v>0.99999999999999989</v>
      </c>
      <c r="M48" s="48" t="s">
        <v>543</v>
      </c>
      <c r="N48" s="44">
        <v>1</v>
      </c>
      <c r="O48" s="44" t="s">
        <v>543</v>
      </c>
      <c r="P48" s="44">
        <v>1</v>
      </c>
      <c r="Q48" s="44" t="s">
        <v>543</v>
      </c>
      <c r="R48" s="44">
        <v>1</v>
      </c>
      <c r="S48" s="48" t="s">
        <v>543</v>
      </c>
      <c r="T48" s="44">
        <v>1</v>
      </c>
      <c r="U48" s="44" t="s">
        <v>543</v>
      </c>
      <c r="V48" s="44">
        <v>1</v>
      </c>
      <c r="W48" s="44" t="s">
        <v>543</v>
      </c>
      <c r="X48" s="44">
        <v>1</v>
      </c>
      <c r="Y48" s="39" t="s">
        <v>543</v>
      </c>
      <c r="Z48" s="44">
        <v>1</v>
      </c>
      <c r="AA48" s="72">
        <f t="shared" si="43"/>
        <v>0.99999999999999978</v>
      </c>
      <c r="AB48" s="103" t="s">
        <v>620</v>
      </c>
      <c r="AC48" s="44" t="s">
        <v>545</v>
      </c>
      <c r="AD48" s="44">
        <v>2</v>
      </c>
      <c r="AE48" s="44" t="s">
        <v>543</v>
      </c>
      <c r="AF48" s="44" cm="1">
        <f t="array" ref="AF48">_xlfn.IFS(AE48="NA", 1, AE48="No", 1, AE48="Yes, implicit", 2, AE48="Yes, explicit", 3)</f>
        <v>1</v>
      </c>
      <c r="AG48" s="44" t="s">
        <v>543</v>
      </c>
      <c r="AH48" s="44" t="s">
        <v>543</v>
      </c>
      <c r="AI48" s="44">
        <v>1</v>
      </c>
      <c r="AJ48" s="73">
        <f t="shared" si="44"/>
        <v>1.5999999999999999</v>
      </c>
      <c r="AK48" s="76" t="s">
        <v>544</v>
      </c>
      <c r="AL48" s="74">
        <f t="shared" si="10"/>
        <v>1</v>
      </c>
      <c r="AM48" s="74" t="s">
        <v>545</v>
      </c>
      <c r="AN48" s="74">
        <f t="shared" si="11"/>
        <v>1</v>
      </c>
      <c r="AO48" s="74" t="s">
        <v>545</v>
      </c>
      <c r="AP48" s="74">
        <f t="shared" si="12"/>
        <v>1</v>
      </c>
      <c r="AQ48" s="75">
        <f t="shared" si="45"/>
        <v>0.30000000000000004</v>
      </c>
      <c r="AR48" s="74" t="s">
        <v>545</v>
      </c>
      <c r="AS48" s="74">
        <f t="shared" si="14"/>
        <v>1</v>
      </c>
      <c r="AT48" s="74" t="s">
        <v>545</v>
      </c>
      <c r="AU48" s="74">
        <f t="shared" si="15"/>
        <v>1</v>
      </c>
      <c r="AV48" s="74">
        <f t="shared" si="46"/>
        <v>0.2</v>
      </c>
      <c r="AW48" s="76" t="s">
        <v>545</v>
      </c>
      <c r="AX48" s="195">
        <f t="shared" si="47"/>
        <v>0.4</v>
      </c>
      <c r="AY48" s="76" t="s">
        <v>545</v>
      </c>
      <c r="AZ48" s="76">
        <f t="shared" si="48"/>
        <v>1</v>
      </c>
      <c r="BA48" s="76" t="s">
        <v>181</v>
      </c>
      <c r="BB48" s="74">
        <f t="shared" si="18"/>
        <v>3</v>
      </c>
      <c r="BC48" s="76" t="s">
        <v>181</v>
      </c>
      <c r="BD48" s="74">
        <f t="shared" si="49"/>
        <v>3</v>
      </c>
      <c r="BE48" s="76">
        <f t="shared" si="50"/>
        <v>0.70000000000000007</v>
      </c>
      <c r="BF48" s="76"/>
      <c r="BG48" s="76"/>
      <c r="BH48" s="77">
        <f t="shared" si="38"/>
        <v>0</v>
      </c>
      <c r="BI48" s="77">
        <f t="shared" si="39"/>
        <v>0</v>
      </c>
      <c r="BJ48" s="77">
        <f t="shared" si="40"/>
        <v>0</v>
      </c>
      <c r="BK48" s="77">
        <f t="shared" si="41"/>
        <v>0</v>
      </c>
      <c r="BL48" s="78">
        <f t="shared" si="51"/>
        <v>1.6</v>
      </c>
      <c r="BM48" s="76" t="s">
        <v>181</v>
      </c>
      <c r="BN48" s="197" cm="1">
        <f t="array" ref="BN48">_xlfn.IFS(BM48="Y", 3, BM48="N", 2)</f>
        <v>3</v>
      </c>
      <c r="BO48" s="76" t="s">
        <v>545</v>
      </c>
      <c r="BP48" s="197" cm="1">
        <f t="array" ref="BP48">_xlfn.IFS(BO48="Y", 3, BO48="N", 2)</f>
        <v>2</v>
      </c>
      <c r="BQ48" s="79">
        <f>SUMPRODUCT($BM$6:$BP$6, BM48:BP48)</f>
        <v>2.25</v>
      </c>
      <c r="BR48" s="44">
        <v>43200</v>
      </c>
      <c r="BS48" s="44">
        <f t="shared" si="23"/>
        <v>43200000</v>
      </c>
      <c r="BT48" s="44">
        <f t="shared" si="24"/>
        <v>67500</v>
      </c>
      <c r="BU48" s="80">
        <v>75811</v>
      </c>
      <c r="BV48" s="81">
        <f t="shared" si="25"/>
        <v>89.037210958831835</v>
      </c>
      <c r="BW48" s="82" cm="1">
        <f t="array" ref="BW48">_xlfn.IFS(BV48&gt;44, 3, BV48&lt;26, 1, 44&gt;BV48&gt;26, 2)</f>
        <v>3</v>
      </c>
      <c r="BX48" s="82">
        <v>14961754</v>
      </c>
      <c r="BY48" s="82" cm="1">
        <f t="array" ref="BY48">_xlfn.IFS(BX48&gt;12000000, 3, BX48&lt;4000000, 1, 4000000&gt;BX48&gt;12000000, 2)</f>
        <v>3</v>
      </c>
      <c r="BZ48" s="80">
        <v>7.6146946592166742</v>
      </c>
      <c r="CA48" s="82" cm="1">
        <f t="array" ref="CA48">_xlfn.IFS(BZ48&gt;$BZ$60, 1, BZ48&lt;$BZ$59, 3, BZ48&gt;$BZ$59, 2, BZ48=$BZ$59, 2)</f>
        <v>1</v>
      </c>
      <c r="CB48" s="413">
        <f t="shared" si="52"/>
        <v>2.3000000000000003</v>
      </c>
      <c r="CC48" s="44">
        <v>1203276</v>
      </c>
      <c r="CD48" s="44" cm="1">
        <f t="array" ref="CD48">_xlfn.IFS(CC48&gt;4200000, 3, CC48&lt;1700000, 1, 4200000&gt;CC48&gt;1700000, 2)</f>
        <v>1</v>
      </c>
      <c r="CE48" s="44">
        <v>14401.88</v>
      </c>
      <c r="CF48" s="44" cm="1">
        <f t="array" ref="CF48">_xlfn.IFS(CE48&lt;120000, 1, CE48&gt;620000, 3, 620000&gt;CE48&gt;120000, 2)</f>
        <v>1</v>
      </c>
      <c r="CG48" s="44">
        <v>10069128.6</v>
      </c>
      <c r="CH48" s="44" cm="1">
        <f t="array" ref="CH48">_xlfn.IFS(CG48&lt;300000, 1, CG48&gt;1700000, 3, 300000&gt;CG48&gt;170000, 2)</f>
        <v>3</v>
      </c>
      <c r="CI48" s="44">
        <v>69.504141000000004</v>
      </c>
      <c r="CJ48" s="61" cm="1">
        <f t="array" ref="CJ48">_xlfn.IFS(CI48&lt;$CI$60, 1, CI48&gt;$CI$61, 3, CI48&lt;$CI$61, 2)</f>
        <v>3</v>
      </c>
      <c r="CK48" s="205">
        <f t="shared" si="27"/>
        <v>2.1999999999999997</v>
      </c>
      <c r="CL48" s="44">
        <v>2501769</v>
      </c>
      <c r="CM48" s="48" cm="1">
        <f t="array" ref="CM48">_xlfn.IFS(CL48&gt;4600000, 3, CL48&lt;430000, 1, 4600000&gt;CL48&gt;430000, 2)</f>
        <v>2</v>
      </c>
      <c r="CN48" s="72">
        <f t="shared" si="53"/>
        <v>2</v>
      </c>
      <c r="CO48" s="39">
        <v>0</v>
      </c>
      <c r="CP48" s="65" cm="1">
        <f t="array" ref="CP48">_xlfn.IFS(CO48=0, 1, CO48="active", 3, CO48="permitted", 2)</f>
        <v>1</v>
      </c>
      <c r="CQ48" s="39">
        <v>0</v>
      </c>
      <c r="CR48" s="39" cm="1">
        <f t="array" ref="CR48">_xlfn.IFS(CQ48=0, 1, CQ48&lt;&gt;0, 3)</f>
        <v>1</v>
      </c>
      <c r="CS48" s="72">
        <v>1</v>
      </c>
      <c r="CT48" s="44" t="s">
        <v>545</v>
      </c>
      <c r="CU48" s="82">
        <v>0</v>
      </c>
      <c r="CV48" s="82">
        <v>77116</v>
      </c>
      <c r="CW48" s="39" t="s">
        <v>542</v>
      </c>
      <c r="CX48" s="207" cm="1">
        <f t="array" ref="CX48">_xlfn.IFS(CT48="N", 0, CW48&lt;$CW$61, 2, CW48 = $CW$61, 2, CW48&gt;$CW$61, 3)</f>
        <v>0</v>
      </c>
      <c r="CY48" s="207" t="s">
        <v>542</v>
      </c>
      <c r="CZ48" s="207" t="str" cm="1">
        <f t="array" ref="CZ48">_xlfn.IFS(CY48="NA", "NA", CY48=0, 1, CY48=1, 2, CY48&gt;1, 3)</f>
        <v>NA</v>
      </c>
      <c r="DA48" s="201">
        <f t="shared" si="28"/>
        <v>0</v>
      </c>
      <c r="DB48" s="86">
        <v>0</v>
      </c>
      <c r="DC48" s="61" cm="1">
        <f t="array" ref="DC48">_xlfn.IFS(DB48&gt;$DB$61, 3, DB48=0, 1, DB48&lt;$DB$61, 2, DB48=$DB$61, 2)</f>
        <v>1</v>
      </c>
      <c r="DD48" s="87">
        <v>727</v>
      </c>
      <c r="DE48" s="44" cm="1">
        <f t="array" ref="DE48">_xlfn.IFS(DD48&gt;$DD$62, 3, DD48&lt;$DD$60, 1, DD48&gt;$DD$60, 2, DD48=$DD$60, 2)</f>
        <v>1</v>
      </c>
      <c r="DF48" s="44">
        <v>8</v>
      </c>
      <c r="DG48" s="61" cm="1">
        <f t="array" ref="DG48">_xlfn.IFS(DF48=0, 1, DF48&lt;$DF$61, 2, DF48&gt;$DF$61, 3)</f>
        <v>2</v>
      </c>
      <c r="DH48" s="415">
        <f t="shared" si="29"/>
        <v>1.3333333333333319</v>
      </c>
      <c r="DI48" s="82">
        <v>105025535</v>
      </c>
      <c r="DJ48" s="82">
        <f t="shared" si="30"/>
        <v>11989.216324200914</v>
      </c>
      <c r="DK48" s="88">
        <v>4694.2999999999993</v>
      </c>
      <c r="DL48" s="89">
        <f t="shared" si="31"/>
        <v>0.39154352320128616</v>
      </c>
      <c r="DM48" s="88" cm="1">
        <f t="array" ref="DM48">_xlfn.IFS(DL48&gt;$DL$60,3,(AND(DL48&lt;$DL$60,DL48&gt;$DL$59)),2,DL48&lt;$DL$59,1)</f>
        <v>3</v>
      </c>
      <c r="DN48" s="88">
        <v>13025</v>
      </c>
      <c r="DO48" s="90">
        <f t="shared" si="32"/>
        <v>0.12401745918266448</v>
      </c>
      <c r="DP48" s="88" cm="1">
        <f t="array" ref="DP48">_xlfn.IFS(DO48&gt;DO$60,3,(AND(DO48&lt;DO$60,DO48&gt;DO$59)),2,DO48&lt;DO$59,1)</f>
        <v>3</v>
      </c>
      <c r="DQ48" s="91">
        <v>5546</v>
      </c>
      <c r="DR48" s="92">
        <f t="shared" si="33"/>
        <v>0.19244128831581131</v>
      </c>
      <c r="DS48" s="88" cm="1">
        <f t="array" ref="DS48">_xlfn.IFS(DR48&gt;DR$60,3,(AND(DR48&lt;DR$60,DR48&gt;DR$59)),2,DR48&lt;DR$59,1)</f>
        <v>1</v>
      </c>
      <c r="DT48" s="91" t="s">
        <v>563</v>
      </c>
      <c r="DU48" s="213" cm="1">
        <f t="array" ref="DU48">_xlfn.IFS(DT48="no data","",DT48="40-45", 1, DT48= "45-50", 1, DT48="50-55", 1, DT48 ="30-35", 2, DT48="25-30", 2, DT48="35-40", 2, DT48="20-25", 3, DT48="15-20", 3)</f>
        <v>2</v>
      </c>
      <c r="DV48" s="88">
        <v>16042353817.734053</v>
      </c>
      <c r="DW48" s="88" cm="1">
        <f t="array" ref="DW48">_xlfn.IFS(DV48&gt;DV$60,3,(AND(DV48&lt;DV$60,DV48&gt;DV$59)),2,DV48&lt;DV$59,1)</f>
        <v>3</v>
      </c>
      <c r="DX48" s="93">
        <v>6</v>
      </c>
      <c r="DY48" s="88" cm="1">
        <f t="array" ref="DY48">_xlfn.IFS(DX48&gt;6.99,1,AND(DX48 &gt; 3, DX48 &lt; 7),2,DX48&lt;3.99,3)</f>
        <v>2</v>
      </c>
      <c r="DZ48" s="94">
        <f t="shared" si="54"/>
        <v>2.6000000000000005</v>
      </c>
      <c r="EA48" s="95">
        <v>167700</v>
      </c>
      <c r="EB48" s="82">
        <v>35400</v>
      </c>
      <c r="EC48" s="82">
        <v>1868</v>
      </c>
      <c r="ED48" s="82">
        <v>0</v>
      </c>
      <c r="EE48" s="82">
        <v>0</v>
      </c>
      <c r="EF48" s="82">
        <f t="shared" si="34"/>
        <v>0</v>
      </c>
      <c r="EG48" s="204" cm="1">
        <f t="array" ref="EG48">_xlfn.IFS(EF48=0, 1, EF48&gt;2, 3, 0&gt;EF48&gt;3,2)</f>
        <v>1</v>
      </c>
      <c r="EH48" s="82">
        <v>0</v>
      </c>
      <c r="EI48" s="82">
        <v>0</v>
      </c>
      <c r="EJ48" s="82">
        <f t="shared" si="35"/>
        <v>0</v>
      </c>
      <c r="EK48" s="82" cm="1">
        <f t="array" ref="EK48">_xlfn.IFS(EH48+EI48=0, 1, EH48+EI48&gt;5, 3, EH48+EI48=5, 2, 0&gt;EH48+EI48&gt;5, 2)</f>
        <v>1</v>
      </c>
      <c r="EL48" s="82">
        <v>0</v>
      </c>
      <c r="EM48" s="82">
        <v>0</v>
      </c>
      <c r="EN48" s="82" cm="1">
        <f t="array" ref="EN48">_xlfn.IFS(EL48+EM48=0, 1, EL48+EM48&gt;10, 3, EL48+EM48 = 10, 2, 0&gt;EL48+EM48&gt;10, 2)</f>
        <v>1</v>
      </c>
      <c r="EO48" s="96">
        <f t="shared" si="55"/>
        <v>1</v>
      </c>
      <c r="EP48" s="44">
        <v>3.5</v>
      </c>
      <c r="EQ48" s="61" cm="1">
        <f t="array" ref="EQ48">_xlfn.IFS(EP48=0, 1, EP48&gt;$EP$60, 3, EP48&lt;$EP$60, 2)</f>
        <v>3</v>
      </c>
      <c r="ER48" s="100">
        <v>0</v>
      </c>
      <c r="ES48" s="100" cm="1">
        <f t="array" ref="ES48">_xlfn.IFS(ER48=0, 1, ER48&gt;$ER$59, 3, ER48&lt;$ER$59, 2)</f>
        <v>1</v>
      </c>
      <c r="ET48" s="44">
        <v>0</v>
      </c>
      <c r="EU48" s="44" cm="1">
        <f t="array" ref="EU48">_xlfn.IFS(ET48=0, 1, ET48=1, 2, ET48&gt;1, 3)</f>
        <v>1</v>
      </c>
      <c r="EV48" s="413">
        <f t="shared" si="56"/>
        <v>1.4</v>
      </c>
      <c r="EW48" s="82">
        <v>7.04</v>
      </c>
      <c r="EX48" s="210" cm="1">
        <f t="array" ref="EX48">_xlfn.IFS(EW48&gt;EX$60,3,(AND(EW48&lt;EX$60,EW48&gt;EX$59)),2,EW48&lt;EX$59,1)</f>
        <v>2</v>
      </c>
      <c r="EY48" s="82">
        <v>0</v>
      </c>
      <c r="EZ48" s="210" cm="1">
        <f t="array" ref="EZ48">_xlfn.IFS(EY48&gt;EZ$60,3,(AND(EY48&lt;EZ$60,EY48&gt;EZ$59)),2,EY48&lt;EZ$59,1)</f>
        <v>1</v>
      </c>
      <c r="FA48" s="82">
        <v>0</v>
      </c>
      <c r="FB48" s="210" cm="1">
        <f t="array" ref="FB48">_xlfn.IFS(FA48&gt;FB$60,3,(AND(FA48&lt;FB$60,FA48&gt;FB$59)),2,FA48&lt;FB$59,1)</f>
        <v>1</v>
      </c>
      <c r="FC48" s="416">
        <f t="shared" si="57"/>
        <v>1.5</v>
      </c>
      <c r="FD48" s="81">
        <v>0.48</v>
      </c>
      <c r="FE48" s="81" cm="1">
        <f t="array" ref="FE48">_xlfn.IFS(FD48&gt;$FD$60, 3, FD48&lt;$FD$59, 1, FD48&gt;$FD$59, 2)</f>
        <v>1</v>
      </c>
      <c r="FF48" s="44">
        <v>1</v>
      </c>
      <c r="FG48" s="61" cm="1">
        <f t="array" ref="FG48">_xlfn.IFS(FF48&lt;$FF$59, 1, FF48&gt;$FF$60, 3, FF48 = $FF$60, 3, FF48&lt;$FF$60, 2)</f>
        <v>2</v>
      </c>
      <c r="FH48" s="97">
        <f t="shared" si="58"/>
        <v>1.4</v>
      </c>
      <c r="FI48" s="102">
        <v>1</v>
      </c>
      <c r="FJ48" s="44">
        <v>1</v>
      </c>
      <c r="FK48" s="98">
        <f t="shared" si="59"/>
        <v>2</v>
      </c>
      <c r="FL48" s="98" cm="1">
        <f t="array" ref="FL48">_xlfn.IFS(FK48&gt;$FK$60, 3, FK48&lt;$FK$59, 1, FK48&gt;$FK$59, 2, FK48=$FK$59, 2)</f>
        <v>1</v>
      </c>
      <c r="FM48" s="99">
        <f t="shared" si="60"/>
        <v>1</v>
      </c>
    </row>
    <row r="49" spans="1:169" ht="20.100000000000001" customHeight="1">
      <c r="A49" s="38" t="s">
        <v>149</v>
      </c>
      <c r="B49" s="44" t="s">
        <v>541</v>
      </c>
      <c r="C49" s="44">
        <v>1</v>
      </c>
      <c r="D49" s="44" t="s">
        <v>542</v>
      </c>
      <c r="E49" s="44">
        <v>1</v>
      </c>
      <c r="F49" s="61" t="s">
        <v>543</v>
      </c>
      <c r="G49" s="61" cm="1">
        <f t="array" ref="G49">_xlfn.IFS(F49= "Yes", 3, F49 &lt;&gt; "Yes", 1)</f>
        <v>1</v>
      </c>
      <c r="H49" s="44" t="s">
        <v>543</v>
      </c>
      <c r="I49" s="44">
        <v>1</v>
      </c>
      <c r="J49" s="44" t="s">
        <v>543</v>
      </c>
      <c r="K49" s="44">
        <v>1</v>
      </c>
      <c r="L49" s="193">
        <f t="shared" si="37"/>
        <v>0.99999999999999989</v>
      </c>
      <c r="M49" s="48" t="s">
        <v>543</v>
      </c>
      <c r="N49" s="44">
        <v>1</v>
      </c>
      <c r="O49" s="44" t="s">
        <v>543</v>
      </c>
      <c r="P49" s="44">
        <v>1</v>
      </c>
      <c r="Q49" s="44" t="s">
        <v>543</v>
      </c>
      <c r="R49" s="44">
        <v>1</v>
      </c>
      <c r="S49" s="48" t="s">
        <v>543</v>
      </c>
      <c r="T49" s="44">
        <v>1</v>
      </c>
      <c r="U49" s="44" t="s">
        <v>543</v>
      </c>
      <c r="V49" s="44">
        <v>1</v>
      </c>
      <c r="W49" s="44" t="s">
        <v>543</v>
      </c>
      <c r="X49" s="44">
        <v>1</v>
      </c>
      <c r="Y49" s="39" t="s">
        <v>543</v>
      </c>
      <c r="Z49" s="44">
        <v>1</v>
      </c>
      <c r="AA49" s="72">
        <f t="shared" si="43"/>
        <v>0.99999999999999978</v>
      </c>
      <c r="AB49" s="39" t="s">
        <v>543</v>
      </c>
      <c r="AC49" s="44" t="s">
        <v>542</v>
      </c>
      <c r="AD49" s="44">
        <v>1</v>
      </c>
      <c r="AE49" s="44" t="s">
        <v>543</v>
      </c>
      <c r="AF49" s="44" cm="1">
        <f t="array" ref="AF49">_xlfn.IFS(AE49="NA", 1, AE49="No", 1, AE49="Yes, implicit", 2, AE49="Yes, explicit", 3)</f>
        <v>1</v>
      </c>
      <c r="AG49" s="44" t="s">
        <v>543</v>
      </c>
      <c r="AH49" s="44" t="s">
        <v>543</v>
      </c>
      <c r="AI49" s="44">
        <v>1</v>
      </c>
      <c r="AJ49" s="73">
        <f t="shared" si="44"/>
        <v>1</v>
      </c>
      <c r="AK49" s="76" t="s">
        <v>544</v>
      </c>
      <c r="AL49" s="74">
        <f t="shared" si="10"/>
        <v>1</v>
      </c>
      <c r="AM49" s="74" t="s">
        <v>545</v>
      </c>
      <c r="AN49" s="74">
        <f t="shared" si="11"/>
        <v>1</v>
      </c>
      <c r="AO49" s="74" t="s">
        <v>545</v>
      </c>
      <c r="AP49" s="74">
        <f t="shared" si="12"/>
        <v>1</v>
      </c>
      <c r="AQ49" s="75">
        <f t="shared" si="45"/>
        <v>0.30000000000000004</v>
      </c>
      <c r="AR49" s="74" t="s">
        <v>545</v>
      </c>
      <c r="AS49" s="74">
        <f t="shared" si="14"/>
        <v>1</v>
      </c>
      <c r="AT49" s="74" t="s">
        <v>545</v>
      </c>
      <c r="AU49" s="74">
        <f t="shared" si="15"/>
        <v>1</v>
      </c>
      <c r="AV49" s="74">
        <f t="shared" si="46"/>
        <v>0.2</v>
      </c>
      <c r="AW49" s="76" t="s">
        <v>545</v>
      </c>
      <c r="AX49" s="195">
        <f t="shared" si="47"/>
        <v>0.4</v>
      </c>
      <c r="AY49" s="76" t="s">
        <v>545</v>
      </c>
      <c r="AZ49" s="76">
        <f t="shared" si="48"/>
        <v>1</v>
      </c>
      <c r="BA49" s="76" t="s">
        <v>545</v>
      </c>
      <c r="BB49" s="74">
        <f t="shared" si="18"/>
        <v>1</v>
      </c>
      <c r="BC49" s="76" t="s">
        <v>545</v>
      </c>
      <c r="BD49" s="74">
        <f t="shared" si="49"/>
        <v>1</v>
      </c>
      <c r="BE49" s="76">
        <f t="shared" si="50"/>
        <v>0.30000000000000004</v>
      </c>
      <c r="BF49" s="76"/>
      <c r="BG49" s="76"/>
      <c r="BH49" s="77">
        <f t="shared" si="38"/>
        <v>0</v>
      </c>
      <c r="BI49" s="77">
        <f t="shared" si="39"/>
        <v>0</v>
      </c>
      <c r="BJ49" s="77">
        <f t="shared" si="40"/>
        <v>0</v>
      </c>
      <c r="BK49" s="77">
        <f t="shared" si="41"/>
        <v>0</v>
      </c>
      <c r="BL49" s="78">
        <f t="shared" si="51"/>
        <v>1.2000000000000002</v>
      </c>
      <c r="BM49" s="76" t="s">
        <v>181</v>
      </c>
      <c r="BN49" s="197" cm="1">
        <f t="array" ref="BN49">_xlfn.IFS(BM49="Y", 3, BM49="N", 2)</f>
        <v>3</v>
      </c>
      <c r="BO49" s="76" t="s">
        <v>181</v>
      </c>
      <c r="BP49" s="197" cm="1">
        <f t="array" ref="BP49">_xlfn.IFS(BO49="Y", 3, BO49="N", 2)</f>
        <v>3</v>
      </c>
      <c r="BQ49" s="79">
        <f t="shared" ref="BQ49:BQ55" si="62">SUMPRODUCT($BM$6:$BP$6, BM49:BP49)</f>
        <v>3</v>
      </c>
      <c r="BR49" s="44">
        <v>10700</v>
      </c>
      <c r="BS49" s="44">
        <f t="shared" si="23"/>
        <v>10700000</v>
      </c>
      <c r="BT49" s="44">
        <f t="shared" si="24"/>
        <v>16718.75</v>
      </c>
      <c r="BU49" s="80">
        <v>41235</v>
      </c>
      <c r="BV49" s="81">
        <f t="shared" si="25"/>
        <v>40.545046683642539</v>
      </c>
      <c r="BW49" s="82" cm="1">
        <f t="array" ref="BW49">_xlfn.IFS(BV49&gt;44, 3, BV49&lt;26, 1, 44&gt;BV49&gt;26, 2)</f>
        <v>2</v>
      </c>
      <c r="BX49" s="82">
        <v>5434481</v>
      </c>
      <c r="BY49" s="82" cm="1">
        <f t="array" ref="BY49">_xlfn.IFS(BX49&gt;12000000, 3, BX49&lt;4000000, 1, 4000000&gt;BX49&gt;12000000, 2)</f>
        <v>2</v>
      </c>
      <c r="BZ49" s="80">
        <v>5.2913342402339421</v>
      </c>
      <c r="CA49" s="82" cm="1">
        <f t="array" ref="CA49">_xlfn.IFS(BZ49&gt;$BZ$60, 1, BZ49&lt;$BZ$59, 3, BZ49&gt;$BZ$59, 2, BZ49=$BZ$59, 2)</f>
        <v>3</v>
      </c>
      <c r="CB49" s="413">
        <f t="shared" si="52"/>
        <v>2.3499999999999996</v>
      </c>
      <c r="CC49" s="44">
        <v>3571095</v>
      </c>
      <c r="CD49" s="44" cm="1">
        <f t="array" ref="CD49">_xlfn.IFS(CC49&gt;4200000, 3, CC49&lt;1700000, 1, 4200000&gt;CC49&gt;1700000, 2)</f>
        <v>2</v>
      </c>
      <c r="CE49" s="44">
        <v>1072679.71</v>
      </c>
      <c r="CF49" s="44" cm="1">
        <f t="array" ref="CF49">_xlfn.IFS(CE49&lt;120000, 1, CE49&gt;620000, 3, 620000&gt;CE49&gt;120000, 2)</f>
        <v>3</v>
      </c>
      <c r="CG49" s="44">
        <v>1212406.8999999999</v>
      </c>
      <c r="CH49" s="44" cm="1">
        <f t="array" ref="CH49">_xlfn.IFS(CG49&lt;300000, 1, CG49&gt;1700000, 3, 300000&gt;CG49&gt;170000, 2)</f>
        <v>2</v>
      </c>
      <c r="CI49" s="44">
        <v>28.32828173</v>
      </c>
      <c r="CJ49" s="61" cm="1">
        <f t="array" ref="CJ49">_xlfn.IFS(CI49&lt;$CI$60, 1, CI49&gt;$CI$61, 3, CI49&lt;$CI$61, 2)</f>
        <v>1</v>
      </c>
      <c r="CK49" s="205">
        <f t="shared" si="27"/>
        <v>1.95</v>
      </c>
      <c r="CL49" s="44">
        <v>7648643</v>
      </c>
      <c r="CM49" s="48" cm="1">
        <f t="array" ref="CM49">_xlfn.IFS(CL49&gt;4600000, 3, CL49&lt;430000, 1, 4600000&gt;CL49&gt;430000, 2)</f>
        <v>3</v>
      </c>
      <c r="CN49" s="72">
        <f t="shared" si="53"/>
        <v>3</v>
      </c>
      <c r="CO49" s="39">
        <v>0</v>
      </c>
      <c r="CP49" s="65" cm="1">
        <f t="array" ref="CP49">_xlfn.IFS(CO49=0, 1, CO49="active", 3, CO49="permitted", 2)</f>
        <v>1</v>
      </c>
      <c r="CQ49" s="39">
        <v>0</v>
      </c>
      <c r="CR49" s="39" cm="1">
        <f t="array" ref="CR49">_xlfn.IFS(CQ49=0, 1, CQ49&lt;&gt;0, 3)</f>
        <v>1</v>
      </c>
      <c r="CS49" s="72">
        <v>1</v>
      </c>
      <c r="CT49" s="44" t="s">
        <v>545</v>
      </c>
      <c r="CU49" s="82">
        <v>0</v>
      </c>
      <c r="CV49" s="82">
        <v>42144</v>
      </c>
      <c r="CW49" s="39" t="s">
        <v>542</v>
      </c>
      <c r="CX49" s="207" cm="1">
        <f t="array" ref="CX49">_xlfn.IFS(CT49="N", 0, CW49&lt;$CW$61, 2, CW49 = $CW$61, 2, CW49&gt;$CW$61, 3)</f>
        <v>0</v>
      </c>
      <c r="CY49" s="207" t="s">
        <v>542</v>
      </c>
      <c r="CZ49" s="207" t="str" cm="1">
        <f t="array" ref="CZ49">_xlfn.IFS(CY49="NA", "NA", CY49=0, 1, CY49=1, 2, CY49&gt;1, 3)</f>
        <v>NA</v>
      </c>
      <c r="DA49" s="201">
        <f t="shared" si="28"/>
        <v>0</v>
      </c>
      <c r="DB49" s="86">
        <v>109</v>
      </c>
      <c r="DC49" s="61" cm="1">
        <f t="array" ref="DC49">_xlfn.IFS(DB49&gt;$DB$61, 3, DB49=0, 1, DB49&lt;$DB$61, 2, DB49=$DB$61, 2)</f>
        <v>3</v>
      </c>
      <c r="DD49" s="87">
        <v>5395</v>
      </c>
      <c r="DE49" s="44" cm="1">
        <f t="array" ref="DE49">_xlfn.IFS(DD49&gt;$DD$62, 3, DD49&lt;$DD$60, 1, DD49&gt;$DD$60, 2, DD49=$DD$60, 2)</f>
        <v>2</v>
      </c>
      <c r="DF49" s="44">
        <v>522</v>
      </c>
      <c r="DG49" s="61" cm="1">
        <f t="array" ref="DG49">_xlfn.IFS(DF49=0, 1, DF49&lt;$DF$61, 2, DF49&gt;$DF$61, 3)</f>
        <v>3</v>
      </c>
      <c r="DH49" s="415">
        <f t="shared" si="29"/>
        <v>2.6666666666666634</v>
      </c>
      <c r="DI49" s="82">
        <v>615980292</v>
      </c>
      <c r="DJ49" s="82">
        <f t="shared" si="30"/>
        <v>70317.384931506851</v>
      </c>
      <c r="DK49" s="88">
        <v>9938.7999999999975</v>
      </c>
      <c r="DL49" s="89">
        <f t="shared" si="31"/>
        <v>0.14134200254575674</v>
      </c>
      <c r="DM49" s="88" cm="1">
        <f t="array" ref="DM49">_xlfn.IFS(DL49&gt;$DL$60,3,(AND(DL49&lt;$DL$60,DL49&gt;$DL$59)),2,DL49&lt;$DL$59,1)</f>
        <v>2</v>
      </c>
      <c r="DN49" s="88">
        <v>10193</v>
      </c>
      <c r="DO49" s="90">
        <f t="shared" si="32"/>
        <v>1.6547607338060745E-2</v>
      </c>
      <c r="DP49" s="88" cm="1">
        <f t="array" ref="DP49">_xlfn.IFS(DO49&gt;DO$60,3,(AND(DO49&lt;DO$60,DO49&gt;DO$59)),2,DO49&lt;DO$59,1)</f>
        <v>2</v>
      </c>
      <c r="DQ49" s="91">
        <v>6544</v>
      </c>
      <c r="DR49" s="92">
        <f t="shared" si="33"/>
        <v>7.3106384179101785E-2</v>
      </c>
      <c r="DS49" s="88" cm="1">
        <f t="array" ref="DS49">_xlfn.IFS(DR49&gt;DR$60,3,(AND(DR49&lt;DR$60,DR49&gt;DR$59)),2,DR49&lt;DR$59,1)</f>
        <v>1</v>
      </c>
      <c r="DT49" s="91" t="s">
        <v>547</v>
      </c>
      <c r="DU49" s="213" cm="1">
        <f t="array" ref="DU49">_xlfn.IFS(DT49="no data","",DT49="40-45", 1, DT49= "45-50", 1, DT49="50-55", 1, DT49 ="30-35", 2, DT49="25-30", 2, DT49="35-40", 2, DT49="20-25", 3, DT49="15-20", 3)</f>
        <v>2</v>
      </c>
      <c r="DV49" s="88">
        <v>2713563827.6733069</v>
      </c>
      <c r="DW49" s="88" cm="1">
        <f t="array" ref="DW49">_xlfn.IFS(DV49&gt;DV$60,3,(AND(DV49&lt;DV$60,DV49&gt;DV$59)),2,DV49&lt;DV$59,1)</f>
        <v>1</v>
      </c>
      <c r="DX49" s="93">
        <v>5</v>
      </c>
      <c r="DY49" s="88" cm="1">
        <f t="array" ref="DY49">_xlfn.IFS(DX49&gt;6.99,1,AND(DX49 &gt; 3, DX49 &lt; 7),2,DX49&lt;3.99,3)</f>
        <v>2</v>
      </c>
      <c r="DZ49" s="94">
        <f t="shared" si="54"/>
        <v>1.8</v>
      </c>
      <c r="EA49" s="95">
        <v>531300</v>
      </c>
      <c r="EB49" s="82">
        <v>636000</v>
      </c>
      <c r="EC49" s="82">
        <v>2730</v>
      </c>
      <c r="ED49" s="82">
        <v>0</v>
      </c>
      <c r="EE49" s="82">
        <v>0</v>
      </c>
      <c r="EF49" s="82">
        <f t="shared" si="34"/>
        <v>0</v>
      </c>
      <c r="EG49" s="204" cm="1">
        <f t="array" ref="EG49">_xlfn.IFS(EF49=0, 1, EF49&gt;2, 3, 0&gt;EF49&gt;3,2)</f>
        <v>1</v>
      </c>
      <c r="EH49" s="82">
        <v>0</v>
      </c>
      <c r="EI49" s="82">
        <v>0</v>
      </c>
      <c r="EJ49" s="82">
        <f t="shared" si="35"/>
        <v>0</v>
      </c>
      <c r="EK49" s="82" cm="1">
        <f t="array" ref="EK49">_xlfn.IFS(EH49+EI49=0, 1, EH49+EI49&gt;5, 3, EH49+EI49=5, 2, 0&gt;EH49+EI49&gt;5, 2)</f>
        <v>1</v>
      </c>
      <c r="EL49" s="82">
        <v>0</v>
      </c>
      <c r="EM49" s="82">
        <v>0</v>
      </c>
      <c r="EN49" s="82" cm="1">
        <f t="array" ref="EN49">_xlfn.IFS(EL49+EM49=0, 1, EL49+EM49&gt;10, 3, EL49+EM49 = 10, 2, 0&gt;EL49+EM49&gt;10, 2)</f>
        <v>1</v>
      </c>
      <c r="EO49" s="96">
        <f t="shared" si="55"/>
        <v>1</v>
      </c>
      <c r="EP49" s="44">
        <v>0</v>
      </c>
      <c r="EQ49" s="61" cm="1">
        <f t="array" ref="EQ49">_xlfn.IFS(EP49=0, 1, EP49&gt;$EP$60, 3, EP49&lt;$EP$60, 2)</f>
        <v>1</v>
      </c>
      <c r="ER49" s="100">
        <v>0</v>
      </c>
      <c r="ES49" s="100" cm="1">
        <f t="array" ref="ES49">_xlfn.IFS(ER49=0, 1, ER49&gt;$ER$59, 3, ER49&lt;$ER$59, 2)</f>
        <v>1</v>
      </c>
      <c r="ET49" s="44">
        <v>0</v>
      </c>
      <c r="EU49" s="44" cm="1">
        <f t="array" ref="EU49">_xlfn.IFS(ET49=0, 1, ET49=1, 2, ET49&gt;1, 3)</f>
        <v>1</v>
      </c>
      <c r="EV49" s="413">
        <f t="shared" si="56"/>
        <v>1</v>
      </c>
      <c r="EW49" s="82">
        <v>1.85</v>
      </c>
      <c r="EX49" s="210" cm="1">
        <f t="array" ref="EX49">_xlfn.IFS(EW49&gt;EX$60,3,(AND(EW49&lt;EX$60,EW49&gt;EX$59)),2,EW49&lt;EX$59,1)</f>
        <v>2</v>
      </c>
      <c r="EY49" s="253">
        <v>2780231.0146875</v>
      </c>
      <c r="EZ49" s="210" cm="1">
        <f t="array" ref="EZ49">_xlfn.IFS(EY49&gt;EZ$60,3,(AND(EY49&lt;EZ$60,EY49&gt;EZ$59)),2,EY49&lt;EZ$59,1)</f>
        <v>2</v>
      </c>
      <c r="FA49" s="82">
        <v>0</v>
      </c>
      <c r="FB49" s="210" cm="1">
        <f t="array" ref="FB49">_xlfn.IFS(FA49&gt;FB$60,3,(AND(FA49&lt;FB$60,FA49&gt;FB$59)),2,FA49&lt;FB$59,1)</f>
        <v>1</v>
      </c>
      <c r="FC49" s="416">
        <f t="shared" si="57"/>
        <v>1.75</v>
      </c>
      <c r="FD49" s="81">
        <v>1.97</v>
      </c>
      <c r="FE49" s="81" cm="1">
        <f t="array" ref="FE49">_xlfn.IFS(FD49&gt;$FD$60, 3, FD49&lt;$FD$59, 1, FD49&gt;$FD$59, 2)</f>
        <v>3</v>
      </c>
      <c r="FF49" s="44">
        <v>2</v>
      </c>
      <c r="FG49" s="61" cm="1">
        <f t="array" ref="FG49">_xlfn.IFS(FF49&lt;$FF$59, 1, FF49&gt;$FF$60, 3, FF49 = $FF$60, 3, FF49&lt;$FF$60, 2)</f>
        <v>3</v>
      </c>
      <c r="FH49" s="97">
        <f t="shared" si="58"/>
        <v>3</v>
      </c>
      <c r="FI49" s="102">
        <v>1</v>
      </c>
      <c r="FJ49" s="44">
        <v>4</v>
      </c>
      <c r="FK49" s="98">
        <f t="shared" si="59"/>
        <v>5</v>
      </c>
      <c r="FL49" s="98" cm="1">
        <f t="array" ref="FL49">_xlfn.IFS(FK49&gt;$FK$60, 3, FK49&lt;$FK$59, 1, FK49&gt;$FK$59, 2, FK49=$FK$59, 2)</f>
        <v>2</v>
      </c>
      <c r="FM49" s="99">
        <f t="shared" si="60"/>
        <v>2</v>
      </c>
    </row>
    <row r="50" spans="1:169" ht="20.100000000000001" customHeight="1">
      <c r="A50" s="38" t="s">
        <v>150</v>
      </c>
      <c r="B50" s="44" t="s">
        <v>541</v>
      </c>
      <c r="C50" s="44">
        <v>1</v>
      </c>
      <c r="D50" s="44" t="s">
        <v>542</v>
      </c>
      <c r="E50" s="44">
        <v>1</v>
      </c>
      <c r="F50" s="61" t="s">
        <v>543</v>
      </c>
      <c r="G50" s="61" cm="1">
        <f t="array" ref="G50">_xlfn.IFS(F50= "Yes", 3, F50 &lt;&gt; "Yes", 1)</f>
        <v>1</v>
      </c>
      <c r="H50" s="44" t="s">
        <v>543</v>
      </c>
      <c r="I50" s="44">
        <v>1</v>
      </c>
      <c r="J50" s="44" t="s">
        <v>543</v>
      </c>
      <c r="K50" s="44">
        <v>1</v>
      </c>
      <c r="L50" s="193">
        <f t="shared" si="37"/>
        <v>0.99999999999999989</v>
      </c>
      <c r="M50" s="48" t="s">
        <v>543</v>
      </c>
      <c r="N50" s="44">
        <v>1</v>
      </c>
      <c r="O50" s="44" t="s">
        <v>543</v>
      </c>
      <c r="P50" s="44">
        <v>1</v>
      </c>
      <c r="Q50" s="44" t="s">
        <v>543</v>
      </c>
      <c r="R50" s="44">
        <v>1</v>
      </c>
      <c r="S50" s="48" t="s">
        <v>543</v>
      </c>
      <c r="T50" s="44">
        <v>1</v>
      </c>
      <c r="U50" s="44" t="s">
        <v>543</v>
      </c>
      <c r="V50" s="44">
        <v>1</v>
      </c>
      <c r="W50" s="44" t="s">
        <v>543</v>
      </c>
      <c r="X50" s="44">
        <v>1</v>
      </c>
      <c r="Y50" s="39" t="s">
        <v>543</v>
      </c>
      <c r="Z50" s="44">
        <v>1</v>
      </c>
      <c r="AA50" s="72">
        <f t="shared" si="43"/>
        <v>0.99999999999999978</v>
      </c>
      <c r="AB50" s="39" t="s">
        <v>543</v>
      </c>
      <c r="AC50" s="44" t="s">
        <v>542</v>
      </c>
      <c r="AD50" s="44">
        <v>1</v>
      </c>
      <c r="AE50" s="44" t="s">
        <v>543</v>
      </c>
      <c r="AF50" s="44" cm="1">
        <f t="array" ref="AF50">_xlfn.IFS(AE50="NA", 1, AE50="No", 1, AE50="Yes, implicit", 2, AE50="Yes, explicit", 3)</f>
        <v>1</v>
      </c>
      <c r="AG50" s="44" t="s">
        <v>543</v>
      </c>
      <c r="AH50" s="44" t="s">
        <v>543</v>
      </c>
      <c r="AI50" s="44">
        <v>1</v>
      </c>
      <c r="AJ50" s="73">
        <f t="shared" si="44"/>
        <v>1</v>
      </c>
      <c r="AK50" s="76" t="s">
        <v>544</v>
      </c>
      <c r="AL50" s="74">
        <f t="shared" si="10"/>
        <v>1</v>
      </c>
      <c r="AM50" s="74" t="s">
        <v>545</v>
      </c>
      <c r="AN50" s="74">
        <f t="shared" si="11"/>
        <v>1</v>
      </c>
      <c r="AO50" s="76" t="s">
        <v>181</v>
      </c>
      <c r="AP50" s="74">
        <f t="shared" si="12"/>
        <v>3</v>
      </c>
      <c r="AQ50" s="75">
        <f t="shared" si="45"/>
        <v>0.5</v>
      </c>
      <c r="AR50" s="74" t="s">
        <v>545</v>
      </c>
      <c r="AS50" s="74">
        <f t="shared" si="14"/>
        <v>1</v>
      </c>
      <c r="AT50" s="76" t="s">
        <v>181</v>
      </c>
      <c r="AU50" s="74">
        <f t="shared" si="15"/>
        <v>3</v>
      </c>
      <c r="AV50" s="74">
        <f t="shared" si="46"/>
        <v>0.4</v>
      </c>
      <c r="AW50" s="76" t="s">
        <v>548</v>
      </c>
      <c r="AX50" s="195">
        <f t="shared" si="47"/>
        <v>0.5</v>
      </c>
      <c r="AY50" s="76" t="s">
        <v>546</v>
      </c>
      <c r="AZ50" s="76">
        <f t="shared" si="48"/>
        <v>3</v>
      </c>
      <c r="BA50" s="76" t="s">
        <v>181</v>
      </c>
      <c r="BB50" s="74">
        <f t="shared" si="18"/>
        <v>3</v>
      </c>
      <c r="BC50" s="76" t="s">
        <v>181</v>
      </c>
      <c r="BD50" s="74">
        <f t="shared" si="49"/>
        <v>3</v>
      </c>
      <c r="BE50" s="76">
        <f t="shared" si="50"/>
        <v>0.90000000000000013</v>
      </c>
      <c r="BF50" s="76"/>
      <c r="BG50" s="76"/>
      <c r="BH50" s="77">
        <f t="shared" si="38"/>
        <v>0</v>
      </c>
      <c r="BI50" s="77">
        <f t="shared" si="39"/>
        <v>0</v>
      </c>
      <c r="BJ50" s="77">
        <f t="shared" si="40"/>
        <v>0</v>
      </c>
      <c r="BK50" s="77">
        <f t="shared" si="41"/>
        <v>0</v>
      </c>
      <c r="BL50" s="78">
        <f t="shared" si="51"/>
        <v>2.3000000000000003</v>
      </c>
      <c r="BM50" s="76" t="s">
        <v>181</v>
      </c>
      <c r="BN50" s="197" cm="1">
        <f t="array" ref="BN50">_xlfn.IFS(BM50="Y", 3, BM50="N", 2)</f>
        <v>3</v>
      </c>
      <c r="BO50" s="76" t="s">
        <v>181</v>
      </c>
      <c r="BP50" s="197" cm="1">
        <f t="array" ref="BP50">_xlfn.IFS(BO50="Y", 3, BO50="N", 2)</f>
        <v>3</v>
      </c>
      <c r="BQ50" s="79">
        <f t="shared" si="62"/>
        <v>3</v>
      </c>
      <c r="BR50" s="44">
        <v>126000</v>
      </c>
      <c r="BS50" s="44">
        <f t="shared" si="23"/>
        <v>126000000</v>
      </c>
      <c r="BT50" s="44">
        <f t="shared" si="24"/>
        <v>196875</v>
      </c>
      <c r="BU50" s="80">
        <v>261232</v>
      </c>
      <c r="BV50" s="81">
        <f t="shared" si="25"/>
        <v>75.364044221228639</v>
      </c>
      <c r="BW50" s="82" cm="1">
        <f t="array" ref="BW50">_xlfn.IFS(BV50&gt;44, 3, BV50&lt;26, 1, 44&gt;BV50&gt;26, 2)</f>
        <v>3</v>
      </c>
      <c r="BX50" s="82">
        <v>31534335</v>
      </c>
      <c r="BY50" s="82" cm="1">
        <f t="array" ref="BY50">_xlfn.IFS(BX50&gt;12000000, 3, BX50&lt;4000000, 1, 4000000&gt;BX50&gt;12000000, 2)</f>
        <v>3</v>
      </c>
      <c r="BZ50" s="80">
        <v>7.4799881689289416</v>
      </c>
      <c r="CA50" s="82" cm="1">
        <f t="array" ref="CA50">_xlfn.IFS(BZ50&gt;$BZ$60, 1, BZ50&lt;$BZ$59, 3, BZ50&gt;$BZ$59, 2, BZ50=$BZ$59, 2)</f>
        <v>1</v>
      </c>
      <c r="CB50" s="413">
        <f t="shared" si="52"/>
        <v>2.3000000000000003</v>
      </c>
      <c r="CC50" s="44">
        <v>17597796</v>
      </c>
      <c r="CD50" s="44" cm="1">
        <f t="array" ref="CD50">_xlfn.IFS(CC50&gt;4200000, 3, CC50&lt;1700000, 1, 4200000&gt;CC50&gt;1700000, 2)</f>
        <v>3</v>
      </c>
      <c r="CE50" s="44">
        <v>1174035.3100000005</v>
      </c>
      <c r="CF50" s="44" cm="1">
        <f t="array" ref="CF50">_xlfn.IFS(CE50&lt;120000, 1, CE50&gt;620000, 3, 620000&gt;CE50&gt;120000, 2)</f>
        <v>3</v>
      </c>
      <c r="CG50" s="44">
        <v>3586888.2999999952</v>
      </c>
      <c r="CH50" s="44" cm="1">
        <f t="array" ref="CH50">_xlfn.IFS(CG50&lt;300000, 1, CG50&gt;1700000, 3, 300000&gt;CG50&gt;170000, 2)</f>
        <v>3</v>
      </c>
      <c r="CI50" s="44">
        <v>77.47387646</v>
      </c>
      <c r="CJ50" s="61" cm="1">
        <f t="array" ref="CJ50">_xlfn.IFS(CI50&lt;$CI$60, 1, CI50&gt;$CI$61, 3, CI50&lt;$CI$61, 2)</f>
        <v>3</v>
      </c>
      <c r="CK50" s="205">
        <f t="shared" si="27"/>
        <v>3</v>
      </c>
      <c r="CL50" s="108">
        <v>110000000</v>
      </c>
      <c r="CM50" s="48" cm="1">
        <f t="array" ref="CM50">_xlfn.IFS(CL50&gt;4600000, 3, CL50&lt;430000, 1, 4600000&gt;CL50&gt;430000, 2)</f>
        <v>3</v>
      </c>
      <c r="CN50" s="72">
        <f t="shared" si="53"/>
        <v>3</v>
      </c>
      <c r="CO50" s="39">
        <v>0</v>
      </c>
      <c r="CP50" s="65" cm="1">
        <f t="array" ref="CP50">_xlfn.IFS(CO50=0, 1, CO50="active", 3, CO50="permitted", 2)</f>
        <v>1</v>
      </c>
      <c r="CQ50" s="39">
        <v>131670000</v>
      </c>
      <c r="CR50" s="39" cm="1">
        <f t="array" ref="CR50">_xlfn.IFS(CQ50=0, 1, CQ50&lt;&gt;0, 3)</f>
        <v>3</v>
      </c>
      <c r="CS50" s="72">
        <v>3</v>
      </c>
      <c r="CT50" s="48" t="s">
        <v>181</v>
      </c>
      <c r="CU50" s="48">
        <v>1748</v>
      </c>
      <c r="CV50" s="107">
        <v>268596</v>
      </c>
      <c r="CW50" s="39">
        <f>CU50/CV50</f>
        <v>6.5079152332871678E-3</v>
      </c>
      <c r="CX50" s="207" cm="1">
        <f t="array" ref="CX50">_xlfn.IFS(CT50="N", 0, CW50&lt;$CW$61, 2, CW50 = $CW$61, 2, CW50&gt;$CW$61, 3)</f>
        <v>2</v>
      </c>
      <c r="CY50" s="207">
        <v>8</v>
      </c>
      <c r="CZ50" s="207" cm="1">
        <f t="array" ref="CZ50">_xlfn.IFS(CY50="NA", "NA", CY50=0, 1, CY50=1, 2, CY50&gt;1, 3)</f>
        <v>3</v>
      </c>
      <c r="DA50" s="201">
        <f t="shared" si="28"/>
        <v>2.25</v>
      </c>
      <c r="DB50" s="86">
        <v>35</v>
      </c>
      <c r="DC50" s="61" cm="1">
        <f t="array" ref="DC50">_xlfn.IFS(DB50&gt;$DB$61, 3, DB50=0, 1, DB50&lt;$DB$61, 2, DB50=$DB$61, 2)</f>
        <v>2</v>
      </c>
      <c r="DD50" s="87">
        <v>57029</v>
      </c>
      <c r="DE50" s="44" cm="1">
        <f t="array" ref="DE50">_xlfn.IFS(DD50&gt;$DD$62, 3, DD50&lt;$DD$60, 1, DD50&gt;$DD$60, 2, DD50=$DD$60, 2)</f>
        <v>3</v>
      </c>
      <c r="DF50" s="44">
        <v>2798</v>
      </c>
      <c r="DG50" s="61" cm="1">
        <f t="array" ref="DG50">_xlfn.IFS(DF50=0, 1, DF50&lt;$DF$61, 2, DF50&gt;$DF$61, 3)</f>
        <v>3</v>
      </c>
      <c r="DH50" s="415">
        <f t="shared" si="29"/>
        <v>2.6666666666666634</v>
      </c>
      <c r="DI50" s="82">
        <v>4038690500</v>
      </c>
      <c r="DJ50" s="82">
        <f t="shared" si="30"/>
        <v>461037.72831050231</v>
      </c>
      <c r="DK50" s="88">
        <v>63707.899999999972</v>
      </c>
      <c r="DL50" s="89">
        <f t="shared" si="31"/>
        <v>0.13818370187069293</v>
      </c>
      <c r="DM50" s="88" cm="1">
        <f t="array" ref="DM50">_xlfn.IFS(DL50&gt;$DL$60,3,(AND(DL50&lt;$DL$60,DL50&gt;$DL$59)),2,DL50&lt;$DL$59,1)</f>
        <v>2</v>
      </c>
      <c r="DN50" s="88">
        <v>149237</v>
      </c>
      <c r="DO50" s="90">
        <f t="shared" si="32"/>
        <v>3.6951828816790988E-2</v>
      </c>
      <c r="DP50" s="88" cm="1">
        <f t="array" ref="DP50">_xlfn.IFS(DO50&gt;DO$60,3,(AND(DO50&lt;DO$60,DO50&gt;DO$59)),2,DO50&lt;DO$59,1)</f>
        <v>2</v>
      </c>
      <c r="DQ50" s="91">
        <v>269224.99999999988</v>
      </c>
      <c r="DR50" s="92">
        <f t="shared" si="33"/>
        <v>0.31772468163705647</v>
      </c>
      <c r="DS50" s="88" cm="1">
        <f t="array" ref="DS50">_xlfn.IFS(DR50&gt;DR$60,3,(AND(DR50&lt;DR$60,DR50&gt;DR$59)),2,DR50&lt;DR$59,1)</f>
        <v>2</v>
      </c>
      <c r="DT50" s="91" t="s">
        <v>547</v>
      </c>
      <c r="DU50" s="213" cm="1">
        <f t="array" ref="DU50">_xlfn.IFS(DT50="no data","",DT50="40-45", 1, DT50= "45-50", 1, DT50="50-55", 1, DT50 ="30-35", 2, DT50="25-30", 2, DT50="35-40", 2, DT50="20-25", 3, DT50="15-20", 3)</f>
        <v>2</v>
      </c>
      <c r="DV50" s="88">
        <v>85734935854.388138</v>
      </c>
      <c r="DW50" s="88" cm="1">
        <f t="array" ref="DW50">_xlfn.IFS(DV50&gt;DV$60,3,(AND(DV50&lt;DV$60,DV50&gt;DV$59)),2,DV50&lt;DV$59,1)</f>
        <v>3</v>
      </c>
      <c r="DX50" s="93">
        <v>5</v>
      </c>
      <c r="DY50" s="88" cm="1">
        <f t="array" ref="DY50">_xlfn.IFS(DX50&gt;6.99,1,AND(DX50 &gt; 3, DX50 &lt; 7),2,DX50&lt;3.99,3)</f>
        <v>2</v>
      </c>
      <c r="DZ50" s="94">
        <f t="shared" si="54"/>
        <v>2.1</v>
      </c>
      <c r="EA50" s="95">
        <v>2161300</v>
      </c>
      <c r="EB50" s="82">
        <v>2875900</v>
      </c>
      <c r="EC50" s="82">
        <v>10370</v>
      </c>
      <c r="ED50" s="82">
        <v>0</v>
      </c>
      <c r="EE50" s="82">
        <v>2</v>
      </c>
      <c r="EF50" s="82">
        <f t="shared" si="34"/>
        <v>2</v>
      </c>
      <c r="EG50" s="204" cm="1">
        <f t="array" ref="EG50">_xlfn.IFS(EF50=0, 1, EF50&gt;2, 3, 0&gt;EF50&gt;3,2)</f>
        <v>2</v>
      </c>
      <c r="EH50" s="82">
        <v>1</v>
      </c>
      <c r="EI50" s="82">
        <v>0</v>
      </c>
      <c r="EJ50" s="82">
        <f t="shared" si="35"/>
        <v>1</v>
      </c>
      <c r="EK50" s="82" cm="1">
        <f t="array" ref="EK50">_xlfn.IFS(EH50+EI50=0, 1, EH50+EI50&gt;5, 3, EH50+EI50=5, 2, 0&gt;EH50+EI50&gt;5, 2)</f>
        <v>2</v>
      </c>
      <c r="EL50" s="82">
        <v>0</v>
      </c>
      <c r="EM50" s="82">
        <v>0</v>
      </c>
      <c r="EN50" s="82" cm="1">
        <f t="array" ref="EN50">_xlfn.IFS(EL50+EM50=0, 1, EL50+EM50&gt;10, 3, EL50+EM50 = 10, 2, 0&gt;EL50+EM50&gt;10, 2)</f>
        <v>1</v>
      </c>
      <c r="EO50" s="96">
        <f t="shared" si="55"/>
        <v>1.6666666666666665</v>
      </c>
      <c r="EP50" s="44">
        <v>20</v>
      </c>
      <c r="EQ50" s="61" cm="1">
        <f t="array" ref="EQ50">_xlfn.IFS(EP50=0, 1, EP50&gt;$EP$60, 3, EP50&lt;$EP$60, 2)</f>
        <v>3</v>
      </c>
      <c r="ER50" s="100">
        <v>1832.5</v>
      </c>
      <c r="ES50" s="100" cm="1">
        <f t="array" ref="ES50">_xlfn.IFS(ER50=0, 1, ER50&gt;$ER$59, 3, ER50&lt;$ER$59, 2)</f>
        <v>3</v>
      </c>
      <c r="ET50" s="44">
        <v>1</v>
      </c>
      <c r="EU50" s="44" cm="1">
        <f t="array" ref="EU50">_xlfn.IFS(ET50=0, 1, ET50=1, 2, ET50&gt;1, 3)</f>
        <v>2</v>
      </c>
      <c r="EV50" s="413">
        <f t="shared" si="56"/>
        <v>2.6000000000000005</v>
      </c>
      <c r="EW50" s="82">
        <v>1665.19</v>
      </c>
      <c r="EX50" s="210" cm="1">
        <f t="array" ref="EX50">_xlfn.IFS(EW50&gt;EX$60,3,(AND(EW50&lt;EX$60,EW50&gt;EX$59)),2,EW50&lt;EX$59,1)</f>
        <v>3</v>
      </c>
      <c r="EY50" s="253">
        <v>339052710.60000002</v>
      </c>
      <c r="EZ50" s="210" cm="1">
        <f t="array" ref="EZ50">_xlfn.IFS(EY50&gt;EZ$60,3,(AND(EY50&lt;EZ$60,EY50&gt;EZ$59)),2,EY50&lt;EZ$59,1)</f>
        <v>2</v>
      </c>
      <c r="FA50" s="253">
        <v>2608024789500</v>
      </c>
      <c r="FB50" s="210" cm="1">
        <f t="array" ref="FB50">_xlfn.IFS(FA50&gt;FB$60,3,(AND(FA50&lt;FB$60,FA50&gt;FB$59)),2,FA50&lt;FB$59,1)</f>
        <v>2</v>
      </c>
      <c r="FC50" s="416">
        <f t="shared" si="57"/>
        <v>2.5</v>
      </c>
      <c r="FD50" s="81">
        <v>8.17</v>
      </c>
      <c r="FE50" s="81" cm="1">
        <f t="array" ref="FE50">_xlfn.IFS(FD50&gt;$FD$60, 3, FD50&lt;$FD$59, 1, FD50&gt;$FD$59, 2)</f>
        <v>3</v>
      </c>
      <c r="FF50" s="44">
        <v>10</v>
      </c>
      <c r="FG50" s="61" cm="1">
        <f t="array" ref="FG50">_xlfn.IFS(FF50&lt;$FF$59, 1, FF50&gt;$FF$60, 3, FF50 = $FF$60, 3, FF50&lt;$FF$60, 2)</f>
        <v>3</v>
      </c>
      <c r="FH50" s="97">
        <f t="shared" si="58"/>
        <v>3</v>
      </c>
      <c r="FI50" s="102">
        <v>53</v>
      </c>
      <c r="FJ50" s="44">
        <v>3</v>
      </c>
      <c r="FK50" s="98">
        <f t="shared" si="59"/>
        <v>56</v>
      </c>
      <c r="FL50" s="98" cm="1">
        <f t="array" ref="FL50">_xlfn.IFS(FK50&gt;$FK$60, 3, FK50&lt;$FK$59, 1, FK50&gt;$FK$59, 2, FK50=$FK$59, 2)</f>
        <v>3</v>
      </c>
      <c r="FM50" s="99">
        <f t="shared" si="60"/>
        <v>3</v>
      </c>
    </row>
    <row r="51" spans="1:169" ht="20.100000000000001" customHeight="1">
      <c r="A51" s="38" t="s">
        <v>151</v>
      </c>
      <c r="B51" s="44" t="s">
        <v>541</v>
      </c>
      <c r="C51" s="44">
        <v>1</v>
      </c>
      <c r="D51" s="44" t="s">
        <v>542</v>
      </c>
      <c r="E51" s="44">
        <v>1</v>
      </c>
      <c r="F51" s="61" t="s">
        <v>543</v>
      </c>
      <c r="G51" s="61" cm="1">
        <f t="array" ref="G51">_xlfn.IFS(F51= "Yes", 3, F51 &lt;&gt; "Yes", 1)</f>
        <v>1</v>
      </c>
      <c r="H51" s="44" t="s">
        <v>543</v>
      </c>
      <c r="I51" s="44">
        <v>1</v>
      </c>
      <c r="J51" s="44" t="s">
        <v>543</v>
      </c>
      <c r="K51" s="44">
        <v>1</v>
      </c>
      <c r="L51" s="193">
        <f t="shared" si="37"/>
        <v>0.99999999999999989</v>
      </c>
      <c r="M51" s="48" t="s">
        <v>543</v>
      </c>
      <c r="N51" s="44">
        <v>1</v>
      </c>
      <c r="O51" s="44" t="s">
        <v>543</v>
      </c>
      <c r="P51" s="44">
        <v>1</v>
      </c>
      <c r="Q51" s="44" t="s">
        <v>543</v>
      </c>
      <c r="R51" s="44">
        <v>1</v>
      </c>
      <c r="S51" s="48" t="s">
        <v>543</v>
      </c>
      <c r="T51" s="44">
        <v>1</v>
      </c>
      <c r="U51" s="44" t="s">
        <v>543</v>
      </c>
      <c r="V51" s="44">
        <v>1</v>
      </c>
      <c r="W51" s="44" t="s">
        <v>543</v>
      </c>
      <c r="X51" s="44">
        <v>1</v>
      </c>
      <c r="Y51" s="39" t="s">
        <v>543</v>
      </c>
      <c r="Z51" s="44">
        <v>1</v>
      </c>
      <c r="AA51" s="72">
        <f t="shared" si="43"/>
        <v>0.99999999999999978</v>
      </c>
      <c r="AB51" s="39" t="s">
        <v>543</v>
      </c>
      <c r="AC51" s="44" t="s">
        <v>542</v>
      </c>
      <c r="AD51" s="44">
        <v>1</v>
      </c>
      <c r="AE51" s="44" t="s">
        <v>543</v>
      </c>
      <c r="AF51" s="44" cm="1">
        <f t="array" ref="AF51">_xlfn.IFS(AE51="NA", 1, AE51="No", 1, AE51="Yes, implicit", 2, AE51="Yes, explicit", 3)</f>
        <v>1</v>
      </c>
      <c r="AG51" s="44" t="s">
        <v>543</v>
      </c>
      <c r="AH51" s="44" t="s">
        <v>543</v>
      </c>
      <c r="AI51" s="44">
        <v>1</v>
      </c>
      <c r="AJ51" s="73">
        <f t="shared" si="44"/>
        <v>1</v>
      </c>
      <c r="AK51" s="76" t="s">
        <v>544</v>
      </c>
      <c r="AL51" s="74">
        <f t="shared" si="10"/>
        <v>1</v>
      </c>
      <c r="AM51" s="74" t="s">
        <v>545</v>
      </c>
      <c r="AN51" s="74">
        <f t="shared" si="11"/>
        <v>1</v>
      </c>
      <c r="AO51" s="74" t="s">
        <v>545</v>
      </c>
      <c r="AP51" s="74">
        <f t="shared" si="12"/>
        <v>1</v>
      </c>
      <c r="AQ51" s="75">
        <f t="shared" si="45"/>
        <v>0.30000000000000004</v>
      </c>
      <c r="AR51" s="74" t="s">
        <v>545</v>
      </c>
      <c r="AS51" s="74">
        <f t="shared" si="14"/>
        <v>1</v>
      </c>
      <c r="AT51" s="74" t="s">
        <v>545</v>
      </c>
      <c r="AU51" s="74">
        <f t="shared" si="15"/>
        <v>1</v>
      </c>
      <c r="AV51" s="74">
        <f t="shared" si="46"/>
        <v>0.2</v>
      </c>
      <c r="AW51" s="76" t="s">
        <v>545</v>
      </c>
      <c r="AX51" s="195">
        <f t="shared" si="47"/>
        <v>0.4</v>
      </c>
      <c r="AY51" s="76" t="s">
        <v>545</v>
      </c>
      <c r="AZ51" s="76">
        <f t="shared" si="48"/>
        <v>1</v>
      </c>
      <c r="BA51" s="76" t="s">
        <v>545</v>
      </c>
      <c r="BB51" s="74">
        <f t="shared" si="18"/>
        <v>1</v>
      </c>
      <c r="BC51" s="76" t="s">
        <v>545</v>
      </c>
      <c r="BD51" s="74">
        <f t="shared" si="49"/>
        <v>1</v>
      </c>
      <c r="BE51" s="76">
        <f t="shared" si="50"/>
        <v>0.30000000000000004</v>
      </c>
      <c r="BF51" s="76"/>
      <c r="BG51" s="76"/>
      <c r="BH51" s="77">
        <f t="shared" si="38"/>
        <v>0</v>
      </c>
      <c r="BI51" s="77">
        <f t="shared" si="39"/>
        <v>0</v>
      </c>
      <c r="BJ51" s="77">
        <f t="shared" si="40"/>
        <v>0</v>
      </c>
      <c r="BK51" s="77">
        <f t="shared" si="41"/>
        <v>0</v>
      </c>
      <c r="BL51" s="78">
        <f t="shared" si="51"/>
        <v>1.2000000000000002</v>
      </c>
      <c r="BM51" s="76" t="s">
        <v>181</v>
      </c>
      <c r="BN51" s="197" cm="1">
        <f t="array" ref="BN51">_xlfn.IFS(BM51="Y", 3, BM51="N", 2)</f>
        <v>3</v>
      </c>
      <c r="BO51" s="76" t="s">
        <v>181</v>
      </c>
      <c r="BP51" s="197" cm="1">
        <f t="array" ref="BP51">_xlfn.IFS(BO51="Y", 3, BO51="N", 2)</f>
        <v>3</v>
      </c>
      <c r="BQ51" s="79">
        <f t="shared" si="62"/>
        <v>3</v>
      </c>
      <c r="BR51" s="44">
        <v>10700</v>
      </c>
      <c r="BS51" s="44">
        <f t="shared" si="23"/>
        <v>10700000</v>
      </c>
      <c r="BT51" s="44">
        <f t="shared" si="24"/>
        <v>16718.75</v>
      </c>
      <c r="BU51" s="80">
        <v>82170</v>
      </c>
      <c r="BV51" s="81">
        <f t="shared" si="25"/>
        <v>20.346537665814772</v>
      </c>
      <c r="BW51" s="82" cm="1">
        <f t="array" ref="BW51">_xlfn.IFS(BV51&gt;44, 3, BV51&lt;26, 1, 44&gt;BV51&gt;26, 2)</f>
        <v>1</v>
      </c>
      <c r="BX51" s="82">
        <v>2878535</v>
      </c>
      <c r="BY51" s="82" cm="1">
        <f t="array" ref="BY51">_xlfn.IFS(BX51&gt;12000000, 3, BX51&lt;4000000, 1, 4000000&gt;BX51&gt;12000000, 2)</f>
        <v>1</v>
      </c>
      <c r="BZ51" s="80">
        <v>8.0833598130002571</v>
      </c>
      <c r="CA51" s="82" cm="1">
        <f t="array" ref="CA51">_xlfn.IFS(BZ51&gt;$BZ$60, 1, BZ51&lt;$BZ$59, 3, BZ51&gt;$BZ$59, 2, BZ51=$BZ$59, 2)</f>
        <v>1</v>
      </c>
      <c r="CB51" s="413">
        <f t="shared" si="52"/>
        <v>1</v>
      </c>
      <c r="CC51" s="44">
        <v>1684356</v>
      </c>
      <c r="CD51" s="44" cm="1">
        <f t="array" ref="CD51">_xlfn.IFS(CC51&gt;4200000, 3, CC51&lt;1700000, 1, 4200000&gt;CC51&gt;1700000, 2)</f>
        <v>1</v>
      </c>
      <c r="CE51" s="44">
        <v>125337.49000000005</v>
      </c>
      <c r="CF51" s="44" cm="1">
        <f t="array" ref="CF51">_xlfn.IFS(CE51&lt;120000, 1, CE51&gt;620000, 3, 620000&gt;CE51&gt;120000, 2)</f>
        <v>2</v>
      </c>
      <c r="CG51" s="44">
        <v>144674.20000000001</v>
      </c>
      <c r="CH51" s="44" cm="1">
        <f t="array" ref="CH51">_xlfn.IFS(CG51&lt;300000, 1, CG51&gt;1700000, 3, 300000&gt;CG51&gt;170000, 2)</f>
        <v>1</v>
      </c>
      <c r="CI51" s="44">
        <v>82.151908460000001</v>
      </c>
      <c r="CJ51" s="61" cm="1">
        <f t="array" ref="CJ51">_xlfn.IFS(CI51&lt;$CI$60, 1, CI51&gt;$CI$61, 3, CI51&lt;$CI$61, 2)</f>
        <v>3</v>
      </c>
      <c r="CK51" s="205">
        <f t="shared" si="27"/>
        <v>1.7000000000000002</v>
      </c>
      <c r="CL51" s="44">
        <v>0</v>
      </c>
      <c r="CM51" s="48" cm="1">
        <f t="array" ref="CM51">_xlfn.IFS(CL51&gt;4600000, 3, CL51&lt;430000, 1, 4600000&gt;CL51&gt;430000, 2)</f>
        <v>1</v>
      </c>
      <c r="CN51" s="72">
        <f t="shared" si="53"/>
        <v>1</v>
      </c>
      <c r="CO51" s="39">
        <v>0</v>
      </c>
      <c r="CP51" s="65" cm="1">
        <f t="array" ref="CP51">_xlfn.IFS(CO51=0, 1, CO51="active", 3, CO51="permitted", 2)</f>
        <v>1</v>
      </c>
      <c r="CQ51" s="39">
        <v>0</v>
      </c>
      <c r="CR51" s="39" cm="1">
        <f t="array" ref="CR51">_xlfn.IFS(CQ51=0, 1, CQ51&lt;&gt;0, 3)</f>
        <v>1</v>
      </c>
      <c r="CS51" s="72">
        <v>1</v>
      </c>
      <c r="CT51" s="44" t="s">
        <v>545</v>
      </c>
      <c r="CU51" s="82">
        <v>0</v>
      </c>
      <c r="CV51" s="82">
        <v>84897</v>
      </c>
      <c r="CW51" s="39" t="s">
        <v>542</v>
      </c>
      <c r="CX51" s="207" cm="1">
        <f t="array" ref="CX51">_xlfn.IFS(CT51="N", 0, CW51&lt;$CW$61, 2, CW51 = $CW$61, 2, CW51&gt;$CW$61, 3)</f>
        <v>0</v>
      </c>
      <c r="CY51" s="207" t="s">
        <v>542</v>
      </c>
      <c r="CZ51" s="207" t="str" cm="1">
        <f t="array" ref="CZ51">_xlfn.IFS(CY51="NA", "NA", CY51=0, 1, CY51=1, 2, CY51&gt;1, 3)</f>
        <v>NA</v>
      </c>
      <c r="DA51" s="201">
        <f t="shared" si="28"/>
        <v>0</v>
      </c>
      <c r="DB51" s="101">
        <v>51436</v>
      </c>
      <c r="DC51" s="61" cm="1">
        <f t="array" ref="DC51">_xlfn.IFS(DB51&gt;$DB$61, 3, DB51=0, 1, DB51&lt;$DB$61, 2, DB51=$DB$61, 2)</f>
        <v>3</v>
      </c>
      <c r="DD51" s="87">
        <v>5300</v>
      </c>
      <c r="DE51" s="44" cm="1">
        <f t="array" ref="DE51">_xlfn.IFS(DD51&gt;$DD$62, 3, DD51&lt;$DD$60, 1, DD51&gt;$DD$60, 2, DD51=$DD$60, 2)</f>
        <v>2</v>
      </c>
      <c r="DF51" s="44">
        <v>159</v>
      </c>
      <c r="DG51" s="61" cm="1">
        <f t="array" ref="DG51">_xlfn.IFS(DF51=0, 1, DF51&lt;$DF$61, 2, DF51&gt;$DF$61, 3)</f>
        <v>2</v>
      </c>
      <c r="DH51" s="415">
        <f t="shared" si="29"/>
        <v>2.3333333333333308</v>
      </c>
      <c r="DI51" s="82">
        <v>248724142</v>
      </c>
      <c r="DJ51" s="82">
        <f t="shared" si="30"/>
        <v>28393.16689497717</v>
      </c>
      <c r="DK51" s="88">
        <v>2417.1</v>
      </c>
      <c r="DL51" s="89">
        <f t="shared" si="31"/>
        <v>8.5129637315222897E-2</v>
      </c>
      <c r="DM51" s="88" cm="1">
        <f t="array" ref="DM51">_xlfn.IFS(DL51&gt;$DL$60,3,(AND(DL51&lt;$DL$60,DL51&gt;$DL$59)),2,DL51&lt;$DL$59,1)</f>
        <v>1</v>
      </c>
      <c r="DN51" s="88">
        <v>5740</v>
      </c>
      <c r="DO51" s="90">
        <f t="shared" si="32"/>
        <v>2.3077775859811789E-2</v>
      </c>
      <c r="DP51" s="88" cm="1">
        <f t="array" ref="DP51">_xlfn.IFS(DO51&gt;DO$60,3,(AND(DO51&lt;DO$60,DO51&gt;DO$59)),2,DO51&lt;DO$59,1)</f>
        <v>2</v>
      </c>
      <c r="DQ51" s="91">
        <v>36328</v>
      </c>
      <c r="DR51" s="92">
        <f t="shared" si="33"/>
        <v>0.51351686210391678</v>
      </c>
      <c r="DS51" s="88" cm="1">
        <f t="array" ref="DS51">_xlfn.IFS(DR51&gt;DR$60,3,(AND(DR51&lt;DR$60,DR51&gt;DR$59)),2,DR51&lt;DR$59,1)</f>
        <v>3</v>
      </c>
      <c r="DT51" s="91" t="s">
        <v>547</v>
      </c>
      <c r="DU51" s="213" cm="1">
        <f t="array" ref="DU51">_xlfn.IFS(DT51="no data","",DT51="40-45", 1, DT51= "45-50", 1, DT51="50-55", 1, DT51 ="30-35", 2, DT51="25-30", 2, DT51="35-40", 2, DT51="20-25", 3, DT51="15-20", 3)</f>
        <v>2</v>
      </c>
      <c r="DV51" s="88">
        <v>10145950471.066547</v>
      </c>
      <c r="DW51" s="88" cm="1">
        <f t="array" ref="DW51">_xlfn.IFS(DV51&gt;DV$60,3,(AND(DV51&lt;DV$60,DV51&gt;DV$59)),2,DV51&lt;DV$59,1)</f>
        <v>3</v>
      </c>
      <c r="DX51" s="93">
        <v>3</v>
      </c>
      <c r="DY51" s="88" cm="1">
        <f t="array" ref="DY51">_xlfn.IFS(DX51&gt;6.99,1,AND(DX51 &gt; 3, DX51 &lt; 7),2,DX51&lt;3.99,3)</f>
        <v>3</v>
      </c>
      <c r="DZ51" s="94">
        <f t="shared" si="54"/>
        <v>2</v>
      </c>
      <c r="EA51" s="95">
        <v>258500</v>
      </c>
      <c r="EB51" s="82">
        <v>241300</v>
      </c>
      <c r="EC51" s="82">
        <v>1388</v>
      </c>
      <c r="ED51" s="82">
        <v>7</v>
      </c>
      <c r="EE51" s="82">
        <v>31</v>
      </c>
      <c r="EF51" s="82">
        <f t="shared" si="34"/>
        <v>38</v>
      </c>
      <c r="EG51" s="204" cm="1">
        <f t="array" ref="EG51">_xlfn.IFS(EF51=0, 1, EF51&gt;2, 3, 0&gt;EF51&gt;3,2)</f>
        <v>3</v>
      </c>
      <c r="EH51" s="82">
        <v>12</v>
      </c>
      <c r="EI51" s="82">
        <v>51</v>
      </c>
      <c r="EJ51" s="82">
        <f t="shared" si="35"/>
        <v>63</v>
      </c>
      <c r="EK51" s="82" cm="1">
        <f t="array" ref="EK51">_xlfn.IFS(EH51+EI51=0, 1, EH51+EI51&gt;5, 3, EH51+EI51=5, 2, 0&gt;EH51+EI51&gt;5, 2)</f>
        <v>3</v>
      </c>
      <c r="EL51" s="82">
        <v>0</v>
      </c>
      <c r="EM51" s="82">
        <v>1</v>
      </c>
      <c r="EN51" s="82" cm="1">
        <f t="array" ref="EN51">_xlfn.IFS(EL51+EM51=0, 1, EL51+EM51&gt;10, 3, EL51+EM51 = 10, 2, 0&gt;EL51+EM51&gt;10, 2)</f>
        <v>2</v>
      </c>
      <c r="EO51" s="96">
        <f t="shared" si="55"/>
        <v>2.6666666666666665</v>
      </c>
      <c r="EP51" s="44">
        <v>0.5</v>
      </c>
      <c r="EQ51" s="61" cm="1">
        <f t="array" ref="EQ51">_xlfn.IFS(EP51=0, 1, EP51&gt;$EP$60, 3, EP51&lt;$EP$60, 2)</f>
        <v>2</v>
      </c>
      <c r="ER51" s="100">
        <v>89.1</v>
      </c>
      <c r="ES51" s="100" cm="1">
        <f t="array" ref="ES51">_xlfn.IFS(ER51=0, 1, ER51&gt;$ER$59, 3, ER51&lt;$ER$59, 2)</f>
        <v>2</v>
      </c>
      <c r="ET51" s="44">
        <v>0</v>
      </c>
      <c r="EU51" s="44" cm="1">
        <f t="array" ref="EU51">_xlfn.IFS(ET51=0, 1, ET51=1, 2, ET51&gt;1, 3)</f>
        <v>1</v>
      </c>
      <c r="EV51" s="413">
        <f t="shared" si="56"/>
        <v>1.6</v>
      </c>
      <c r="EW51" s="82">
        <v>91.11</v>
      </c>
      <c r="EX51" s="210" cm="1">
        <f t="array" ref="EX51">_xlfn.IFS(EW51&gt;EX$60,3,(AND(EW51&lt;EX$60,EW51&gt;EX$59)),2,EW51&lt;EX$59,1)</f>
        <v>3</v>
      </c>
      <c r="EY51" s="82">
        <v>0</v>
      </c>
      <c r="EZ51" s="210" cm="1">
        <f t="array" ref="EZ51">_xlfn.IFS(EY51&gt;EZ$60,3,(AND(EY51&lt;EZ$60,EY51&gt;EZ$59)),2,EY51&lt;EZ$59,1)</f>
        <v>1</v>
      </c>
      <c r="FA51" s="253">
        <v>6637800009800</v>
      </c>
      <c r="FB51" s="210" cm="1">
        <f t="array" ref="FB51">_xlfn.IFS(FA51&gt;FB$60,3,(AND(FA51&lt;FB$60,FA51&gt;FB$59)),2,FA51&lt;FB$59,1)</f>
        <v>3</v>
      </c>
      <c r="FC51" s="416">
        <f t="shared" si="57"/>
        <v>2.5</v>
      </c>
      <c r="FD51" s="81">
        <v>3.66</v>
      </c>
      <c r="FE51" s="81" cm="1">
        <f t="array" ref="FE51">_xlfn.IFS(FD51&gt;$FD$60, 3, FD51&lt;$FD$59, 1, FD51&gt;$FD$59, 2)</f>
        <v>3</v>
      </c>
      <c r="FF51" s="44">
        <v>2</v>
      </c>
      <c r="FG51" s="61" cm="1">
        <f t="array" ref="FG51">_xlfn.IFS(FF51&lt;$FF$59, 1, FF51&gt;$FF$60, 3, FF51 = $FF$60, 3, FF51&lt;$FF$60, 2)</f>
        <v>3</v>
      </c>
      <c r="FH51" s="97">
        <f t="shared" si="58"/>
        <v>3</v>
      </c>
      <c r="FI51" s="102">
        <v>3</v>
      </c>
      <c r="FJ51" s="44">
        <v>0</v>
      </c>
      <c r="FK51" s="98">
        <f t="shared" si="59"/>
        <v>3</v>
      </c>
      <c r="FL51" s="98" cm="1">
        <f t="array" ref="FL51">_xlfn.IFS(FK51&gt;$FK$60, 3, FK51&lt;$FK$59, 1, FK51&gt;$FK$59, 2, FK51=$FK$59, 2)</f>
        <v>2</v>
      </c>
      <c r="FM51" s="99">
        <f t="shared" si="60"/>
        <v>2</v>
      </c>
    </row>
    <row r="52" spans="1:169" ht="20.100000000000001" customHeight="1">
      <c r="A52" s="38" t="s">
        <v>152</v>
      </c>
      <c r="B52" s="44" t="s">
        <v>564</v>
      </c>
      <c r="C52" s="44">
        <v>3</v>
      </c>
      <c r="D52" s="44" t="s">
        <v>621</v>
      </c>
      <c r="E52" s="44">
        <v>2</v>
      </c>
      <c r="F52" s="61" t="s">
        <v>543</v>
      </c>
      <c r="G52" s="61" cm="1">
        <f t="array" ref="G52">_xlfn.IFS(F52= "Yes", 3, F52 &lt;&gt; "Yes", 1)</f>
        <v>1</v>
      </c>
      <c r="H52" s="44" t="s">
        <v>552</v>
      </c>
      <c r="I52" s="44">
        <v>2</v>
      </c>
      <c r="J52" s="44" t="s">
        <v>543</v>
      </c>
      <c r="K52" s="44">
        <v>1</v>
      </c>
      <c r="L52" s="193">
        <f t="shared" si="37"/>
        <v>2</v>
      </c>
      <c r="M52" s="48" t="s">
        <v>543</v>
      </c>
      <c r="N52" s="44">
        <v>1</v>
      </c>
      <c r="O52" s="44" t="s">
        <v>543</v>
      </c>
      <c r="P52" s="44">
        <v>1</v>
      </c>
      <c r="Q52" s="44" t="s">
        <v>543</v>
      </c>
      <c r="R52" s="44">
        <v>1</v>
      </c>
      <c r="S52" s="48" t="s">
        <v>543</v>
      </c>
      <c r="T52" s="44">
        <v>1</v>
      </c>
      <c r="U52" s="44" t="s">
        <v>543</v>
      </c>
      <c r="V52" s="44">
        <v>1</v>
      </c>
      <c r="W52" s="44" t="s">
        <v>543</v>
      </c>
      <c r="X52" s="44">
        <v>1</v>
      </c>
      <c r="Y52" s="85" t="s">
        <v>570</v>
      </c>
      <c r="Z52" s="44">
        <v>2</v>
      </c>
      <c r="AA52" s="72">
        <f t="shared" si="43"/>
        <v>1.0749999999999997</v>
      </c>
      <c r="AB52" s="39" t="s">
        <v>543</v>
      </c>
      <c r="AC52" s="44" t="s">
        <v>542</v>
      </c>
      <c r="AD52" s="44">
        <v>1</v>
      </c>
      <c r="AE52" s="44" t="s">
        <v>568</v>
      </c>
      <c r="AF52" s="44" cm="1">
        <f t="array" ref="AF52">_xlfn.IFS(AE52="NA", 1, AE52="No", 1, AE52="Yes, implicit", 2, AE52="Yes, explicit", 3)</f>
        <v>2</v>
      </c>
      <c r="AG52" s="44" t="s">
        <v>556</v>
      </c>
      <c r="AH52" s="44" t="s">
        <v>543</v>
      </c>
      <c r="AI52" s="44">
        <v>2</v>
      </c>
      <c r="AJ52" s="73">
        <f t="shared" si="44"/>
        <v>1.4</v>
      </c>
      <c r="AK52" s="76" t="s">
        <v>544</v>
      </c>
      <c r="AL52" s="74">
        <f t="shared" si="10"/>
        <v>1</v>
      </c>
      <c r="AM52" s="74" t="s">
        <v>545</v>
      </c>
      <c r="AN52" s="74">
        <f t="shared" si="11"/>
        <v>1</v>
      </c>
      <c r="AO52" s="74" t="s">
        <v>545</v>
      </c>
      <c r="AP52" s="74">
        <f t="shared" si="12"/>
        <v>1</v>
      </c>
      <c r="AQ52" s="75">
        <f t="shared" si="45"/>
        <v>0.30000000000000004</v>
      </c>
      <c r="AR52" s="74" t="s">
        <v>545</v>
      </c>
      <c r="AS52" s="74">
        <f t="shared" si="14"/>
        <v>1</v>
      </c>
      <c r="AT52" s="74" t="s">
        <v>545</v>
      </c>
      <c r="AU52" s="74">
        <f t="shared" si="15"/>
        <v>1</v>
      </c>
      <c r="AV52" s="74">
        <f t="shared" si="46"/>
        <v>0.2</v>
      </c>
      <c r="AW52" s="76" t="s">
        <v>545</v>
      </c>
      <c r="AX52" s="195">
        <f t="shared" si="47"/>
        <v>0.4</v>
      </c>
      <c r="AY52" s="76" t="s">
        <v>545</v>
      </c>
      <c r="AZ52" s="76">
        <f t="shared" si="48"/>
        <v>1</v>
      </c>
      <c r="BA52" s="76" t="s">
        <v>545</v>
      </c>
      <c r="BB52" s="74">
        <f t="shared" si="18"/>
        <v>1</v>
      </c>
      <c r="BC52" s="76" t="s">
        <v>181</v>
      </c>
      <c r="BD52" s="74">
        <f t="shared" si="49"/>
        <v>3</v>
      </c>
      <c r="BE52" s="76">
        <f t="shared" si="50"/>
        <v>0.5</v>
      </c>
      <c r="BF52" s="76"/>
      <c r="BG52" s="76"/>
      <c r="BH52" s="77">
        <f t="shared" si="38"/>
        <v>0</v>
      </c>
      <c r="BI52" s="77">
        <f t="shared" si="39"/>
        <v>0</v>
      </c>
      <c r="BJ52" s="77">
        <f t="shared" si="40"/>
        <v>0</v>
      </c>
      <c r="BK52" s="77">
        <f t="shared" si="41"/>
        <v>0</v>
      </c>
      <c r="BL52" s="78">
        <f t="shared" si="51"/>
        <v>1.4000000000000001</v>
      </c>
      <c r="BM52" s="76" t="s">
        <v>181</v>
      </c>
      <c r="BN52" s="197" cm="1">
        <f t="array" ref="BN52">_xlfn.IFS(BM52="Y", 3, BM52="N", 2)</f>
        <v>3</v>
      </c>
      <c r="BO52" s="76" t="s">
        <v>181</v>
      </c>
      <c r="BP52" s="197" cm="1">
        <f t="array" ref="BP52">_xlfn.IFS(BO52="Y", 3, BO52="N", 2)</f>
        <v>3</v>
      </c>
      <c r="BQ52" s="79">
        <f t="shared" si="62"/>
        <v>3</v>
      </c>
      <c r="BR52" s="44">
        <v>1200</v>
      </c>
      <c r="BS52" s="44">
        <f t="shared" si="23"/>
        <v>1200000</v>
      </c>
      <c r="BT52" s="44">
        <f t="shared" si="24"/>
        <v>1875</v>
      </c>
      <c r="BU52" s="80">
        <v>9217</v>
      </c>
      <c r="BV52" s="81">
        <f t="shared" si="25"/>
        <v>20.342844743408918</v>
      </c>
      <c r="BW52" s="82" cm="1">
        <f t="array" ref="BW52">_xlfn.IFS(BV52&gt;44, 3, BV52&lt;26, 1, 44&gt;BV52&gt;26, 2)</f>
        <v>1</v>
      </c>
      <c r="BX52" s="82">
        <v>1100070</v>
      </c>
      <c r="BY52" s="82" cm="1">
        <f t="array" ref="BY52">_xlfn.IFS(BX52&gt;12000000, 3, BX52&lt;4000000, 1, 4000000&gt;BX52&gt;12000000, 2)</f>
        <v>1</v>
      </c>
      <c r="BZ52" s="80">
        <v>5.5515599082527318</v>
      </c>
      <c r="CA52" s="82" cm="1">
        <f t="array" ref="CA52">_xlfn.IFS(BZ52&gt;$BZ$60, 1, BZ52&lt;$BZ$59, 3, BZ52&gt;$BZ$59, 2, BZ52=$BZ$59, 2)</f>
        <v>3</v>
      </c>
      <c r="CB52" s="413">
        <f t="shared" si="52"/>
        <v>1.6999999999999997</v>
      </c>
      <c r="CC52" s="44">
        <v>254126</v>
      </c>
      <c r="CD52" s="44" cm="1">
        <f t="array" ref="CD52">_xlfn.IFS(CC52&gt;4200000, 3, CC52&lt;1700000, 1, 4200000&gt;CC52&gt;1700000, 2)</f>
        <v>1</v>
      </c>
      <c r="CE52" s="44">
        <v>164559.89999999994</v>
      </c>
      <c r="CF52" s="44" cm="1">
        <f t="array" ref="CF52">_xlfn.IFS(CE52&lt;120000, 1, CE52&gt;620000, 3, 620000&gt;CE52&gt;120000, 2)</f>
        <v>2</v>
      </c>
      <c r="CG52" s="44">
        <v>3526.2000000000003</v>
      </c>
      <c r="CH52" s="44" cm="1">
        <f t="array" ref="CH52">_xlfn.IFS(CG52&lt;300000, 1, CG52&gt;1700000, 3, 300000&gt;CG52&gt;170000, 2)</f>
        <v>1</v>
      </c>
      <c r="CI52" s="44">
        <v>42.543520749999999</v>
      </c>
      <c r="CJ52" s="61" cm="1">
        <f t="array" ref="CJ52">_xlfn.IFS(CI52&lt;$CI$60, 1, CI52&gt;$CI$61, 3, CI52&lt;$CI$61, 2)</f>
        <v>1</v>
      </c>
      <c r="CK52" s="205">
        <f t="shared" si="27"/>
        <v>1.2000000000000002</v>
      </c>
      <c r="CL52" s="44">
        <v>499376</v>
      </c>
      <c r="CM52" s="48" cm="1">
        <f t="array" ref="CM52">_xlfn.IFS(CL52&gt;4600000, 3, CL52&lt;430000, 1, 4600000&gt;CL52&gt;430000, 2)</f>
        <v>2</v>
      </c>
      <c r="CN52" s="72">
        <f t="shared" si="53"/>
        <v>2</v>
      </c>
      <c r="CO52" s="39">
        <v>0</v>
      </c>
      <c r="CP52" s="65" cm="1">
        <f t="array" ref="CP52">_xlfn.IFS(CO52=0, 1, CO52="active", 3, CO52="permitted", 2)</f>
        <v>1</v>
      </c>
      <c r="CQ52" s="39">
        <v>0</v>
      </c>
      <c r="CR52" s="39" cm="1">
        <f t="array" ref="CR52">_xlfn.IFS(CQ52=0, 1, CQ52&lt;&gt;0, 3)</f>
        <v>1</v>
      </c>
      <c r="CS52" s="72">
        <v>1</v>
      </c>
      <c r="CT52" s="44" t="s">
        <v>545</v>
      </c>
      <c r="CU52" s="82">
        <v>0</v>
      </c>
      <c r="CV52" s="82">
        <v>9616</v>
      </c>
      <c r="CW52" s="39" t="s">
        <v>542</v>
      </c>
      <c r="CX52" s="207" cm="1">
        <f t="array" ref="CX52">_xlfn.IFS(CT52="N", 0, CW52&lt;$CW$61, 2, CW52 = $CW$61, 2, CW52&gt;$CW$61, 3)</f>
        <v>0</v>
      </c>
      <c r="CY52" s="207" t="s">
        <v>542</v>
      </c>
      <c r="CZ52" s="207" t="str" cm="1">
        <f t="array" ref="CZ52">_xlfn.IFS(CY52="NA", "NA", CY52=0, 1, CY52=1, 2, CY52&gt;1, 3)</f>
        <v>NA</v>
      </c>
      <c r="DA52" s="201">
        <f t="shared" si="28"/>
        <v>0</v>
      </c>
      <c r="DB52" s="86">
        <v>752</v>
      </c>
      <c r="DC52" s="61" cm="1">
        <f t="array" ref="DC52">_xlfn.IFS(DB52&gt;$DB$61, 3, DB52=0, 1, DB52&lt;$DB$61, 2, DB52=$DB$61, 2)</f>
        <v>3</v>
      </c>
      <c r="DD52" s="87">
        <v>1833</v>
      </c>
      <c r="DE52" s="44" cm="1">
        <f t="array" ref="DE52">_xlfn.IFS(DD52&gt;$DD$62, 3, DD52&lt;$DD$60, 1, DD52&gt;$DD$60, 2, DD52=$DD$60, 2)</f>
        <v>1</v>
      </c>
      <c r="DF52" s="44">
        <v>0</v>
      </c>
      <c r="DG52" s="61" cm="1">
        <f t="array" ref="DG52">_xlfn.IFS(DF52=0, 1, DF52&lt;$DF$61, 2, DF52&gt;$DF$61, 3)</f>
        <v>1</v>
      </c>
      <c r="DH52" s="415">
        <f t="shared" si="29"/>
        <v>1.666666666666665</v>
      </c>
      <c r="DI52" s="82">
        <v>36569115</v>
      </c>
      <c r="DJ52" s="82">
        <f t="shared" si="30"/>
        <v>4174.5565068493152</v>
      </c>
      <c r="DK52" s="88">
        <v>742.19999999999993</v>
      </c>
      <c r="DL52" s="89">
        <f t="shared" si="31"/>
        <v>0.1777913411358191</v>
      </c>
      <c r="DM52" s="88" cm="1">
        <f t="array" ref="DM52">_xlfn.IFS(DL52&gt;$DL$60,3,(AND(DL52&lt;$DL$60,DL52&gt;$DL$59)),2,DL52&lt;$DL$59,1)</f>
        <v>2</v>
      </c>
      <c r="DN52" s="88">
        <v>2079</v>
      </c>
      <c r="DO52" s="90">
        <f t="shared" si="32"/>
        <v>5.6851252757962559E-2</v>
      </c>
      <c r="DP52" s="88" cm="1">
        <f t="array" ref="DP52">_xlfn.IFS(DO52&gt;DO$60,3,(AND(DO52&lt;DO$60,DO52&gt;DO$59)),2,DO52&lt;DO$59,1)</f>
        <v>3</v>
      </c>
      <c r="DQ52" s="91">
        <v>125</v>
      </c>
      <c r="DR52" s="92">
        <f t="shared" si="33"/>
        <v>2.3903879898844793E-2</v>
      </c>
      <c r="DS52" s="88" cm="1">
        <f t="array" ref="DS52">_xlfn.IFS(DR52&gt;DR$60,3,(AND(DR52&lt;DR$60,DR52&gt;DR$59)),2,DR52&lt;DR$59,1)</f>
        <v>1</v>
      </c>
      <c r="DT52" s="91" t="s">
        <v>622</v>
      </c>
      <c r="DU52" s="213" cm="1">
        <f t="array" ref="DU52">_xlfn.IFS(DT52="no data","",DT52="40-45", 1, DT52= "45-50", 1, DT52="50-55", 1, DT52 ="30-35", 2, DT52="25-30", 2, DT52="35-40", 2, DT52="20-25", 3, DT52="15-20", 3)</f>
        <v>1</v>
      </c>
      <c r="DV52" s="88">
        <v>247449269.12494493</v>
      </c>
      <c r="DW52" s="88" cm="1">
        <f t="array" ref="DW52">_xlfn.IFS(DV52&gt;DV$60,3,(AND(DV52&lt;DV$60,DV52&gt;DV$59)),2,DV52&lt;DV$59,1)</f>
        <v>1</v>
      </c>
      <c r="DX52" s="93">
        <v>8</v>
      </c>
      <c r="DY52" s="88" cm="1">
        <f t="array" ref="DY52">_xlfn.IFS(DX52&gt;6.99,1,AND(DX52 &gt; 3, DX52 &lt; 7),2,DX52&lt;3.99,3)</f>
        <v>1</v>
      </c>
      <c r="DZ52" s="94">
        <f t="shared" si="54"/>
        <v>1.9000000000000004</v>
      </c>
      <c r="EA52" s="95">
        <v>6800</v>
      </c>
      <c r="EB52" s="82">
        <v>12400</v>
      </c>
      <c r="EC52" s="44">
        <v>607</v>
      </c>
      <c r="ED52" s="44">
        <v>0</v>
      </c>
      <c r="EE52" s="82">
        <v>0</v>
      </c>
      <c r="EF52" s="82">
        <f t="shared" si="34"/>
        <v>0</v>
      </c>
      <c r="EG52" s="204" cm="1">
        <f t="array" ref="EG52">_xlfn.IFS(EF52=0, 1, EF52&gt;2, 3, 0&gt;EF52&gt;3,2)</f>
        <v>1</v>
      </c>
      <c r="EH52" s="82">
        <v>0</v>
      </c>
      <c r="EI52" s="82">
        <v>0</v>
      </c>
      <c r="EJ52" s="82">
        <f>EH52+EI52</f>
        <v>0</v>
      </c>
      <c r="EK52" s="82" cm="1">
        <f t="array" ref="EK52">_xlfn.IFS(EH52+EI52=0, 1, EH52+EI52&gt;5, 3, EH52+EI52=5, 2, 0&gt;EH52+EI52&gt;5, 2)</f>
        <v>1</v>
      </c>
      <c r="EL52" s="82">
        <v>1</v>
      </c>
      <c r="EM52" s="82">
        <v>1</v>
      </c>
      <c r="EN52" s="82" cm="1">
        <f t="array" ref="EN52">_xlfn.IFS(EL52+EM52=0, 1, EL52+EM52&gt;10, 3, EL52+EM52 = 10, 2, 0&gt;EL52+EM52&gt;10, 2)</f>
        <v>2</v>
      </c>
      <c r="EO52" s="96">
        <f t="shared" si="55"/>
        <v>1.3333333333333333</v>
      </c>
      <c r="EP52" s="44">
        <v>0</v>
      </c>
      <c r="EQ52" s="61" cm="1">
        <f t="array" ref="EQ52">_xlfn.IFS(EP52=0, 1, EP52&gt;$EP$60, 3, EP52&lt;$EP$60, 2)</f>
        <v>1</v>
      </c>
      <c r="ER52" s="100">
        <v>0</v>
      </c>
      <c r="ES52" s="100" cm="1">
        <f t="array" ref="ES52">_xlfn.IFS(ER52=0, 1, ER52&gt;$ER$59, 3, ER52&lt;$ER$59, 2)</f>
        <v>1</v>
      </c>
      <c r="ET52" s="44">
        <v>0</v>
      </c>
      <c r="EU52" s="44" cm="1">
        <f t="array" ref="EU52">_xlfn.IFS(ET52=0, 1, ET52=1, 2, ET52&gt;1, 3)</f>
        <v>1</v>
      </c>
      <c r="EV52" s="413">
        <f t="shared" si="56"/>
        <v>1</v>
      </c>
      <c r="EW52" s="82">
        <v>0</v>
      </c>
      <c r="EX52" s="210" cm="1">
        <f t="array" ref="EX52">_xlfn.IFS(EW52&gt;EX$60,3,(AND(EW52&lt;EX$60,EW52&gt;EX$59)),2,EW52&lt;EX$59,1)</f>
        <v>1</v>
      </c>
      <c r="EY52" s="253">
        <v>1574107786.5386612</v>
      </c>
      <c r="EZ52" s="210" cm="1">
        <f t="array" ref="EZ52">_xlfn.IFS(EY52&gt;EZ$60,3,(AND(EY52&lt;EZ$60,EY52&gt;EZ$59)),2,EY52&lt;EZ$59,1)</f>
        <v>3</v>
      </c>
      <c r="FA52" s="253">
        <v>374557858250</v>
      </c>
      <c r="FB52" s="210" cm="1">
        <f t="array" ref="FB52">_xlfn.IFS(FA52&gt;FB$60,3,(AND(FA52&lt;FB$60,FA52&gt;FB$59)),2,FA52&lt;FB$59,1)</f>
        <v>2</v>
      </c>
      <c r="FC52" s="416">
        <f t="shared" si="57"/>
        <v>1.75</v>
      </c>
      <c r="FD52" s="81">
        <v>0.14000000000000001</v>
      </c>
      <c r="FE52" s="81" cm="1">
        <f t="array" ref="FE52">_xlfn.IFS(FD52&gt;$FD$60, 3, FD52&lt;$FD$59, 1, FD52&gt;$FD$59, 2)</f>
        <v>1</v>
      </c>
      <c r="FF52" s="44">
        <v>1</v>
      </c>
      <c r="FG52" s="61" cm="1">
        <f t="array" ref="FG52">_xlfn.IFS(FF52&lt;$FF$59, 1, FF52&gt;$FF$60, 3, FF52 = $FF$60, 3, FF52&lt;$FF$60, 2)</f>
        <v>2</v>
      </c>
      <c r="FH52" s="97">
        <f t="shared" si="58"/>
        <v>1.4</v>
      </c>
      <c r="FI52" s="102">
        <v>0</v>
      </c>
      <c r="FJ52" s="44">
        <v>3</v>
      </c>
      <c r="FK52" s="98">
        <f t="shared" si="59"/>
        <v>3</v>
      </c>
      <c r="FL52" s="98" cm="1">
        <f t="array" ref="FL52">_xlfn.IFS(FK52&gt;$FK$60, 3, FK52&lt;$FK$59, 1, FK52&gt;$FK$59, 2, FK52=$FK$59, 2)</f>
        <v>2</v>
      </c>
      <c r="FM52" s="99">
        <f t="shared" si="60"/>
        <v>2</v>
      </c>
    </row>
    <row r="53" spans="1:169" ht="20.100000000000001" customHeight="1">
      <c r="A53" s="38" t="s">
        <v>153</v>
      </c>
      <c r="B53" s="44" t="s">
        <v>564</v>
      </c>
      <c r="C53" s="44">
        <v>3</v>
      </c>
      <c r="D53" s="44" t="s">
        <v>623</v>
      </c>
      <c r="E53" s="44">
        <v>3</v>
      </c>
      <c r="F53" s="61" t="s">
        <v>543</v>
      </c>
      <c r="G53" s="61" cm="1">
        <f t="array" ref="G53">_xlfn.IFS(F53= "Yes", 3, F53 &lt;&gt; "Yes", 1)</f>
        <v>1</v>
      </c>
      <c r="H53" s="44" t="s">
        <v>553</v>
      </c>
      <c r="I53" s="44">
        <v>3</v>
      </c>
      <c r="J53" s="44" t="s">
        <v>543</v>
      </c>
      <c r="K53" s="44">
        <v>1</v>
      </c>
      <c r="L53" s="193">
        <f t="shared" si="37"/>
        <v>2.4</v>
      </c>
      <c r="M53" s="48" t="s">
        <v>543</v>
      </c>
      <c r="N53" s="44">
        <v>1</v>
      </c>
      <c r="O53" s="44" t="s">
        <v>543</v>
      </c>
      <c r="P53" s="44">
        <v>1</v>
      </c>
      <c r="Q53" s="44" t="s">
        <v>543</v>
      </c>
      <c r="R53" s="44">
        <v>1</v>
      </c>
      <c r="S53" s="48" t="s">
        <v>543</v>
      </c>
      <c r="T53" s="44">
        <v>1</v>
      </c>
      <c r="U53" s="44" t="s">
        <v>543</v>
      </c>
      <c r="V53" s="44">
        <v>1</v>
      </c>
      <c r="W53" s="44" t="s">
        <v>543</v>
      </c>
      <c r="X53" s="44">
        <v>1</v>
      </c>
      <c r="Y53" s="39" t="s">
        <v>543</v>
      </c>
      <c r="Z53" s="44">
        <v>1</v>
      </c>
      <c r="AA53" s="72">
        <f t="shared" si="43"/>
        <v>0.99999999999999978</v>
      </c>
      <c r="AB53" s="103" t="s">
        <v>624</v>
      </c>
      <c r="AC53" s="44" t="s">
        <v>545</v>
      </c>
      <c r="AD53" s="44">
        <v>2</v>
      </c>
      <c r="AE53" s="44" t="s">
        <v>568</v>
      </c>
      <c r="AF53" s="44" cm="1">
        <f t="array" ref="AF53">_xlfn.IFS(AE53="NA", 1, AE53="No", 1, AE53="Yes, implicit", 2, AE53="Yes, explicit", 3)</f>
        <v>2</v>
      </c>
      <c r="AG53" s="44" t="s">
        <v>556</v>
      </c>
      <c r="AH53" s="44" t="s">
        <v>556</v>
      </c>
      <c r="AI53" s="44">
        <v>3</v>
      </c>
      <c r="AJ53" s="73">
        <f t="shared" si="44"/>
        <v>2.2000000000000002</v>
      </c>
      <c r="AK53" s="76" t="s">
        <v>544</v>
      </c>
      <c r="AL53" s="74">
        <f t="shared" si="10"/>
        <v>1</v>
      </c>
      <c r="AM53" s="74" t="s">
        <v>545</v>
      </c>
      <c r="AN53" s="74">
        <f t="shared" si="11"/>
        <v>1</v>
      </c>
      <c r="AO53" s="74" t="s">
        <v>545</v>
      </c>
      <c r="AP53" s="74">
        <f t="shared" si="12"/>
        <v>1</v>
      </c>
      <c r="AQ53" s="75">
        <f t="shared" si="45"/>
        <v>0.30000000000000004</v>
      </c>
      <c r="AR53" s="74" t="s">
        <v>545</v>
      </c>
      <c r="AS53" s="74">
        <f t="shared" si="14"/>
        <v>1</v>
      </c>
      <c r="AT53" s="74" t="s">
        <v>545</v>
      </c>
      <c r="AU53" s="74">
        <f t="shared" si="15"/>
        <v>1</v>
      </c>
      <c r="AV53" s="74">
        <f t="shared" si="46"/>
        <v>0.2</v>
      </c>
      <c r="AW53" s="76" t="s">
        <v>545</v>
      </c>
      <c r="AX53" s="195">
        <f t="shared" si="47"/>
        <v>0.4</v>
      </c>
      <c r="AY53" s="76" t="s">
        <v>546</v>
      </c>
      <c r="AZ53" s="76">
        <f t="shared" si="48"/>
        <v>3</v>
      </c>
      <c r="BA53" s="76" t="s">
        <v>545</v>
      </c>
      <c r="BB53" s="74">
        <f t="shared" si="18"/>
        <v>1</v>
      </c>
      <c r="BC53" s="76" t="s">
        <v>181</v>
      </c>
      <c r="BD53" s="74">
        <f t="shared" si="49"/>
        <v>3</v>
      </c>
      <c r="BE53" s="76">
        <f t="shared" si="50"/>
        <v>0.70000000000000007</v>
      </c>
      <c r="BF53" s="76"/>
      <c r="BG53" s="76"/>
      <c r="BH53" s="77">
        <f t="shared" si="38"/>
        <v>0</v>
      </c>
      <c r="BI53" s="77">
        <f t="shared" si="39"/>
        <v>0</v>
      </c>
      <c r="BJ53" s="77">
        <f t="shared" si="40"/>
        <v>0</v>
      </c>
      <c r="BK53" s="77">
        <f t="shared" si="41"/>
        <v>0</v>
      </c>
      <c r="BL53" s="78">
        <f t="shared" si="51"/>
        <v>1.6</v>
      </c>
      <c r="BM53" s="76" t="s">
        <v>545</v>
      </c>
      <c r="BN53" s="197" cm="1">
        <f t="array" ref="BN53">_xlfn.IFS(BM53="Y", 3, BM53="N", 2)</f>
        <v>2</v>
      </c>
      <c r="BO53" s="76" t="s">
        <v>545</v>
      </c>
      <c r="BP53" s="197" cm="1">
        <f t="array" ref="BP53">_xlfn.IFS(BO53="Y", 3, BO53="N", 2)</f>
        <v>2</v>
      </c>
      <c r="BQ53" s="79">
        <f t="shared" si="62"/>
        <v>2</v>
      </c>
      <c r="BR53" s="44">
        <v>7700</v>
      </c>
      <c r="BS53" s="44">
        <f t="shared" si="23"/>
        <v>7700000</v>
      </c>
      <c r="BT53" s="44">
        <f t="shared" si="24"/>
        <v>12031.25</v>
      </c>
      <c r="BU53" s="80">
        <v>39490</v>
      </c>
      <c r="BV53" s="81">
        <f>BT53/BU53*100</f>
        <v>30.466573816155989</v>
      </c>
      <c r="BW53" s="82" cm="1">
        <f t="array" ref="BW53">_xlfn.IFS(BV53&gt;44, 3, BV53&lt;26, 1, 44&gt;BV53&gt;26, 2)</f>
        <v>2</v>
      </c>
      <c r="BX53" s="82">
        <v>5350933</v>
      </c>
      <c r="BY53" s="82" cm="1">
        <f t="array" ref="BY53">_xlfn.IFS(BX53&gt;12000000, 3, BX53&lt;4000000, 1, 4000000&gt;BX53&gt;12000000, 2)</f>
        <v>2</v>
      </c>
      <c r="BZ53" s="80">
        <v>5.1688327394298961</v>
      </c>
      <c r="CA53" s="82" cm="1">
        <f t="array" ref="CA53">_xlfn.IFS(BZ53&gt;$BZ$60, 1, BZ53&lt;$BZ$59, 3, BZ53&gt;$BZ$59, 2, BZ53=$BZ$59, 2)</f>
        <v>3</v>
      </c>
      <c r="CB53" s="413">
        <f t="shared" si="52"/>
        <v>2.3499999999999996</v>
      </c>
      <c r="CC53" s="44">
        <v>4443579</v>
      </c>
      <c r="CD53" s="44" cm="1">
        <f t="array" ref="CD53">_xlfn.IFS(CC53&gt;4200000, 3, CC53&lt;1700000, 1, 4200000&gt;CC53&gt;1700000, 2)</f>
        <v>3</v>
      </c>
      <c r="CE53" s="44">
        <v>1530731.3499999992</v>
      </c>
      <c r="CF53" s="44" cm="1">
        <f t="array" ref="CF53">_xlfn.IFS(CE53&lt;120000, 1, CE53&gt;620000, 3, 620000&gt;CE53&gt;120000, 2)</f>
        <v>3</v>
      </c>
      <c r="CG53" s="44">
        <v>404935.69999999984</v>
      </c>
      <c r="CH53" s="44" cm="1">
        <f t="array" ref="CH53">_xlfn.IFS(CG53&lt;300000, 1, CG53&gt;1700000, 3, 300000&gt;CG53&gt;170000, 2)</f>
        <v>2</v>
      </c>
      <c r="CI53" s="44">
        <v>27.99513898</v>
      </c>
      <c r="CJ53" s="61" cm="1">
        <f t="array" ref="CJ53">_xlfn.IFS(CI53&lt;$CI$60, 1, CI53&gt;$CI$61, 3, CI53&lt;$CI$61, 2)</f>
        <v>1</v>
      </c>
      <c r="CK53" s="205">
        <f t="shared" si="27"/>
        <v>2.1500000000000004</v>
      </c>
      <c r="CL53" s="44">
        <v>6708623</v>
      </c>
      <c r="CM53" s="48" cm="1">
        <f t="array" ref="CM53">_xlfn.IFS(CL53&gt;4600000, 3, CL53&lt;430000, 1, 4600000&gt;CL53&gt;430000, 2)</f>
        <v>3</v>
      </c>
      <c r="CN53" s="72">
        <f t="shared" si="53"/>
        <v>3</v>
      </c>
      <c r="CO53" s="39" t="s">
        <v>549</v>
      </c>
      <c r="CP53" s="65" cm="1">
        <f t="array" ref="CP53">_xlfn.IFS(CO53=0, 1, CO53="active", 3, CO53="permitted", 2)</f>
        <v>3</v>
      </c>
      <c r="CQ53" s="39">
        <v>0</v>
      </c>
      <c r="CR53" s="39" cm="1">
        <f t="array" ref="CR53">_xlfn.IFS(CQ53=0, 1, CQ53&lt;&gt;0, 3)</f>
        <v>1</v>
      </c>
      <c r="CS53" s="72">
        <v>3</v>
      </c>
      <c r="CT53" s="48" t="s">
        <v>181</v>
      </c>
      <c r="CU53" s="107">
        <v>2003</v>
      </c>
      <c r="CV53" s="107">
        <v>42775</v>
      </c>
      <c r="CW53" s="39">
        <f>CU53/CV53</f>
        <v>4.6826417299824667E-2</v>
      </c>
      <c r="CX53" s="207" cm="1">
        <f t="array" ref="CX53">_xlfn.IFS(CT53="N", 0, CW53&lt;$CW$61, 2, CW53 = $CW$61, 2, CW53&gt;$CW$61, 3)</f>
        <v>2</v>
      </c>
      <c r="CY53" s="207">
        <v>1</v>
      </c>
      <c r="CZ53" s="207" cm="1">
        <f t="array" ref="CZ53">_xlfn.IFS(CY53="NA", "NA", CY53=0, 1, CY53=1, 2, CY53&gt;1, 3)</f>
        <v>2</v>
      </c>
      <c r="DA53" s="201">
        <f t="shared" si="28"/>
        <v>2</v>
      </c>
      <c r="DB53" s="86">
        <v>0</v>
      </c>
      <c r="DC53" s="61" cm="1">
        <f t="array" ref="DC53">_xlfn.IFS(DB53&gt;$DB$61, 3, DB53=0, 1, DB53&lt;$DB$61, 2, DB53=$DB$61, 2)</f>
        <v>1</v>
      </c>
      <c r="DD53" s="87">
        <v>12393</v>
      </c>
      <c r="DE53" s="44" cm="1">
        <f t="array" ref="DE53">_xlfn.IFS(DD53&gt;$DD$62, 3, DD53&lt;$DD$60, 1, DD53&gt;$DD$60, 2, DD53=$DD$60, 2)</f>
        <v>2</v>
      </c>
      <c r="DF53" s="44">
        <v>0</v>
      </c>
      <c r="DG53" s="61" cm="1">
        <f t="array" ref="DG53">_xlfn.IFS(DF53=0, 1, DF53&lt;$DF$61, 2, DF53&gt;$DF$61, 3)</f>
        <v>1</v>
      </c>
      <c r="DH53" s="415">
        <f t="shared" si="29"/>
        <v>1.3333333333333319</v>
      </c>
      <c r="DI53" s="82">
        <v>711532305</v>
      </c>
      <c r="DJ53" s="82">
        <f t="shared" si="30"/>
        <v>81225.148972602736</v>
      </c>
      <c r="DK53" s="88">
        <v>11755.999999999998</v>
      </c>
      <c r="DL53" s="89">
        <f t="shared" si="31"/>
        <v>0.14473349878330541</v>
      </c>
      <c r="DM53" s="88" cm="1">
        <f t="array" ref="DM53">_xlfn.IFS(DL53&gt;$DL$60,3,(AND(DL53&lt;$DL$60,DL53&gt;$DL$59)),2,DL53&lt;$DL$59,1)</f>
        <v>2</v>
      </c>
      <c r="DN53" s="88">
        <v>8649</v>
      </c>
      <c r="DO53" s="90">
        <f t="shared" si="32"/>
        <v>1.2155456525617624E-2</v>
      </c>
      <c r="DP53" s="88" cm="1">
        <f t="array" ref="DP53">_xlfn.IFS(DO53&gt;DO$60,3,(AND(DO53&lt;DO$60,DO53&gt;DO$59)),2,DO53&lt;DO$59,1)</f>
        <v>1</v>
      </c>
      <c r="DQ53" s="91">
        <v>57850.9</v>
      </c>
      <c r="DR53" s="92">
        <f t="shared" si="33"/>
        <v>0.35576173755830354</v>
      </c>
      <c r="DS53" s="88" cm="1">
        <f t="array" ref="DS53">_xlfn.IFS(DR53&gt;DR$60,3,(AND(DR53&lt;DR$60,DR53&gt;DR$59)),2,DR53&lt;DR$59,1)</f>
        <v>3</v>
      </c>
      <c r="DT53" s="91" t="s">
        <v>563</v>
      </c>
      <c r="DU53" s="213" cm="1">
        <f t="array" ref="DU53">_xlfn.IFS(DT53="no data","",DT53="40-45", 1, DT53= "45-50", 1, DT53="50-55", 1, DT53 ="30-35", 2, DT53="25-30", 2, DT53="35-40", 2, DT53="20-25", 3, DT53="15-20", 3)</f>
        <v>2</v>
      </c>
      <c r="DV53" s="88">
        <v>2428625325.5514646</v>
      </c>
      <c r="DW53" s="88" cm="1">
        <f t="array" ref="DW53">_xlfn.IFS(DV53&gt;DV$60,3,(AND(DV53&lt;DV$60,DV53&gt;DV$59)),2,DV53&lt;DV$59,1)</f>
        <v>1</v>
      </c>
      <c r="DX53" s="93">
        <v>4</v>
      </c>
      <c r="DY53" s="88" cm="1">
        <f t="array" ref="DY53">_xlfn.IFS(DX53&gt;6.99,1,AND(DX53 &gt; 3, DX53 &lt; 7),2,DX53&lt;3.99,3)</f>
        <v>2</v>
      </c>
      <c r="DZ53" s="94">
        <f t="shared" si="54"/>
        <v>1.7</v>
      </c>
      <c r="EA53" s="95">
        <v>538900</v>
      </c>
      <c r="EB53" s="82">
        <v>871600</v>
      </c>
      <c r="EC53" s="82">
        <v>3050</v>
      </c>
      <c r="ED53" s="82">
        <v>0</v>
      </c>
      <c r="EE53" s="82">
        <v>0</v>
      </c>
      <c r="EF53" s="82">
        <f>ED53+EE53</f>
        <v>0</v>
      </c>
      <c r="EG53" s="204" cm="1">
        <f t="array" ref="EG53">_xlfn.IFS(EF53=0, 1, EF53&gt;2, 3, 0&gt;EF53&gt;3,2)</f>
        <v>1</v>
      </c>
      <c r="EH53" s="82">
        <v>0</v>
      </c>
      <c r="EI53" s="82">
        <v>0</v>
      </c>
      <c r="EJ53" s="82">
        <f t="shared" si="35"/>
        <v>0</v>
      </c>
      <c r="EK53" s="82" cm="1">
        <f t="array" ref="EK53">_xlfn.IFS(EH53+EI53=0, 1, EH53+EI53&gt;5, 3, EH53+EI53=5, 2, 0&gt;EH53+EI53&gt;5, 2)</f>
        <v>1</v>
      </c>
      <c r="EL53" s="82">
        <v>0</v>
      </c>
      <c r="EM53" s="82">
        <v>2</v>
      </c>
      <c r="EN53" s="82" cm="1">
        <f t="array" ref="EN53">_xlfn.IFS(EL53+EM53=0, 1, EL53+EM53&gt;10, 3, EL53+EM53 = 10, 2, 0&gt;EL53+EM53&gt;10, 2)</f>
        <v>2</v>
      </c>
      <c r="EO53" s="96">
        <f t="shared" si="55"/>
        <v>1.3333333333333333</v>
      </c>
      <c r="EP53" s="44">
        <v>0</v>
      </c>
      <c r="EQ53" s="61" cm="1">
        <f t="array" ref="EQ53">_xlfn.IFS(EP53=0, 1, EP53&gt;$EP$60, 3, EP53&lt;$EP$60, 2)</f>
        <v>1</v>
      </c>
      <c r="ER53" s="100">
        <v>0</v>
      </c>
      <c r="ES53" s="100" cm="1">
        <f t="array" ref="ES53">_xlfn.IFS(ER53=0, 1, ER53&gt;$ER$59, 3, ER53&lt;$ER$59, 2)</f>
        <v>1</v>
      </c>
      <c r="ET53" s="44">
        <v>0</v>
      </c>
      <c r="EU53" s="44" cm="1">
        <f t="array" ref="EU53">_xlfn.IFS(ET53=0, 1, ET53=1, 2, ET53&gt;1, 3)</f>
        <v>1</v>
      </c>
      <c r="EV53" s="413">
        <f t="shared" si="56"/>
        <v>1</v>
      </c>
      <c r="EW53" s="82">
        <v>1.24</v>
      </c>
      <c r="EX53" s="210" cm="1">
        <f t="array" ref="EX53">_xlfn.IFS(EW53&gt;EX$60,3,(AND(EW53&lt;EX$60,EW53&gt;EX$59)),2,EW53&lt;EX$59,1)</f>
        <v>1</v>
      </c>
      <c r="EY53" s="253">
        <v>137776873169.884</v>
      </c>
      <c r="EZ53" s="210" cm="1">
        <f t="array" ref="EZ53">_xlfn.IFS(EY53&gt;EZ$60,3,(AND(EY53&lt;EZ$60,EY53&gt;EZ$59)),2,EY53&lt;EZ$59,1)</f>
        <v>3</v>
      </c>
      <c r="FA53" s="253">
        <v>6048203743250</v>
      </c>
      <c r="FB53" s="210" cm="1">
        <f t="array" ref="FB53">_xlfn.IFS(FA53&gt;FB$60,3,(AND(FA53&lt;FB$60,FA53&gt;FB$59)),2,FA53&lt;FB$59,1)</f>
        <v>3</v>
      </c>
      <c r="FC53" s="416">
        <f t="shared" si="57"/>
        <v>2</v>
      </c>
      <c r="FD53" s="81">
        <v>1.56</v>
      </c>
      <c r="FE53" s="81" cm="1">
        <f t="array" ref="FE53">_xlfn.IFS(FD53&gt;$FD$60, 3, FD53&lt;$FD$59, 1, FD53&gt;$FD$59, 2)</f>
        <v>2</v>
      </c>
      <c r="FF53" s="44">
        <v>0</v>
      </c>
      <c r="FG53" s="61" cm="1">
        <f t="array" ref="FG53">_xlfn.IFS(FF53&lt;$FF$59, 1, FF53&gt;$FF$60, 3, FF53 = $FF$60, 3, FF53&lt;$FF$60, 2)</f>
        <v>1</v>
      </c>
      <c r="FH53" s="97">
        <f t="shared" si="58"/>
        <v>1.6</v>
      </c>
      <c r="FI53" s="102">
        <v>6</v>
      </c>
      <c r="FJ53" s="44">
        <v>0</v>
      </c>
      <c r="FK53" s="98">
        <f t="shared" si="59"/>
        <v>6</v>
      </c>
      <c r="FL53" s="98" cm="1">
        <f t="array" ref="FL53">_xlfn.IFS(FK53&gt;$FK$60, 3, FK53&lt;$FK$59, 1, FK53&gt;$FK$59, 2, FK53=$FK$59, 2)</f>
        <v>2</v>
      </c>
      <c r="FM53" s="99">
        <f t="shared" si="60"/>
        <v>2</v>
      </c>
    </row>
    <row r="54" spans="1:169" ht="20.100000000000001" customHeight="1">
      <c r="A54" s="38" t="s">
        <v>154</v>
      </c>
      <c r="B54" s="44" t="s">
        <v>564</v>
      </c>
      <c r="C54" s="44">
        <v>3</v>
      </c>
      <c r="D54" s="44" t="s">
        <v>625</v>
      </c>
      <c r="E54" s="44">
        <v>3</v>
      </c>
      <c r="F54" s="61" t="s">
        <v>543</v>
      </c>
      <c r="G54" s="61" cm="1">
        <f t="array" ref="G54">_xlfn.IFS(F54= "Yes", 3, F54 &lt;&gt; "Yes", 1)</f>
        <v>1</v>
      </c>
      <c r="H54" s="44" t="s">
        <v>552</v>
      </c>
      <c r="I54" s="44">
        <v>2</v>
      </c>
      <c r="J54" s="44" t="s">
        <v>556</v>
      </c>
      <c r="K54" s="44">
        <v>3</v>
      </c>
      <c r="L54" s="193">
        <f t="shared" si="37"/>
        <v>2.5500000000000003</v>
      </c>
      <c r="M54" s="48" t="s">
        <v>543</v>
      </c>
      <c r="N54" s="44">
        <v>1</v>
      </c>
      <c r="O54" s="44" t="s">
        <v>556</v>
      </c>
      <c r="P54" s="44">
        <v>3</v>
      </c>
      <c r="Q54" s="44" t="s">
        <v>556</v>
      </c>
      <c r="R54" s="44">
        <v>3</v>
      </c>
      <c r="S54" s="48" t="s">
        <v>543</v>
      </c>
      <c r="T54" s="44">
        <v>1</v>
      </c>
      <c r="U54" s="44" t="s">
        <v>543</v>
      </c>
      <c r="V54" s="44">
        <v>1</v>
      </c>
      <c r="W54" s="44" t="s">
        <v>616</v>
      </c>
      <c r="X54" s="44">
        <v>2</v>
      </c>
      <c r="Y54" s="39" t="s">
        <v>626</v>
      </c>
      <c r="Z54" s="44">
        <v>2</v>
      </c>
      <c r="AA54" s="72">
        <f t="shared" si="43"/>
        <v>1.6499999999999997</v>
      </c>
      <c r="AB54" s="103" t="s">
        <v>627</v>
      </c>
      <c r="AC54" s="104" t="s">
        <v>572</v>
      </c>
      <c r="AD54" s="44">
        <v>3</v>
      </c>
      <c r="AE54" s="44" t="s">
        <v>561</v>
      </c>
      <c r="AF54" s="44" cm="1">
        <f t="array" ref="AF54">_xlfn.IFS(AE54="NA", 1, AE54="No", 1, AE54="Yes, implicit", 2, AE54="Yes, explicit", 3)</f>
        <v>3</v>
      </c>
      <c r="AG54" s="44" t="s">
        <v>543</v>
      </c>
      <c r="AH54" s="44" t="s">
        <v>556</v>
      </c>
      <c r="AI54" s="44">
        <v>2</v>
      </c>
      <c r="AJ54" s="73">
        <f t="shared" si="44"/>
        <v>2.8</v>
      </c>
      <c r="AK54" s="76" t="s">
        <v>544</v>
      </c>
      <c r="AL54" s="74">
        <f t="shared" si="10"/>
        <v>1</v>
      </c>
      <c r="AM54" s="74" t="s">
        <v>545</v>
      </c>
      <c r="AN54" s="74">
        <f t="shared" si="11"/>
        <v>1</v>
      </c>
      <c r="AO54" s="74" t="s">
        <v>545</v>
      </c>
      <c r="AP54" s="74">
        <f t="shared" si="12"/>
        <v>1</v>
      </c>
      <c r="AQ54" s="75">
        <f t="shared" si="45"/>
        <v>0.30000000000000004</v>
      </c>
      <c r="AR54" s="74" t="s">
        <v>545</v>
      </c>
      <c r="AS54" s="74">
        <f t="shared" si="14"/>
        <v>1</v>
      </c>
      <c r="AT54" s="74" t="s">
        <v>545</v>
      </c>
      <c r="AU54" s="74">
        <f t="shared" si="15"/>
        <v>1</v>
      </c>
      <c r="AV54" s="74">
        <f t="shared" si="46"/>
        <v>0.2</v>
      </c>
      <c r="AW54" s="76" t="s">
        <v>545</v>
      </c>
      <c r="AX54" s="195">
        <f t="shared" si="47"/>
        <v>0.4</v>
      </c>
      <c r="AY54" s="76" t="s">
        <v>546</v>
      </c>
      <c r="AZ54" s="76">
        <f t="shared" si="48"/>
        <v>3</v>
      </c>
      <c r="BA54" s="76" t="s">
        <v>181</v>
      </c>
      <c r="BB54" s="74">
        <f t="shared" si="18"/>
        <v>3</v>
      </c>
      <c r="BC54" s="76" t="s">
        <v>181</v>
      </c>
      <c r="BD54" s="74">
        <f t="shared" si="49"/>
        <v>3</v>
      </c>
      <c r="BE54" s="76">
        <f t="shared" si="50"/>
        <v>0.90000000000000013</v>
      </c>
      <c r="BF54" s="76"/>
      <c r="BG54" s="76"/>
      <c r="BH54" s="77">
        <f t="shared" si="38"/>
        <v>0</v>
      </c>
      <c r="BI54" s="77">
        <f t="shared" si="39"/>
        <v>0</v>
      </c>
      <c r="BJ54" s="77">
        <f t="shared" si="40"/>
        <v>0</v>
      </c>
      <c r="BK54" s="77">
        <f t="shared" si="41"/>
        <v>0</v>
      </c>
      <c r="BL54" s="78">
        <f t="shared" si="51"/>
        <v>1.8000000000000003</v>
      </c>
      <c r="BM54" s="76" t="s">
        <v>181</v>
      </c>
      <c r="BN54" s="197" cm="1">
        <f t="array" ref="BN54">_xlfn.IFS(BM54="Y", 3, BM54="N", 2)</f>
        <v>3</v>
      </c>
      <c r="BO54" s="76" t="s">
        <v>181</v>
      </c>
      <c r="BP54" s="197" cm="1">
        <f t="array" ref="BP54">_xlfn.IFS(BO54="Y", 3, BO54="N", 2)</f>
        <v>3</v>
      </c>
      <c r="BQ54" s="79">
        <f t="shared" si="62"/>
        <v>3</v>
      </c>
      <c r="BR54" s="44">
        <v>14500</v>
      </c>
      <c r="BS54" s="44">
        <f t="shared" si="23"/>
        <v>14500000</v>
      </c>
      <c r="BT54" s="44">
        <f t="shared" si="24"/>
        <v>22656.25</v>
      </c>
      <c r="BU54" s="80">
        <v>66456</v>
      </c>
      <c r="BV54" s="81">
        <f t="shared" si="25"/>
        <v>34.092106055134224</v>
      </c>
      <c r="BW54" s="82" cm="1">
        <f t="array" ref="BW54">_xlfn.IFS(BV54&gt;44, 3, BV54&lt;26, 1, 44&gt;BV54&gt;26, 2)</f>
        <v>2</v>
      </c>
      <c r="BX54" s="82">
        <v>12850603</v>
      </c>
      <c r="BY54" s="82" cm="1">
        <f t="array" ref="BY54">_xlfn.IFS(BX54&gt;12000000, 3, BX54&lt;4000000, 1, 4000000&gt;BX54&gt;12000000, 2)</f>
        <v>3</v>
      </c>
      <c r="BZ54" s="80">
        <v>6.5361301006618344</v>
      </c>
      <c r="CA54" s="82" cm="1">
        <f t="array" ref="CA54">_xlfn.IFS(BZ54&gt;$BZ$60, 1, BZ54&lt;$BZ$59, 3, BZ54&gt;$BZ$59, 2, BZ54=$BZ$59, 2)</f>
        <v>2</v>
      </c>
      <c r="CB54" s="413">
        <f t="shared" si="52"/>
        <v>2.25</v>
      </c>
      <c r="CC54" s="44">
        <v>3370379</v>
      </c>
      <c r="CD54" s="44" cm="1">
        <f t="array" ref="CD54">_xlfn.IFS(CC54&gt;4200000, 3, CC54&lt;1700000, 1, 4200000&gt;CC54&gt;1700000, 2)</f>
        <v>2</v>
      </c>
      <c r="CE54" s="44">
        <v>1331980.8199999998</v>
      </c>
      <c r="CF54" s="44" cm="1">
        <f t="array" ref="CF54">_xlfn.IFS(CE54&lt;120000, 1, CE54&gt;620000, 3, 620000&gt;CE54&gt;120000, 2)</f>
        <v>3</v>
      </c>
      <c r="CG54" s="44">
        <v>1835508.3000000003</v>
      </c>
      <c r="CH54" s="44" cm="1">
        <f t="array" ref="CH54">_xlfn.IFS(CG54&lt;300000, 1, CG54&gt;1700000, 3, 300000&gt;CG54&gt;170000, 2)</f>
        <v>3</v>
      </c>
      <c r="CI54" s="44">
        <v>61.612700590000003</v>
      </c>
      <c r="CJ54" s="61" cm="1">
        <f t="array" ref="CJ54">_xlfn.IFS(CI54&lt;$CI$60, 1, CI54&gt;$CI$61, 3, CI54&lt;$CI$61, 2)</f>
        <v>3</v>
      </c>
      <c r="CK54" s="205">
        <f t="shared" si="27"/>
        <v>2.8</v>
      </c>
      <c r="CL54" s="44">
        <v>209</v>
      </c>
      <c r="CM54" s="48" cm="1">
        <f t="array" ref="CM54">_xlfn.IFS(CL54&gt;4600000, 3, CL54&lt;430000, 1, 4600000&gt;CL54&gt;430000, 2)</f>
        <v>1</v>
      </c>
      <c r="CN54" s="72">
        <f t="shared" si="53"/>
        <v>1</v>
      </c>
      <c r="CO54" s="39">
        <v>0</v>
      </c>
      <c r="CP54" s="65" cm="1">
        <f t="array" ref="CP54">_xlfn.IFS(CO54=0, 1, CO54="active", 3, CO54="permitted", 2)</f>
        <v>1</v>
      </c>
      <c r="CQ54" s="39">
        <v>0</v>
      </c>
      <c r="CR54" s="39" cm="1">
        <f t="array" ref="CR54">_xlfn.IFS(CQ54=0, 1, CQ54&lt;&gt;0, 3)</f>
        <v>1</v>
      </c>
      <c r="CS54" s="72">
        <v>1</v>
      </c>
      <c r="CT54" s="48" t="s">
        <v>181</v>
      </c>
      <c r="CU54" s="107">
        <v>3128</v>
      </c>
      <c r="CV54" s="107">
        <v>71298</v>
      </c>
      <c r="CW54" s="39">
        <f>CU54/CV54</f>
        <v>4.3872198378636144E-2</v>
      </c>
      <c r="CX54" s="207" cm="1">
        <f t="array" ref="CX54">_xlfn.IFS(CT54="N", 0, CW54&lt;$CW$61, 2, CW54 = $CW$61, 2, CW54&gt;$CW$61, 3)</f>
        <v>2</v>
      </c>
      <c r="CY54" s="207">
        <v>6</v>
      </c>
      <c r="CZ54" s="207" cm="1">
        <f t="array" ref="CZ54">_xlfn.IFS(CY54="NA", "NA", CY54=0, 1, CY54=1, 2, CY54&gt;1, 3)</f>
        <v>3</v>
      </c>
      <c r="DA54" s="201">
        <f t="shared" si="28"/>
        <v>2.25</v>
      </c>
      <c r="DB54" s="86">
        <v>14</v>
      </c>
      <c r="DC54" s="61" cm="1">
        <f t="array" ref="DC54">_xlfn.IFS(DB54&gt;$DB$61, 3, DB54=0, 1, DB54&lt;$DB$61, 2, DB54=$DB$61, 2)</f>
        <v>2</v>
      </c>
      <c r="DD54" s="87">
        <v>67839</v>
      </c>
      <c r="DE54" s="44" cm="1">
        <f t="array" ref="DE54">_xlfn.IFS(DD54&gt;$DD$62, 3, DD54&lt;$DD$60, 1, DD54&gt;$DD$60, 2, DD54=$DD$60, 2)</f>
        <v>3</v>
      </c>
      <c r="DF54" s="44">
        <v>0</v>
      </c>
      <c r="DG54" s="61" cm="1">
        <f t="array" ref="DG54">_xlfn.IFS(DF54=0, 1, DF54&lt;$DF$61, 2, DF54&gt;$DF$61, 3)</f>
        <v>1</v>
      </c>
      <c r="DH54" s="415">
        <f t="shared" si="29"/>
        <v>1.9999999999999978</v>
      </c>
      <c r="DI54" s="82">
        <v>460546240</v>
      </c>
      <c r="DJ54" s="82">
        <f t="shared" si="30"/>
        <v>52573.77168949772</v>
      </c>
      <c r="DK54" s="88">
        <v>26678.399999999998</v>
      </c>
      <c r="DL54" s="89">
        <f t="shared" si="31"/>
        <v>0.5074469482152324</v>
      </c>
      <c r="DM54" s="88" cm="1">
        <f t="array" ref="DM54">_xlfn.IFS(DL54&gt;$DL$60,3,(AND(DL54&lt;$DL$60,DL54&gt;$DL$59)),2,DL54&lt;$DL$59,1)</f>
        <v>3</v>
      </c>
      <c r="DN54" s="88">
        <v>70047</v>
      </c>
      <c r="DO54" s="90">
        <f t="shared" si="32"/>
        <v>0.15209547688414524</v>
      </c>
      <c r="DP54" s="88" cm="1">
        <f t="array" ref="DP54">_xlfn.IFS(DO54&gt;DO$60,3,(AND(DO54&lt;DO$60,DO54&gt;DO$59)),2,DO54&lt;DO$59,1)</f>
        <v>3</v>
      </c>
      <c r="DQ54" s="91">
        <v>70332</v>
      </c>
      <c r="DR54" s="92">
        <f t="shared" si="33"/>
        <v>0.28186016622266119</v>
      </c>
      <c r="DS54" s="88" cm="1">
        <f t="array" ref="DS54">_xlfn.IFS(DR54&gt;DR$60,3,(AND(DR54&lt;DR$60,DR54&gt;DR$59)),2,DR54&lt;DR$59,1)</f>
        <v>2</v>
      </c>
      <c r="DT54" s="91" t="s">
        <v>547</v>
      </c>
      <c r="DU54" s="213" cm="1">
        <f t="array" ref="DU54">_xlfn.IFS(DT54="no data","",DT54="40-45", 1, DT54= "45-50", 1, DT54="50-55", 1, DT54 ="30-35", 2, DT54="25-30", 2, DT54="35-40", 2, DT54="20-25", 3, DT54="15-20", 3)</f>
        <v>2</v>
      </c>
      <c r="DV54" s="88">
        <v>3830781824.6936884</v>
      </c>
      <c r="DW54" s="88" cm="1">
        <f t="array" ref="DW54">_xlfn.IFS(DV54&gt;DV$60,3,(AND(DV54&lt;DV$60,DV54&gt;DV$59)),2,DV54&lt;DV$59,1)</f>
        <v>2</v>
      </c>
      <c r="DX54" s="93">
        <v>3</v>
      </c>
      <c r="DY54" s="88" cm="1">
        <f t="array" ref="DY54">_xlfn.IFS(DX54&gt;6.99,1,AND(DX54 &gt; 3, DX54 &lt; 7),2,DX54&lt;3.99,3)</f>
        <v>3</v>
      </c>
      <c r="DZ54" s="94">
        <f t="shared" si="54"/>
        <v>2.7</v>
      </c>
      <c r="EA54" s="95">
        <v>792100</v>
      </c>
      <c r="EB54" s="82">
        <v>1215800</v>
      </c>
      <c r="EC54" s="82">
        <v>2867</v>
      </c>
      <c r="ED54" s="82">
        <v>0</v>
      </c>
      <c r="EE54" s="82">
        <v>1</v>
      </c>
      <c r="EF54" s="82">
        <f t="shared" si="34"/>
        <v>1</v>
      </c>
      <c r="EG54" s="204" cm="1">
        <f t="array" ref="EG54">_xlfn.IFS(EF54=0, 1, EF54&gt;2, 3, 0&gt;EF54&gt;3,2)</f>
        <v>2</v>
      </c>
      <c r="EH54" s="82">
        <v>2</v>
      </c>
      <c r="EI54" s="82">
        <v>0</v>
      </c>
      <c r="EJ54" s="82">
        <f t="shared" si="35"/>
        <v>2</v>
      </c>
      <c r="EK54" s="82" cm="1">
        <f t="array" ref="EK54">_xlfn.IFS(EH54+EI54=0, 1, EH54+EI54&gt;5, 3, EH54+EI54=5, 2, 0&gt;EH54+EI54&gt;5, 2)</f>
        <v>2</v>
      </c>
      <c r="EL54" s="82">
        <v>17</v>
      </c>
      <c r="EM54" s="82">
        <v>3</v>
      </c>
      <c r="EN54" s="82" cm="1">
        <f t="array" ref="EN54">_xlfn.IFS(EL54+EM54=0, 1, EL54+EM54&gt;10, 3, EL54+EM54 = 10, 2, 0&gt;EL54+EM54&gt;10, 2)</f>
        <v>3</v>
      </c>
      <c r="EO54" s="96">
        <f t="shared" si="55"/>
        <v>2.333333333333333</v>
      </c>
      <c r="EP54" s="44">
        <v>0.5</v>
      </c>
      <c r="EQ54" s="61" cm="1">
        <f t="array" ref="EQ54">_xlfn.IFS(EP54=0, 1, EP54&gt;$EP$60, 3, EP54&lt;$EP$60, 2)</f>
        <v>2</v>
      </c>
      <c r="ER54" s="100">
        <v>0</v>
      </c>
      <c r="ES54" s="100" cm="1">
        <f t="array" ref="ES54">_xlfn.IFS(ER54=0, 1, ER54&gt;$ER$59, 3, ER54&lt;$ER$59, 2)</f>
        <v>1</v>
      </c>
      <c r="ET54" s="44">
        <v>0</v>
      </c>
      <c r="EU54" s="44" cm="1">
        <f t="array" ref="EU54">_xlfn.IFS(ET54=0, 1, ET54=1, 2, ET54&gt;1, 3)</f>
        <v>1</v>
      </c>
      <c r="EV54" s="413">
        <f t="shared" si="56"/>
        <v>1.2000000000000002</v>
      </c>
      <c r="EW54" s="82">
        <v>176.18</v>
      </c>
      <c r="EX54" s="210" cm="1">
        <f t="array" ref="EX54">_xlfn.IFS(EW54&gt;EX$60,3,(AND(EW54&lt;EX$60,EW54&gt;EX$59)),2,EW54&lt;EX$59,1)</f>
        <v>3</v>
      </c>
      <c r="EY54" s="253">
        <v>1198667295052.9421</v>
      </c>
      <c r="EZ54" s="210" cm="1">
        <f t="array" ref="EZ54">_xlfn.IFS(EY54&gt;EZ$60,3,(AND(EY54&lt;EZ$60,EY54&gt;EZ$59)),2,EY54&lt;EZ$59,1)</f>
        <v>3</v>
      </c>
      <c r="FA54" s="253">
        <v>105354212188972.25</v>
      </c>
      <c r="FB54" s="210" cm="1">
        <f t="array" ref="FB54">_xlfn.IFS(FA54&gt;FB$60,3,(AND(FA54&lt;FB$60,FA54&gt;FB$59)),2,FA54&lt;FB$59,1)</f>
        <v>3</v>
      </c>
      <c r="FC54" s="416">
        <f t="shared" si="57"/>
        <v>3</v>
      </c>
      <c r="FD54" s="81">
        <v>0.92</v>
      </c>
      <c r="FE54" s="81" cm="1">
        <f t="array" ref="FE54">_xlfn.IFS(FD54&gt;$FD$60, 3, FD54&lt;$FD$59, 1, FD54&gt;$FD$59, 2)</f>
        <v>2</v>
      </c>
      <c r="FF54" s="44">
        <v>1</v>
      </c>
      <c r="FG54" s="61" cm="1">
        <f t="array" ref="FG54">_xlfn.IFS(FF54&lt;$FF$59, 1, FF54&gt;$FF$60, 3, FF54 = $FF$60, 3, FF54&lt;$FF$60, 2)</f>
        <v>2</v>
      </c>
      <c r="FH54" s="97">
        <f t="shared" si="58"/>
        <v>2</v>
      </c>
      <c r="FI54" s="102">
        <v>1</v>
      </c>
      <c r="FJ54" s="44">
        <v>5</v>
      </c>
      <c r="FK54" s="98">
        <f t="shared" si="59"/>
        <v>6</v>
      </c>
      <c r="FL54" s="98" cm="1">
        <f t="array" ref="FL54">_xlfn.IFS(FK54&gt;$FK$60, 3, FK54&lt;$FK$59, 1, FK54&gt;$FK$59, 2, FK54=$FK$59, 2)</f>
        <v>2</v>
      </c>
      <c r="FM54" s="99">
        <f t="shared" si="60"/>
        <v>2</v>
      </c>
    </row>
    <row r="55" spans="1:169" ht="20.100000000000001" customHeight="1">
      <c r="A55" s="38" t="s">
        <v>155</v>
      </c>
      <c r="B55" s="44" t="s">
        <v>541</v>
      </c>
      <c r="C55" s="44">
        <v>1</v>
      </c>
      <c r="D55" s="44" t="s">
        <v>542</v>
      </c>
      <c r="E55" s="44">
        <v>1</v>
      </c>
      <c r="F55" s="61" t="s">
        <v>543</v>
      </c>
      <c r="G55" s="61" cm="1">
        <f t="array" ref="G55">_xlfn.IFS(F55= "Yes", 3, F55 &lt;&gt; "Yes", 1)</f>
        <v>1</v>
      </c>
      <c r="H55" s="44" t="s">
        <v>543</v>
      </c>
      <c r="I55" s="44">
        <v>1</v>
      </c>
      <c r="J55" s="44" t="s">
        <v>543</v>
      </c>
      <c r="K55" s="44">
        <v>1</v>
      </c>
      <c r="L55" s="193">
        <f t="shared" si="37"/>
        <v>0.99999999999999989</v>
      </c>
      <c r="M55" s="48" t="s">
        <v>543</v>
      </c>
      <c r="N55" s="44">
        <v>1</v>
      </c>
      <c r="O55" s="44" t="s">
        <v>543</v>
      </c>
      <c r="P55" s="44">
        <v>1</v>
      </c>
      <c r="Q55" s="44" t="s">
        <v>543</v>
      </c>
      <c r="R55" s="44">
        <v>1</v>
      </c>
      <c r="S55" s="48" t="s">
        <v>543</v>
      </c>
      <c r="T55" s="44">
        <v>1</v>
      </c>
      <c r="U55" s="44" t="s">
        <v>543</v>
      </c>
      <c r="V55" s="44">
        <v>1</v>
      </c>
      <c r="W55" s="44" t="s">
        <v>543</v>
      </c>
      <c r="X55" s="44">
        <v>1</v>
      </c>
      <c r="Y55" s="39" t="s">
        <v>543</v>
      </c>
      <c r="Z55" s="44">
        <v>1</v>
      </c>
      <c r="AA55" s="72">
        <f t="shared" si="43"/>
        <v>0.99999999999999978</v>
      </c>
      <c r="AB55" s="39" t="s">
        <v>543</v>
      </c>
      <c r="AC55" s="44" t="s">
        <v>542</v>
      </c>
      <c r="AD55" s="44">
        <v>1</v>
      </c>
      <c r="AE55" s="44" t="s">
        <v>561</v>
      </c>
      <c r="AF55" s="44" cm="1">
        <f t="array" ref="AF55">_xlfn.IFS(AE55="NA", 1, AE55="No", 1, AE55="Yes, implicit", 2, AE55="Yes, explicit", 3)</f>
        <v>3</v>
      </c>
      <c r="AG55" s="44" t="s">
        <v>543</v>
      </c>
      <c r="AH55" s="44" t="s">
        <v>556</v>
      </c>
      <c r="AI55" s="44">
        <v>2</v>
      </c>
      <c r="AJ55" s="73">
        <f t="shared" si="44"/>
        <v>1.6</v>
      </c>
      <c r="AK55" s="76" t="s">
        <v>544</v>
      </c>
      <c r="AL55" s="74">
        <f t="shared" si="10"/>
        <v>1</v>
      </c>
      <c r="AM55" s="76" t="s">
        <v>181</v>
      </c>
      <c r="AN55" s="74">
        <f t="shared" si="11"/>
        <v>3</v>
      </c>
      <c r="AO55" s="76" t="s">
        <v>181</v>
      </c>
      <c r="AP55" s="74">
        <f t="shared" si="12"/>
        <v>3</v>
      </c>
      <c r="AQ55" s="75">
        <f t="shared" si="45"/>
        <v>0.70000000000000007</v>
      </c>
      <c r="AR55" s="74" t="s">
        <v>545</v>
      </c>
      <c r="AS55" s="74">
        <f t="shared" si="14"/>
        <v>1</v>
      </c>
      <c r="AT55" s="74" t="s">
        <v>545</v>
      </c>
      <c r="AU55" s="74">
        <f t="shared" si="15"/>
        <v>1</v>
      </c>
      <c r="AV55" s="74">
        <f t="shared" si="46"/>
        <v>0.2</v>
      </c>
      <c r="AW55" s="76" t="s">
        <v>548</v>
      </c>
      <c r="AX55" s="195">
        <f t="shared" si="47"/>
        <v>0.5</v>
      </c>
      <c r="AY55" s="76" t="s">
        <v>546</v>
      </c>
      <c r="AZ55" s="76">
        <f t="shared" si="48"/>
        <v>3</v>
      </c>
      <c r="BA55" s="76" t="s">
        <v>545</v>
      </c>
      <c r="BB55" s="74">
        <f t="shared" si="18"/>
        <v>1</v>
      </c>
      <c r="BC55" s="76" t="s">
        <v>545</v>
      </c>
      <c r="BD55" s="74">
        <f t="shared" si="49"/>
        <v>1</v>
      </c>
      <c r="BE55" s="76">
        <f t="shared" si="50"/>
        <v>0.5</v>
      </c>
      <c r="BF55" s="76"/>
      <c r="BG55" s="76"/>
      <c r="BH55" s="77">
        <f t="shared" si="38"/>
        <v>0</v>
      </c>
      <c r="BI55" s="77">
        <f t="shared" si="39"/>
        <v>0</v>
      </c>
      <c r="BJ55" s="77">
        <f t="shared" si="40"/>
        <v>0</v>
      </c>
      <c r="BK55" s="77">
        <f t="shared" si="41"/>
        <v>0</v>
      </c>
      <c r="BL55" s="78">
        <f t="shared" si="51"/>
        <v>1.9</v>
      </c>
      <c r="BM55" s="76" t="s">
        <v>181</v>
      </c>
      <c r="BN55" s="197" cm="1">
        <f t="array" ref="BN55">_xlfn.IFS(BM55="Y", 3, BM55="N", 2)</f>
        <v>3</v>
      </c>
      <c r="BO55" s="76" t="s">
        <v>181</v>
      </c>
      <c r="BP55" s="197" cm="1">
        <f t="array" ref="BP55">_xlfn.IFS(BO55="Y", 3, BO55="N", 2)</f>
        <v>3</v>
      </c>
      <c r="BQ55" s="79">
        <f t="shared" si="62"/>
        <v>3</v>
      </c>
      <c r="BR55" s="44">
        <v>3500</v>
      </c>
      <c r="BS55" s="44">
        <f t="shared" si="23"/>
        <v>3500000</v>
      </c>
      <c r="BT55" s="44">
        <f t="shared" si="24"/>
        <v>5468.75</v>
      </c>
      <c r="BU55" s="80">
        <v>24038</v>
      </c>
      <c r="BV55" s="81">
        <f t="shared" si="25"/>
        <v>22.75043680838672</v>
      </c>
      <c r="BW55" s="82" cm="1">
        <f t="array" ref="BW55">_xlfn.IFS(BV55&gt;44, 3, BV55&lt;26, 1, 44&gt;BV55&gt;26, 2)</f>
        <v>1</v>
      </c>
      <c r="BX55" s="82">
        <v>952167</v>
      </c>
      <c r="BY55" s="82" cm="1">
        <f t="array" ref="BY55">_xlfn.IFS(BX55&gt;12000000, 3, BX55&lt;4000000, 1, 4000000&gt;BX55&gt;12000000, 2)</f>
        <v>1</v>
      </c>
      <c r="BZ55" s="80">
        <v>5.1749129816452584</v>
      </c>
      <c r="CA55" s="82" cm="1">
        <f t="array" ref="CA55">_xlfn.IFS(BZ55&gt;$BZ$60, 1, BZ55&lt;$BZ$59, 3, BZ55&gt;$BZ$59, 2, BZ55=$BZ$59, 2)</f>
        <v>3</v>
      </c>
      <c r="CB55" s="413">
        <f t="shared" si="52"/>
        <v>1.6999999999999997</v>
      </c>
      <c r="CC55" s="44">
        <v>1147510</v>
      </c>
      <c r="CD55" s="44" cm="1">
        <f t="array" ref="CD55">_xlfn.IFS(CC55&gt;4200000, 3, CC55&lt;1700000, 1, 4200000&gt;CC55&gt;1700000, 2)</f>
        <v>1</v>
      </c>
      <c r="CE55" s="44">
        <v>455362.7699999999</v>
      </c>
      <c r="CF55" s="44" cm="1">
        <f t="array" ref="CF55">_xlfn.IFS(CE55&lt;120000, 1, CE55&gt;620000, 3, 620000&gt;CE55&gt;120000, 2)</f>
        <v>2</v>
      </c>
      <c r="CG55" s="44">
        <v>17514.999999999993</v>
      </c>
      <c r="CH55" s="44" cm="1">
        <f t="array" ref="CH55">_xlfn.IFS(CG55&lt;300000, 1, CG55&gt;1700000, 3, 300000&gt;CG55&gt;170000, 2)</f>
        <v>1</v>
      </c>
      <c r="CI55" s="44">
        <v>40.24701357</v>
      </c>
      <c r="CJ55" s="61" cm="1">
        <f t="array" ref="CJ55">_xlfn.IFS(CI55&lt;$CI$60, 1, CI55&gt;$CI$61, 3, CI55&lt;$CI$61, 2)</f>
        <v>1</v>
      </c>
      <c r="CK55" s="205">
        <f t="shared" si="27"/>
        <v>1.2000000000000002</v>
      </c>
      <c r="CL55" s="44">
        <v>2463196</v>
      </c>
      <c r="CM55" s="48" cm="1">
        <f t="array" ref="CM55">_xlfn.IFS(CL55&gt;4600000, 3, CL55&lt;430000, 1, 4600000&gt;CL55&gt;430000, 2)</f>
        <v>2</v>
      </c>
      <c r="CN55" s="72">
        <f t="shared" si="53"/>
        <v>2</v>
      </c>
      <c r="CO55" s="39">
        <v>0</v>
      </c>
      <c r="CP55" s="65" cm="1">
        <f t="array" ref="CP55">_xlfn.IFS(CO55=0, 1, CO55="active", 3, CO55="permitted", 2)</f>
        <v>1</v>
      </c>
      <c r="CQ55" s="39">
        <v>0</v>
      </c>
      <c r="CR55" s="39" cm="1">
        <f t="array" ref="CR55">_xlfn.IFS(CQ55=0, 1, CQ55&lt;&gt;0, 3)</f>
        <v>1</v>
      </c>
      <c r="CS55" s="72">
        <v>1</v>
      </c>
      <c r="CT55" s="44" t="s">
        <v>545</v>
      </c>
      <c r="CU55" s="82">
        <v>0</v>
      </c>
      <c r="CV55" s="82">
        <v>24230</v>
      </c>
      <c r="CW55" s="39" t="s">
        <v>542</v>
      </c>
      <c r="CX55" s="207" cm="1">
        <f t="array" ref="CX55">_xlfn.IFS(CT55="N", 0, CW55&lt;$CW$61, 2, CW55 = $CW$61, 2, CW55&gt;$CW$61, 3)</f>
        <v>0</v>
      </c>
      <c r="CY55" s="207" t="s">
        <v>542</v>
      </c>
      <c r="CZ55" s="207" t="str" cm="1">
        <f t="array" ref="CZ55">_xlfn.IFS(CY55="NA", "NA", CY55=0, 1, CY55=1, 2, CY55&gt;1, 3)</f>
        <v>NA</v>
      </c>
      <c r="DA55" s="201">
        <f t="shared" si="28"/>
        <v>0</v>
      </c>
      <c r="DB55" s="86">
        <v>1</v>
      </c>
      <c r="DC55" s="61" cm="1">
        <f t="array" ref="DC55">_xlfn.IFS(DB55&gt;$DB$61, 3, DB55=0, 1, DB55&lt;$DB$61, 2, DB55=$DB$61, 2)</f>
        <v>2</v>
      </c>
      <c r="DD55" s="87">
        <v>1126</v>
      </c>
      <c r="DE55" s="44" cm="1">
        <f t="array" ref="DE55">_xlfn.IFS(DD55&gt;$DD$62, 3, DD55&lt;$DD$60, 1, DD55&gt;$DD$60, 2, DD55=$DD$60, 2)</f>
        <v>1</v>
      </c>
      <c r="DF55" s="44">
        <v>6313</v>
      </c>
      <c r="DG55" s="61" cm="1">
        <f t="array" ref="DG55">_xlfn.IFS(DF55=0, 1, DF55&lt;$DF$61, 2, DF55&gt;$DF$61, 3)</f>
        <v>3</v>
      </c>
      <c r="DH55" s="415">
        <f t="shared" si="29"/>
        <v>1.9999999999999978</v>
      </c>
      <c r="DI55" s="82">
        <v>244857655</v>
      </c>
      <c r="DJ55" s="82">
        <f t="shared" si="30"/>
        <v>27951.787100456622</v>
      </c>
      <c r="DK55" s="88">
        <v>1277.3</v>
      </c>
      <c r="DL55" s="89">
        <f t="shared" si="31"/>
        <v>4.5696541527362085E-2</v>
      </c>
      <c r="DM55" s="88" cm="1">
        <f t="array" ref="DM55">_xlfn.IFS(DL55&gt;$DL$60,3,(AND(DL55&lt;$DL$60,DL55&gt;$DL$59)),2,DL55&lt;$DL$59,1)</f>
        <v>1</v>
      </c>
      <c r="DN55" s="88">
        <v>3743</v>
      </c>
      <c r="DO55" s="90">
        <f t="shared" si="32"/>
        <v>1.5286432437654441E-2</v>
      </c>
      <c r="DP55" s="88" cm="1">
        <f t="array" ref="DP55">_xlfn.IFS(DO55&gt;DO$60,3,(AND(DO55&lt;DO$60,DO55&gt;DO$59)),2,DO55&lt;DO$59,1)</f>
        <v>1</v>
      </c>
      <c r="DQ55" s="91">
        <v>10336.299999999999</v>
      </c>
      <c r="DR55" s="92">
        <f t="shared" si="33"/>
        <v>0.25762495817382031</v>
      </c>
      <c r="DS55" s="88" cm="1">
        <f t="array" ref="DS55">_xlfn.IFS(DR55&gt;DR$60,3,(AND(DR55&lt;DR$60,DR55&gt;DR$59)),2,DR55&lt;DR$59,1)</f>
        <v>2</v>
      </c>
      <c r="DT55" s="91" t="s">
        <v>547</v>
      </c>
      <c r="DU55" s="213" cm="1">
        <f t="array" ref="DU55">_xlfn.IFS(DT55="no data","",DT55="40-45", 1, DT55= "45-50", 1, DT55="50-55", 1, DT55 ="30-35", 2, DT55="25-30", 2, DT55="35-40", 2, DT55="20-25", 3, DT55="15-20", 3)</f>
        <v>2</v>
      </c>
      <c r="DV55" s="88">
        <v>472092760.6954037</v>
      </c>
      <c r="DW55" s="88" cm="1">
        <f t="array" ref="DW55">_xlfn.IFS(DV55&gt;DV$60,3,(AND(DV55&lt;DV$60,DV55&gt;DV$59)),2,DV55&lt;DV$59,1)</f>
        <v>1</v>
      </c>
      <c r="DX55" s="93">
        <v>7</v>
      </c>
      <c r="DY55" s="88" cm="1">
        <f t="array" ref="DY55">_xlfn.IFS(DX55&gt;6.99,1,AND(DX55 &gt; 3, DX55 &lt; 7),2,DX55&lt;3.99,3)</f>
        <v>1</v>
      </c>
      <c r="DZ55" s="94">
        <f t="shared" si="54"/>
        <v>1.2000000000000002</v>
      </c>
      <c r="EA55" s="95">
        <v>468100</v>
      </c>
      <c r="EB55" s="82">
        <v>77300</v>
      </c>
      <c r="EC55" s="82">
        <v>2123</v>
      </c>
      <c r="ED55" s="82">
        <v>0</v>
      </c>
      <c r="EE55" s="82">
        <v>0</v>
      </c>
      <c r="EF55" s="82">
        <f>ED55+EE55</f>
        <v>0</v>
      </c>
      <c r="EG55" s="204" cm="1">
        <f t="array" ref="EG55">_xlfn.IFS(EF55=0, 1, EF55&gt;2, 3, 0&gt;EF55&gt;3,2)</f>
        <v>1</v>
      </c>
      <c r="EH55" s="82">
        <v>0</v>
      </c>
      <c r="EI55" s="82">
        <v>0</v>
      </c>
      <c r="EJ55" s="82">
        <f t="shared" si="35"/>
        <v>0</v>
      </c>
      <c r="EK55" s="82" cm="1">
        <f t="array" ref="EK55">_xlfn.IFS(EH55+EI55=0, 1, EH55+EI55&gt;5, 3, EH55+EI55=5, 2, 0&gt;EH55+EI55&gt;5, 2)</f>
        <v>1</v>
      </c>
      <c r="EL55" s="82">
        <v>0</v>
      </c>
      <c r="EM55" s="82">
        <v>0</v>
      </c>
      <c r="EN55" s="82" cm="1">
        <f t="array" ref="EN55">_xlfn.IFS(EL55+EM55=0, 1, EL55+EM55&gt;10, 3, EL55+EM55 = 10, 2, 0&gt;EL55+EM55&gt;10, 2)</f>
        <v>1</v>
      </c>
      <c r="EO55" s="96">
        <f t="shared" si="55"/>
        <v>1</v>
      </c>
      <c r="EP55" s="44">
        <v>2</v>
      </c>
      <c r="EQ55" s="61" cm="1">
        <f t="array" ref="EQ55">_xlfn.IFS(EP55=0, 1, EP55&gt;$EP$60, 3, EP55&lt;$EP$60, 2)</f>
        <v>3</v>
      </c>
      <c r="ER55" s="100">
        <v>0</v>
      </c>
      <c r="ES55" s="100" cm="1">
        <f t="array" ref="ES55">_xlfn.IFS(ER55=0, 1, ER55&gt;$ER$59, 3, ER55&lt;$ER$59, 2)</f>
        <v>1</v>
      </c>
      <c r="ET55" s="44">
        <v>0</v>
      </c>
      <c r="EU55" s="44" cm="1">
        <f t="array" ref="EU55">_xlfn.IFS(ET55=0, 1, ET55=1, 2, ET55&gt;1, 3)</f>
        <v>1</v>
      </c>
      <c r="EV55" s="413">
        <f t="shared" si="56"/>
        <v>1.4</v>
      </c>
      <c r="EW55" s="82">
        <v>21.4</v>
      </c>
      <c r="EX55" s="210" cm="1">
        <f t="array" ref="EX55">_xlfn.IFS(EW55&gt;EX$60,3,(AND(EW55&lt;EX$60,EW55&gt;EX$59)),2,EW55&lt;EX$59,1)</f>
        <v>2</v>
      </c>
      <c r="EY55" s="82">
        <v>0</v>
      </c>
      <c r="EZ55" s="210" cm="1">
        <f t="array" ref="EZ55">_xlfn.IFS(EY55&gt;EZ$60,3,(AND(EY55&lt;EZ$60,EY55&gt;EZ$59)),2,EY55&lt;EZ$59,1)</f>
        <v>1</v>
      </c>
      <c r="FA55" s="82">
        <v>0</v>
      </c>
      <c r="FB55" s="210" cm="1">
        <f t="array" ref="FB55">_xlfn.IFS(FA55&gt;FB$60,3,(AND(FA55&lt;FB$60,FA55&gt;FB$59)),2,FA55&lt;FB$59,1)</f>
        <v>1</v>
      </c>
      <c r="FC55" s="416">
        <f t="shared" si="57"/>
        <v>1.5</v>
      </c>
      <c r="FD55" s="81">
        <v>0.21</v>
      </c>
      <c r="FE55" s="81" cm="1">
        <f t="array" ref="FE55">_xlfn.IFS(FD55&gt;$FD$60, 3, FD55&lt;$FD$59, 1, FD55&gt;$FD$59, 2)</f>
        <v>1</v>
      </c>
      <c r="FF55" s="44">
        <v>0</v>
      </c>
      <c r="FG55" s="61" cm="1">
        <f t="array" ref="FG55">_xlfn.IFS(FF55&lt;$FF$59, 1, FF55&gt;$FF$60, 3, FF55 = $FF$60, 3, FF55&lt;$FF$60, 2)</f>
        <v>1</v>
      </c>
      <c r="FH55" s="97">
        <f t="shared" si="58"/>
        <v>1</v>
      </c>
      <c r="FI55" s="102">
        <v>1</v>
      </c>
      <c r="FJ55" s="44">
        <v>4</v>
      </c>
      <c r="FK55" s="98">
        <f t="shared" si="59"/>
        <v>5</v>
      </c>
      <c r="FL55" s="98" cm="1">
        <f t="array" ref="FL55">_xlfn.IFS(FK55&gt;$FK$60, 3, FK55&lt;$FK$59, 1, FK55&gt;$FK$59, 2, FK55=$FK$59, 2)</f>
        <v>2</v>
      </c>
      <c r="FM55" s="99">
        <f t="shared" si="60"/>
        <v>2</v>
      </c>
    </row>
    <row r="56" spans="1:169" ht="20.100000000000001" customHeight="1">
      <c r="A56" s="38" t="s">
        <v>156</v>
      </c>
      <c r="B56" s="44" t="s">
        <v>541</v>
      </c>
      <c r="C56" s="44">
        <v>1</v>
      </c>
      <c r="D56" s="44" t="s">
        <v>542</v>
      </c>
      <c r="E56" s="44">
        <v>1</v>
      </c>
      <c r="F56" s="61" t="s">
        <v>543</v>
      </c>
      <c r="G56" s="61" cm="1">
        <f t="array" ref="G56">_xlfn.IFS(F56= "Yes", 3, F56 &lt;&gt; "Yes", 1)</f>
        <v>1</v>
      </c>
      <c r="H56" s="44" t="s">
        <v>552</v>
      </c>
      <c r="I56" s="44">
        <v>2</v>
      </c>
      <c r="J56" s="44" t="s">
        <v>543</v>
      </c>
      <c r="K56" s="44">
        <v>1</v>
      </c>
      <c r="L56" s="193">
        <f t="shared" si="37"/>
        <v>1.25</v>
      </c>
      <c r="M56" s="48" t="s">
        <v>543</v>
      </c>
      <c r="N56" s="44">
        <v>1</v>
      </c>
      <c r="O56" s="44" t="s">
        <v>543</v>
      </c>
      <c r="P56" s="44">
        <v>1</v>
      </c>
      <c r="Q56" s="44" t="s">
        <v>543</v>
      </c>
      <c r="R56" s="44">
        <v>1</v>
      </c>
      <c r="S56" s="48" t="s">
        <v>543</v>
      </c>
      <c r="T56" s="44">
        <v>1</v>
      </c>
      <c r="U56" s="44" t="s">
        <v>543</v>
      </c>
      <c r="V56" s="44">
        <v>1</v>
      </c>
      <c r="W56" s="44" t="s">
        <v>543</v>
      </c>
      <c r="X56" s="44">
        <v>1</v>
      </c>
      <c r="Y56" s="39" t="s">
        <v>543</v>
      </c>
      <c r="Z56" s="44">
        <v>1</v>
      </c>
      <c r="AA56" s="72">
        <f t="shared" si="43"/>
        <v>0.99999999999999978</v>
      </c>
      <c r="AB56" s="103" t="s">
        <v>628</v>
      </c>
      <c r="AC56" s="44" t="s">
        <v>545</v>
      </c>
      <c r="AD56" s="44">
        <v>2</v>
      </c>
      <c r="AE56" s="44" t="s">
        <v>543</v>
      </c>
      <c r="AF56" s="44" cm="1">
        <f t="array" ref="AF56">_xlfn.IFS(AE56="NA", 1, AE56="No", 1, AE56="Yes, implicit", 2, AE56="Yes, explicit", 3)</f>
        <v>1</v>
      </c>
      <c r="AG56" s="44" t="s">
        <v>543</v>
      </c>
      <c r="AH56" s="44" t="s">
        <v>543</v>
      </c>
      <c r="AI56" s="44">
        <v>1</v>
      </c>
      <c r="AJ56" s="73">
        <f t="shared" si="44"/>
        <v>1.5999999999999999</v>
      </c>
      <c r="AK56" s="76" t="s">
        <v>544</v>
      </c>
      <c r="AL56" s="74">
        <f t="shared" si="10"/>
        <v>1</v>
      </c>
      <c r="AM56" s="74" t="s">
        <v>545</v>
      </c>
      <c r="AN56" s="74">
        <f t="shared" si="11"/>
        <v>1</v>
      </c>
      <c r="AO56" s="74" t="s">
        <v>545</v>
      </c>
      <c r="AP56" s="74">
        <f t="shared" si="12"/>
        <v>1</v>
      </c>
      <c r="AQ56" s="75">
        <f t="shared" si="45"/>
        <v>0.30000000000000004</v>
      </c>
      <c r="AR56" s="74" t="s">
        <v>545</v>
      </c>
      <c r="AS56" s="74">
        <f t="shared" si="14"/>
        <v>1</v>
      </c>
      <c r="AT56" s="74" t="s">
        <v>545</v>
      </c>
      <c r="AU56" s="74">
        <f t="shared" si="15"/>
        <v>1</v>
      </c>
      <c r="AV56" s="74">
        <f t="shared" si="46"/>
        <v>0.2</v>
      </c>
      <c r="AW56" s="76" t="s">
        <v>545</v>
      </c>
      <c r="AX56" s="195">
        <f t="shared" si="47"/>
        <v>0.4</v>
      </c>
      <c r="AY56" s="76" t="s">
        <v>545</v>
      </c>
      <c r="AZ56" s="76">
        <f t="shared" si="48"/>
        <v>1</v>
      </c>
      <c r="BA56" s="76" t="s">
        <v>545</v>
      </c>
      <c r="BB56" s="74">
        <f t="shared" si="18"/>
        <v>1</v>
      </c>
      <c r="BC56" s="76" t="s">
        <v>545</v>
      </c>
      <c r="BD56" s="74">
        <f t="shared" si="49"/>
        <v>1</v>
      </c>
      <c r="BE56" s="76">
        <f t="shared" si="50"/>
        <v>0.30000000000000004</v>
      </c>
      <c r="BF56" s="76"/>
      <c r="BG56" s="76"/>
      <c r="BH56" s="77">
        <f t="shared" si="38"/>
        <v>0</v>
      </c>
      <c r="BI56" s="77">
        <f t="shared" si="39"/>
        <v>0</v>
      </c>
      <c r="BJ56" s="77">
        <f t="shared" si="40"/>
        <v>0</v>
      </c>
      <c r="BK56" s="77">
        <f t="shared" si="41"/>
        <v>0</v>
      </c>
      <c r="BL56" s="78">
        <f t="shared" si="51"/>
        <v>1.2000000000000002</v>
      </c>
      <c r="BM56" s="76" t="s">
        <v>181</v>
      </c>
      <c r="BN56" s="197" cm="1">
        <f t="array" ref="BN56">_xlfn.IFS(BM56="Y", 3, BM56="N", 2)</f>
        <v>3</v>
      </c>
      <c r="BO56" s="76" t="s">
        <v>181</v>
      </c>
      <c r="BP56" s="197" cm="1">
        <f t="array" ref="BP56">_xlfn.IFS(BO56="Y", 3, BO56="N", 2)</f>
        <v>3</v>
      </c>
      <c r="BQ56" s="79">
        <f>SUMPRODUCT($BM$6:$BP$6, BM56:BP56)</f>
        <v>3</v>
      </c>
      <c r="BR56" s="44">
        <v>14200</v>
      </c>
      <c r="BS56" s="44">
        <f t="shared" si="23"/>
        <v>14200000</v>
      </c>
      <c r="BT56" s="44">
        <f t="shared" si="24"/>
        <v>22187.5</v>
      </c>
      <c r="BU56" s="80">
        <v>54158</v>
      </c>
      <c r="BV56" s="81">
        <f t="shared" si="25"/>
        <v>40.968093356475499</v>
      </c>
      <c r="BW56" s="82" cm="1">
        <f t="array" ref="BW56">_xlfn.IFS(BV56&gt;44, 3, BV56&lt;26, 1, 44&gt;BV56&gt;26, 2)</f>
        <v>2</v>
      </c>
      <c r="BX56" s="82">
        <v>17584468</v>
      </c>
      <c r="BY56" s="82" cm="1">
        <f t="array" ref="BY56">_xlfn.IFS(BX56&gt;12000000, 3, BX56&lt;4000000, 1, 4000000&gt;BX56&gt;12000000, 2)</f>
        <v>3</v>
      </c>
      <c r="BZ56" s="80">
        <v>6.1528103380817862</v>
      </c>
      <c r="CA56" s="82" cm="1">
        <f t="array" ref="CA56">_xlfn.IFS(BZ56&gt;$BZ$60, 1, BZ56&lt;$BZ$59, 3, BZ56&gt;$BZ$59, 2, BZ56=$BZ$59, 2)</f>
        <v>2</v>
      </c>
      <c r="CB56" s="413">
        <f t="shared" si="52"/>
        <v>2.25</v>
      </c>
      <c r="CC56" s="44">
        <v>4133938</v>
      </c>
      <c r="CD56" s="44" cm="1">
        <f t="array" ref="CD56">_xlfn.IFS(CC56&gt;4200000, 3, CC56&lt;1700000, 1, 4200000&gt;CC56&gt;1700000, 2)</f>
        <v>2</v>
      </c>
      <c r="CE56" s="44">
        <v>889717.21999999974</v>
      </c>
      <c r="CF56" s="44" cm="1">
        <f t="array" ref="CF56">_xlfn.IFS(CE56&lt;120000, 1, CE56&gt;620000, 3, 620000&gt;CE56&gt;120000, 2)</f>
        <v>3</v>
      </c>
      <c r="CG56" s="44">
        <v>4884446.3000000007</v>
      </c>
      <c r="CH56" s="44" cm="1">
        <f t="array" ref="CH56">_xlfn.IFS(CG56&lt;300000, 1, CG56&gt;1700000, 3, 300000&gt;CG56&gt;170000, 2)</f>
        <v>3</v>
      </c>
      <c r="CI56" s="44">
        <v>43.207126950000003</v>
      </c>
      <c r="CJ56" s="61" cm="1">
        <f t="array" ref="CJ56">_xlfn.IFS(CI56&lt;$CI$60, 1, CI56&gt;$CI$61, 3, CI56&lt;$CI$61, 2)</f>
        <v>2</v>
      </c>
      <c r="CK56" s="205">
        <f t="shared" si="27"/>
        <v>2.5499999999999998</v>
      </c>
      <c r="CL56" s="44">
        <v>4058293</v>
      </c>
      <c r="CM56" s="48" cm="1">
        <f t="array" ref="CM56">_xlfn.IFS(CL56&gt;4600000, 3, CL56&lt;430000, 1, 4600000&gt;CL56&gt;430000, 2)</f>
        <v>2</v>
      </c>
      <c r="CN56" s="72">
        <f t="shared" si="53"/>
        <v>2</v>
      </c>
      <c r="CO56" s="39">
        <v>0</v>
      </c>
      <c r="CP56" s="65" cm="1">
        <f t="array" ref="CP56">_xlfn.IFS(CO56=0, 1, CO56="active", 3, CO56="permitted", 2)</f>
        <v>1</v>
      </c>
      <c r="CQ56" s="39">
        <v>0</v>
      </c>
      <c r="CR56" s="39" cm="1">
        <f t="array" ref="CR56">_xlfn.IFS(CQ56=0, 1, CQ56&lt;&gt;0, 3)</f>
        <v>1</v>
      </c>
      <c r="CS56" s="72">
        <v>1</v>
      </c>
      <c r="CT56" s="44" t="s">
        <v>545</v>
      </c>
      <c r="CU56" s="82">
        <v>0</v>
      </c>
      <c r="CV56" s="84">
        <v>65496</v>
      </c>
      <c r="CW56" s="39" t="s">
        <v>542</v>
      </c>
      <c r="CX56" s="207" cm="1">
        <f t="array" ref="CX56">_xlfn.IFS(CT56="N", 0, CW56&lt;$CW$61, 2, CW56 = $CW$61, 2, CW56&gt;$CW$61, 3)</f>
        <v>0</v>
      </c>
      <c r="CY56" s="207" t="s">
        <v>542</v>
      </c>
      <c r="CZ56" s="207" t="str" cm="1">
        <f t="array" ref="CZ56">_xlfn.IFS(CY56="NA", "NA", CY56=0, 1, CY56=1, 2, CY56&gt;1, 3)</f>
        <v>NA</v>
      </c>
      <c r="DA56" s="201">
        <f t="shared" si="28"/>
        <v>0</v>
      </c>
      <c r="DB56" s="86">
        <v>513</v>
      </c>
      <c r="DC56" s="61" cm="1">
        <f t="array" ref="DC56">_xlfn.IFS(DB56&gt;$DB$61, 3, DB56=0, 1, DB56&lt;$DB$61, 2, DB56=$DB$61, 2)</f>
        <v>3</v>
      </c>
      <c r="DD56" s="87">
        <v>1909</v>
      </c>
      <c r="DE56" s="44" cm="1">
        <f t="array" ref="DE56">_xlfn.IFS(DD56&gt;$DD$62, 3, DD56&lt;$DD$60, 1, DD56&gt;$DD$60, 2, DD56=$DD$60, 2)</f>
        <v>1</v>
      </c>
      <c r="DF56" s="44">
        <v>0</v>
      </c>
      <c r="DG56" s="61" cm="1">
        <f t="array" ref="DG56">_xlfn.IFS(DF56=0, 1, DF56&lt;$DF$61, 2, DF56&gt;$DF$61, 3)</f>
        <v>1</v>
      </c>
      <c r="DH56" s="415">
        <f t="shared" si="29"/>
        <v>1.666666666666665</v>
      </c>
      <c r="DI56" s="82">
        <v>518330184</v>
      </c>
      <c r="DJ56" s="82">
        <f t="shared" si="30"/>
        <v>59170.112328767122</v>
      </c>
      <c r="DK56" s="88">
        <v>3739.3999999999996</v>
      </c>
      <c r="DL56" s="89">
        <f t="shared" si="31"/>
        <v>6.3197446359789841E-2</v>
      </c>
      <c r="DM56" s="88" cm="1">
        <f t="array" ref="DM56">_xlfn.IFS(DL56&gt;$DL$60,3,(AND(DL56&lt;$DL$60,DL56&gt;$DL$59)),2,DL56&lt;$DL$59,1)</f>
        <v>1</v>
      </c>
      <c r="DN56" s="88">
        <v>5632</v>
      </c>
      <c r="DO56" s="90">
        <f t="shared" si="32"/>
        <v>1.0865660873803175E-2</v>
      </c>
      <c r="DP56" s="88" cm="1">
        <f t="array" ref="DP56">_xlfn.IFS(DO56&gt;DO$60,3,(AND(DO56&lt;DO$60,DO56&gt;DO$59)),2,DO56&lt;DO$59,1)</f>
        <v>1</v>
      </c>
      <c r="DQ56" s="91">
        <v>16819</v>
      </c>
      <c r="DR56" s="92">
        <f t="shared" si="33"/>
        <v>0.20734657461855799</v>
      </c>
      <c r="DS56" s="88" cm="1">
        <f t="array" ref="DS56">_xlfn.IFS(DR56&gt;DR$60,3,(AND(DR56&lt;DR$60,DR56&gt;DR$59)),2,DR56&lt;DR$59,1)</f>
        <v>1</v>
      </c>
      <c r="DT56" s="91" t="s">
        <v>575</v>
      </c>
      <c r="DU56" s="213" cm="1">
        <f t="array" ref="DU56">_xlfn.IFS(DT56="no data","",DT56="40-45", 1, DT56= "45-50", 1, DT56="50-55", 1, DT56 ="30-35", 2, DT56="25-30", 2, DT56="35-40", 2, DT56="20-25", 3, DT56="15-20", 3)</f>
        <v>1</v>
      </c>
      <c r="DV56" s="88">
        <v>4799526611.13272</v>
      </c>
      <c r="DW56" s="88" cm="1">
        <f t="array" ref="DW56">_xlfn.IFS(DV56&gt;DV$60,3,(AND(DV56&lt;DV$60,DV56&gt;DV$59)),2,DV56&lt;DV$59,1)</f>
        <v>2</v>
      </c>
      <c r="DX56" s="93">
        <v>5</v>
      </c>
      <c r="DY56" s="88" cm="1">
        <f t="array" ref="DY56">_xlfn.IFS(DX56&gt;6.99,1,AND(DX56 &gt; 3, DX56 &lt; 7),2,DX56&lt;3.99,3)</f>
        <v>2</v>
      </c>
      <c r="DZ56" s="94">
        <f t="shared" si="54"/>
        <v>1.2</v>
      </c>
      <c r="EA56" s="95">
        <v>252900</v>
      </c>
      <c r="EB56" s="82">
        <v>416600</v>
      </c>
      <c r="EC56" s="82">
        <v>3482</v>
      </c>
      <c r="ED56" s="82">
        <v>0</v>
      </c>
      <c r="EE56" s="82">
        <v>0</v>
      </c>
      <c r="EF56" s="82">
        <f t="shared" si="34"/>
        <v>0</v>
      </c>
      <c r="EG56" s="204" cm="1">
        <f t="array" ref="EG56">_xlfn.IFS(EF56=0, 1, EF56&gt;2, 3, 0&gt;EF56&gt;3,2)</f>
        <v>1</v>
      </c>
      <c r="EH56" s="82">
        <v>0</v>
      </c>
      <c r="EI56" s="82">
        <v>0</v>
      </c>
      <c r="EJ56" s="82">
        <f t="shared" si="35"/>
        <v>0</v>
      </c>
      <c r="EK56" s="82" cm="1">
        <f t="array" ref="EK56">_xlfn.IFS(EH56+EI56=0, 1, EH56+EI56&gt;5, 3, EH56+EI56=5, 2, 0&gt;EH56+EI56&gt;5, 2)</f>
        <v>1</v>
      </c>
      <c r="EL56" s="82">
        <v>1</v>
      </c>
      <c r="EM56" s="82">
        <v>0</v>
      </c>
      <c r="EN56" s="82" cm="1">
        <f t="array" ref="EN56">_xlfn.IFS(EL56+EM56=0, 1, EL56+EM56&gt;10, 3, EL56+EM56 = 10, 2, 0&gt;EL56+EM56&gt;10, 2)</f>
        <v>2</v>
      </c>
      <c r="EO56" s="96">
        <f t="shared" si="55"/>
        <v>1.3333333333333333</v>
      </c>
      <c r="EP56" s="44">
        <v>0</v>
      </c>
      <c r="EQ56" s="61" cm="1">
        <f t="array" ref="EQ56">_xlfn.IFS(EP56=0, 1, EP56&gt;$EP$60, 3, EP56&lt;$EP$60, 2)</f>
        <v>1</v>
      </c>
      <c r="ER56" s="100">
        <v>0</v>
      </c>
      <c r="ES56" s="100" cm="1">
        <f t="array" ref="ES56">_xlfn.IFS(ER56=0, 1, ER56&gt;$ER$59, 3, ER56&lt;$ER$59, 2)</f>
        <v>1</v>
      </c>
      <c r="ET56" s="44">
        <v>0</v>
      </c>
      <c r="EU56" s="44" cm="1">
        <f t="array" ref="EU56">_xlfn.IFS(ET56=0, 1, ET56=1, 2, ET56&gt;1, 3)</f>
        <v>1</v>
      </c>
      <c r="EV56" s="413">
        <f t="shared" si="56"/>
        <v>1</v>
      </c>
      <c r="EW56" s="82">
        <v>0</v>
      </c>
      <c r="EX56" s="210" cm="1">
        <f t="array" ref="EX56">_xlfn.IFS(EW56&gt;EX$60,3,(AND(EW56&lt;EX$60,EW56&gt;EX$59)),2,EW56&lt;EX$59,1)</f>
        <v>1</v>
      </c>
      <c r="EY56" s="253">
        <v>1272960258.5503128</v>
      </c>
      <c r="EZ56" s="210" cm="1">
        <f t="array" ref="EZ56">_xlfn.IFS(EY56&gt;EZ$60,3,(AND(EY56&lt;EZ$60,EY56&gt;EZ$59)),2,EY56&lt;EZ$59,1)</f>
        <v>3</v>
      </c>
      <c r="FA56" s="253">
        <v>4383620372725</v>
      </c>
      <c r="FB56" s="210" cm="1">
        <f t="array" ref="FB56">_xlfn.IFS(FA56&gt;FB$60,3,(AND(FA56&lt;FB$60,FA56&gt;FB$59)),2,FA56&lt;FB$59,1)</f>
        <v>3</v>
      </c>
      <c r="FC56" s="416">
        <f t="shared" si="57"/>
        <v>2</v>
      </c>
      <c r="FD56" s="81">
        <v>1.75</v>
      </c>
      <c r="FE56" s="81" cm="1">
        <f t="array" ref="FE56">_xlfn.IFS(FD56&gt;$FD$60, 3, FD56&lt;$FD$59, 1, FD56&gt;$FD$59, 2)</f>
        <v>2</v>
      </c>
      <c r="FF56" s="44">
        <v>1</v>
      </c>
      <c r="FG56" s="61" cm="1">
        <f t="array" ref="FG56">_xlfn.IFS(FF56&lt;$FF$59, 1, FF56&gt;$FF$60, 3, FF56 = $FF$60, 3, FF56&lt;$FF$60, 2)</f>
        <v>2</v>
      </c>
      <c r="FH56" s="97">
        <f t="shared" si="58"/>
        <v>2</v>
      </c>
      <c r="FI56" s="102">
        <v>1</v>
      </c>
      <c r="FJ56" s="44">
        <v>0</v>
      </c>
      <c r="FK56" s="98">
        <f t="shared" si="59"/>
        <v>1</v>
      </c>
      <c r="FL56" s="98" cm="1">
        <f t="array" ref="FL56">_xlfn.IFS(FK56&gt;$FK$60, 3, FK56&lt;$FK$59, 1, FK56&gt;$FK$59, 2, FK56=$FK$59, 2)</f>
        <v>1</v>
      </c>
      <c r="FM56" s="99">
        <f t="shared" si="60"/>
        <v>1</v>
      </c>
    </row>
    <row r="57" spans="1:169" ht="20.100000000000001" customHeight="1">
      <c r="A57" s="38" t="s">
        <v>157</v>
      </c>
      <c r="B57" s="44" t="s">
        <v>541</v>
      </c>
      <c r="C57" s="44">
        <v>1</v>
      </c>
      <c r="D57" s="44" t="s">
        <v>542</v>
      </c>
      <c r="E57" s="44">
        <v>1</v>
      </c>
      <c r="F57" s="61" t="s">
        <v>543</v>
      </c>
      <c r="G57" s="61" cm="1">
        <f t="array" ref="G57">_xlfn.IFS(F57= "Yes", 3, F57 &lt;&gt; "Yes", 1)</f>
        <v>1</v>
      </c>
      <c r="H57" s="44" t="s">
        <v>543</v>
      </c>
      <c r="I57" s="44">
        <v>1</v>
      </c>
      <c r="J57" s="44" t="s">
        <v>543</v>
      </c>
      <c r="K57" s="44">
        <v>1</v>
      </c>
      <c r="L57" s="193">
        <f t="shared" si="37"/>
        <v>0.99999999999999989</v>
      </c>
      <c r="M57" s="44" t="s">
        <v>543</v>
      </c>
      <c r="N57" s="44"/>
      <c r="O57" s="44" t="s">
        <v>543</v>
      </c>
      <c r="P57" s="44">
        <v>1</v>
      </c>
      <c r="Q57" s="44" t="s">
        <v>543</v>
      </c>
      <c r="R57" s="44">
        <v>1</v>
      </c>
      <c r="S57" s="48" t="s">
        <v>543</v>
      </c>
      <c r="T57" s="44">
        <v>1</v>
      </c>
      <c r="U57" s="44" t="s">
        <v>543</v>
      </c>
      <c r="V57" s="44">
        <v>1</v>
      </c>
      <c r="W57" s="44" t="s">
        <v>543</v>
      </c>
      <c r="X57" s="44">
        <v>1</v>
      </c>
      <c r="Y57" s="39" t="s">
        <v>543</v>
      </c>
      <c r="Z57" s="44">
        <v>1</v>
      </c>
      <c r="AA57" s="72">
        <f t="shared" si="43"/>
        <v>0.79999999999999993</v>
      </c>
      <c r="AB57" s="106" t="s">
        <v>629</v>
      </c>
      <c r="AC57" s="44" t="s">
        <v>545</v>
      </c>
      <c r="AD57" s="44">
        <v>2</v>
      </c>
      <c r="AE57" s="44" t="s">
        <v>543</v>
      </c>
      <c r="AF57" s="44" cm="1">
        <f t="array" ref="AF57">_xlfn.IFS(AE57="NA", 1, AE57="No", 1, AE57="Yes, implicit", 2, AE57="Yes, explicit", 3)</f>
        <v>1</v>
      </c>
      <c r="AG57" s="44" t="s">
        <v>543</v>
      </c>
      <c r="AH57" s="44" t="s">
        <v>543</v>
      </c>
      <c r="AI57" s="44">
        <v>1</v>
      </c>
      <c r="AJ57" s="73">
        <f t="shared" si="44"/>
        <v>1.5999999999999999</v>
      </c>
      <c r="AK57" s="76" t="s">
        <v>562</v>
      </c>
      <c r="AL57" s="74">
        <f t="shared" si="10"/>
        <v>3</v>
      </c>
      <c r="AM57" s="76" t="s">
        <v>181</v>
      </c>
      <c r="AN57" s="74">
        <f t="shared" si="11"/>
        <v>3</v>
      </c>
      <c r="AO57" s="76" t="s">
        <v>181</v>
      </c>
      <c r="AP57" s="74">
        <f t="shared" si="12"/>
        <v>3</v>
      </c>
      <c r="AQ57" s="75">
        <f t="shared" si="45"/>
        <v>0.90000000000000013</v>
      </c>
      <c r="AR57" s="76" t="s">
        <v>181</v>
      </c>
      <c r="AS57" s="74">
        <f t="shared" si="14"/>
        <v>3</v>
      </c>
      <c r="AT57" s="76" t="s">
        <v>181</v>
      </c>
      <c r="AU57" s="74">
        <f t="shared" si="15"/>
        <v>3</v>
      </c>
      <c r="AV57" s="74">
        <f t="shared" si="46"/>
        <v>0.60000000000000009</v>
      </c>
      <c r="AW57" s="76" t="s">
        <v>181</v>
      </c>
      <c r="AX57" s="195">
        <f t="shared" si="47"/>
        <v>0.60000000000000009</v>
      </c>
      <c r="AY57" s="76" t="s">
        <v>545</v>
      </c>
      <c r="AZ57" s="76">
        <f t="shared" si="48"/>
        <v>1</v>
      </c>
      <c r="BA57" s="76" t="s">
        <v>545</v>
      </c>
      <c r="BB57" s="74">
        <f t="shared" si="18"/>
        <v>1</v>
      </c>
      <c r="BC57" s="76" t="s">
        <v>181</v>
      </c>
      <c r="BD57" s="74">
        <f t="shared" si="49"/>
        <v>3</v>
      </c>
      <c r="BE57" s="76">
        <f t="shared" si="50"/>
        <v>0.5</v>
      </c>
      <c r="BF57" s="76"/>
      <c r="BG57" s="76"/>
      <c r="BH57" s="77">
        <f t="shared" si="38"/>
        <v>0</v>
      </c>
      <c r="BI57" s="77">
        <f t="shared" si="39"/>
        <v>0</v>
      </c>
      <c r="BJ57" s="77">
        <f t="shared" si="40"/>
        <v>0</v>
      </c>
      <c r="BK57" s="77">
        <f t="shared" si="41"/>
        <v>0</v>
      </c>
      <c r="BL57" s="78">
        <f t="shared" si="51"/>
        <v>2.6000000000000005</v>
      </c>
      <c r="BM57" s="76" t="s">
        <v>181</v>
      </c>
      <c r="BN57" s="197" cm="1">
        <f t="array" ref="BN57">_xlfn.IFS(BM57="Y", 3, BM57="N", 2)</f>
        <v>3</v>
      </c>
      <c r="BO57" s="76" t="s">
        <v>181</v>
      </c>
      <c r="BP57" s="197" cm="1">
        <f t="array" ref="BP57">_xlfn.IFS(BO57="Y", 3, BO57="N", 2)</f>
        <v>3</v>
      </c>
      <c r="BQ57" s="79">
        <f>SUMPRODUCT($BM$6:$BP$6, BM57:BP57)</f>
        <v>3</v>
      </c>
      <c r="BR57" s="44">
        <v>29000</v>
      </c>
      <c r="BS57" s="44">
        <f t="shared" si="23"/>
        <v>29000000</v>
      </c>
      <c r="BT57" s="44">
        <f t="shared" si="24"/>
        <v>45312.5</v>
      </c>
      <c r="BU57" s="80">
        <v>97093</v>
      </c>
      <c r="BV57" s="81">
        <f t="shared" si="25"/>
        <v>46.669172854891698</v>
      </c>
      <c r="BW57" s="82" cm="1">
        <f t="array" ref="BW57">_xlfn.IFS(BV57&gt;44, 3, BV57&lt;26, 1, 44&gt;BV57&gt;26, 2)</f>
        <v>3</v>
      </c>
      <c r="BX57" s="82">
        <v>2020829</v>
      </c>
      <c r="BY57" s="82" cm="1">
        <f t="array" ref="BY57">_xlfn.IFS(BX57&gt;12000000, 3, BX57&lt;4000000, 1, 4000000&gt;BX57&gt;12000000, 2)</f>
        <v>1</v>
      </c>
      <c r="BZ57" s="80">
        <v>7.7784579556037121</v>
      </c>
      <c r="CA57" s="82" cm="1">
        <f t="array" ref="CA57">_xlfn.IFS(BZ57&gt;$BZ$60, 1, BZ57&lt;$BZ$59, 3, BZ57&gt;$BZ$59, 2, BZ57=$BZ$59, 2)</f>
        <v>1</v>
      </c>
      <c r="CB57" s="413">
        <f t="shared" si="52"/>
        <v>1.8000000000000003</v>
      </c>
      <c r="CC57" s="44">
        <v>381871</v>
      </c>
      <c r="CD57" s="44" cm="1">
        <f t="array" ref="CD57">_xlfn.IFS(CC57&gt;4200000, 3, CC57&lt;1700000, 1, 4200000&gt;CC57&gt;1700000, 2)</f>
        <v>1</v>
      </c>
      <c r="CE57" s="44">
        <v>72803.400000000009</v>
      </c>
      <c r="CF57" s="44" cm="1">
        <f t="array" ref="CF57">_xlfn.IFS(CE57&lt;120000, 1, CE57&gt;620000, 3, 620000&gt;CE57&gt;120000, 2)</f>
        <v>1</v>
      </c>
      <c r="CG57" s="44">
        <v>33587</v>
      </c>
      <c r="CH57" s="44" cm="1">
        <f t="array" ref="CH57">_xlfn.IFS(CG57&lt;300000, 1, CG57&gt;1700000, 3, 300000&gt;CG57&gt;170000, 2)</f>
        <v>1</v>
      </c>
      <c r="CI57" s="44">
        <v>76.963300090000004</v>
      </c>
      <c r="CJ57" s="61" cm="1">
        <f t="array" ref="CJ57">_xlfn.IFS(CI57&lt;$CI$60, 1, CI57&gt;$CI$61, 3, CI57&lt;$CI$61, 2)</f>
        <v>3</v>
      </c>
      <c r="CK57" s="205">
        <f t="shared" si="27"/>
        <v>1.5</v>
      </c>
      <c r="CL57" s="44">
        <v>132914</v>
      </c>
      <c r="CM57" s="48" cm="1">
        <f t="array" ref="CM57">_xlfn.IFS(CL57&gt;4600000, 3, CL57&lt;430000, 1, 4600000&gt;CL57&gt;430000, 2)</f>
        <v>1</v>
      </c>
      <c r="CN57" s="72">
        <f t="shared" si="53"/>
        <v>1</v>
      </c>
      <c r="CO57" s="39">
        <v>0</v>
      </c>
      <c r="CP57" s="65" cm="1">
        <f t="array" ref="CP57">_xlfn.IFS(CO57=0, 1, CO57="active", 3, CO57="permitted", 2)</f>
        <v>1</v>
      </c>
      <c r="CQ57" s="39">
        <v>0</v>
      </c>
      <c r="CR57" s="39" cm="1">
        <f t="array" ref="CR57">_xlfn.IFS(CQ57=0, 1, CQ57&lt;&gt;0, 3)</f>
        <v>1</v>
      </c>
      <c r="CS57" s="72">
        <v>1</v>
      </c>
      <c r="CT57" s="44" t="s">
        <v>545</v>
      </c>
      <c r="CU57" s="82">
        <v>0</v>
      </c>
      <c r="CV57" s="82">
        <v>97813</v>
      </c>
      <c r="CW57" s="39" t="s">
        <v>542</v>
      </c>
      <c r="CX57" s="207" cm="1">
        <f t="array" ref="CX57">_xlfn.IFS(CT57="N", 0, CW57&lt;$CW$61, 2, CW57 = $CW$61, 2, CW57&gt;$CW$61, 3)</f>
        <v>0</v>
      </c>
      <c r="CY57" s="207" t="s">
        <v>542</v>
      </c>
      <c r="CZ57" s="207" t="str" cm="1">
        <f t="array" ref="CZ57">_xlfn.IFS(CY57="NA", "NA", CY57=0, 1, CY57=1, 2, CY57&gt;1, 3)</f>
        <v>NA</v>
      </c>
      <c r="DA57" s="201">
        <f t="shared" si="28"/>
        <v>0</v>
      </c>
      <c r="DB57" s="86">
        <v>0</v>
      </c>
      <c r="DC57" s="61" cm="1">
        <f t="array" ref="DC57">_xlfn.IFS(DB57&gt;$DB$61, 3, DB57=0, 1, DB57&lt;$DB$61, 2, DB57=$DB$61, 2)</f>
        <v>1</v>
      </c>
      <c r="DD57" s="87">
        <v>3002</v>
      </c>
      <c r="DE57" s="44" cm="1">
        <f t="array" ref="DE57">_xlfn.IFS(DD57&gt;$DD$62, 3, DD57&lt;$DD$60, 1, DD57&gt;$DD$60, 2, DD57=$DD$60, 2)</f>
        <v>2</v>
      </c>
      <c r="DF57" s="44">
        <v>1372</v>
      </c>
      <c r="DG57" s="61" cm="1">
        <f t="array" ref="DG57">_xlfn.IFS(DF57=0, 1, DF57&lt;$DF$61, 2, DF57&gt;$DF$61, 3)</f>
        <v>3</v>
      </c>
      <c r="DH57" s="415">
        <f t="shared" si="29"/>
        <v>1.9999999999999978</v>
      </c>
      <c r="DI57" s="82">
        <v>145410728</v>
      </c>
      <c r="DJ57" s="82">
        <f t="shared" si="30"/>
        <v>16599.398173515983</v>
      </c>
      <c r="DK57" s="88">
        <v>3541.7000000000003</v>
      </c>
      <c r="DL57" s="89">
        <f t="shared" si="31"/>
        <v>0.21336315708425585</v>
      </c>
      <c r="DM57" s="88" cm="1">
        <f t="array" ref="DM57">_xlfn.IFS(DL57&gt;$DL$60,3,(AND(DL57&lt;$DL$60,DL57&gt;$DL$59)),2,DL57&lt;$DL$59,1)</f>
        <v>3</v>
      </c>
      <c r="DN57" s="88">
        <v>9691</v>
      </c>
      <c r="DO57" s="90">
        <f t="shared" si="32"/>
        <v>6.6645701684403924E-2</v>
      </c>
      <c r="DP57" s="88" cm="1">
        <f t="array" ref="DP57">_xlfn.IFS(DO57&gt;DO$60,3,(AND(DO57&lt;DO$60,DO57&gt;DO$59)),2,DO57&lt;DO$59,1)</f>
        <v>3</v>
      </c>
      <c r="DQ57" s="91">
        <v>24655.599999999999</v>
      </c>
      <c r="DR57" s="92">
        <f t="shared" si="33"/>
        <v>0.47012493522892013</v>
      </c>
      <c r="DS57" s="88" cm="1">
        <f t="array" ref="DS57">_xlfn.IFS(DR57&gt;DR$60,3,(AND(DR57&lt;DR$60,DR57&gt;DR$59)),2,DR57&lt;DR$59,1)</f>
        <v>3</v>
      </c>
      <c r="DT57" s="91" t="s">
        <v>547</v>
      </c>
      <c r="DU57" s="213" cm="1">
        <f t="array" ref="DU57">_xlfn.IFS(DT57="no data","",DT57="40-45", 1, DT57= "45-50", 1, DT57="50-55", 1, DT57 ="30-35", 2, DT57="25-30", 2, DT57="35-40", 2, DT57="20-25", 3, DT57="15-20", 3)</f>
        <v>2</v>
      </c>
      <c r="DV57" s="88">
        <v>13088855370.319767</v>
      </c>
      <c r="DW57" s="88" cm="1">
        <f t="array" ref="DW57">_xlfn.IFS(DV57&gt;DV$60,3,(AND(DV57&lt;DV$60,DV57&gt;DV$59)),2,DV57&lt;DV$59,1)</f>
        <v>3</v>
      </c>
      <c r="DX57" s="93">
        <v>6</v>
      </c>
      <c r="DY57" s="88" cm="1">
        <f t="array" ref="DY57">_xlfn.IFS(DX57&gt;6.99,1,AND(DX57 &gt; 3, DX57 &lt; 7),2,DX57&lt;3.99,3)</f>
        <v>2</v>
      </c>
      <c r="DZ57" s="94">
        <f t="shared" si="54"/>
        <v>2.8</v>
      </c>
      <c r="EA57" s="95">
        <v>2020000</v>
      </c>
      <c r="EB57" s="82">
        <v>99800</v>
      </c>
      <c r="EC57" s="82">
        <v>1860</v>
      </c>
      <c r="ED57" s="82">
        <v>0</v>
      </c>
      <c r="EE57" s="82">
        <v>0</v>
      </c>
      <c r="EF57" s="82">
        <f t="shared" si="34"/>
        <v>0</v>
      </c>
      <c r="EG57" s="204" cm="1">
        <f t="array" ref="EG57">_xlfn.IFS(EF57=0, 1, EF57&gt;2, 3, 0&gt;EF57&gt;3,2)</f>
        <v>1</v>
      </c>
      <c r="EH57" s="82">
        <v>0</v>
      </c>
      <c r="EI57" s="82">
        <v>0</v>
      </c>
      <c r="EJ57" s="82">
        <f t="shared" si="35"/>
        <v>0</v>
      </c>
      <c r="EK57" s="82" cm="1">
        <f t="array" ref="EK57">_xlfn.IFS(EH57+EI57=0, 1, EH57+EI57&gt;5, 3, EH57+EI57=5, 2, 0&gt;EH57+EI57&gt;5, 2)</f>
        <v>1</v>
      </c>
      <c r="EL57" s="82">
        <v>1</v>
      </c>
      <c r="EM57" s="82">
        <v>2</v>
      </c>
      <c r="EN57" s="82" cm="1">
        <f t="array" ref="EN57">_xlfn.IFS(EL57+EM57=0, 1, EL57+EM57&gt;10, 3, EL57+EM57 = 10, 2, 0&gt;EL57+EM57&gt;10, 2)</f>
        <v>2</v>
      </c>
      <c r="EO57" s="96">
        <f t="shared" si="55"/>
        <v>1.3333333333333333</v>
      </c>
      <c r="EP57" s="44">
        <v>4.5</v>
      </c>
      <c r="EQ57" s="61" cm="1">
        <f t="array" ref="EQ57">_xlfn.IFS(EP57=0, 1, EP57&gt;$EP$60, 3, EP57&lt;$EP$60, 2)</f>
        <v>3</v>
      </c>
      <c r="ER57" s="100">
        <v>660.1</v>
      </c>
      <c r="ES57" s="100" cm="1">
        <f t="array" ref="ES57">_xlfn.IFS(ER57=0, 1, ER57&gt;$ER$59, 3, ER57&lt;$ER$59, 2)</f>
        <v>3</v>
      </c>
      <c r="ET57" s="44">
        <v>0</v>
      </c>
      <c r="EU57" s="44" cm="1">
        <f t="array" ref="EU57">_xlfn.IFS(ET57=0, 1, ET57=1, 2, ET57&gt;1, 3)</f>
        <v>1</v>
      </c>
      <c r="EV57" s="413">
        <f t="shared" si="56"/>
        <v>2.2000000000000002</v>
      </c>
      <c r="EW57" s="82">
        <v>578.15</v>
      </c>
      <c r="EX57" s="210" cm="1">
        <f t="array" ref="EX57">_xlfn.IFS(EW57&gt;EX$60,3,(AND(EW57&lt;EX$60,EW57&gt;EX$59)),2,EW57&lt;EX$59,1)</f>
        <v>3</v>
      </c>
      <c r="EY57" s="253">
        <v>1019746510.3963124</v>
      </c>
      <c r="EZ57" s="210" cm="1">
        <f t="array" ref="EZ57">_xlfn.IFS(EY57&gt;EZ$60,3,(AND(EY57&lt;EZ$60,EY57&gt;EZ$59)),2,EY57&lt;EZ$59,1)</f>
        <v>2</v>
      </c>
      <c r="FA57" s="253">
        <v>1097406940500</v>
      </c>
      <c r="FB57" s="210" cm="1">
        <f t="array" ref="FB57">_xlfn.IFS(FA57&gt;FB$60,3,(AND(FA57&lt;FB$60,FA57&gt;FB$59)),2,FA57&lt;FB$59,1)</f>
        <v>2</v>
      </c>
      <c r="FC57" s="416">
        <f t="shared" si="57"/>
        <v>2.5</v>
      </c>
      <c r="FD57" s="81">
        <v>2.5299999999999998</v>
      </c>
      <c r="FE57" s="81" cm="1">
        <f t="array" ref="FE57">_xlfn.IFS(FD57&gt;$FD$60, 3, FD57&lt;$FD$59, 1, FD57&gt;$FD$59, 2)</f>
        <v>3</v>
      </c>
      <c r="FF57" s="44">
        <v>1</v>
      </c>
      <c r="FG57" s="61" cm="1">
        <f t="array" ref="FG57">_xlfn.IFS(FF57&lt;$FF$59, 1, FF57&gt;$FF$60, 3, FF57 = $FF$60, 3, FF57&lt;$FF$60, 2)</f>
        <v>2</v>
      </c>
      <c r="FH57" s="97">
        <f t="shared" si="58"/>
        <v>2.5999999999999996</v>
      </c>
      <c r="FI57" s="102">
        <v>1</v>
      </c>
      <c r="FJ57" s="44">
        <v>0</v>
      </c>
      <c r="FK57" s="98">
        <f t="shared" si="59"/>
        <v>1</v>
      </c>
      <c r="FL57" s="98" cm="1">
        <f t="array" ref="FL57">_xlfn.IFS(FK57&gt;$FK$60, 3, FK57&lt;$FK$59, 1, FK57&gt;$FK$59, 2, FK57=$FK$59, 2)</f>
        <v>1</v>
      </c>
      <c r="FM57" s="99">
        <f t="shared" si="60"/>
        <v>1</v>
      </c>
    </row>
    <row r="58" spans="1:169" ht="20.100000000000001" customHeight="1"/>
    <row r="59" spans="1:169" ht="20.100000000000001" customHeight="1">
      <c r="A59" s="548" t="s">
        <v>630</v>
      </c>
      <c r="B59" s="55"/>
      <c r="C59" s="55"/>
      <c r="D59" s="55"/>
      <c r="E59" s="55"/>
      <c r="F59" s="55"/>
      <c r="G59" s="55"/>
      <c r="H59" s="55"/>
      <c r="I59" s="55"/>
      <c r="J59" s="55"/>
      <c r="K59" s="55"/>
      <c r="L59" s="55"/>
      <c r="M59" s="55"/>
      <c r="N59" s="55"/>
      <c r="O59" s="55"/>
      <c r="P59" s="55"/>
      <c r="Q59" s="55"/>
      <c r="R59" s="55"/>
      <c r="S59" s="180"/>
      <c r="T59" s="55"/>
      <c r="U59" s="55"/>
      <c r="V59" s="55"/>
      <c r="W59" s="55"/>
      <c r="X59" s="55"/>
      <c r="Y59" s="55"/>
      <c r="Z59" s="55"/>
      <c r="AA59" s="55"/>
      <c r="AB59" s="55"/>
      <c r="AC59" s="55"/>
      <c r="AD59" s="55"/>
      <c r="AE59" s="55"/>
      <c r="AF59" s="55"/>
      <c r="AG59" s="55"/>
      <c r="AH59" s="55"/>
      <c r="AI59" s="55"/>
      <c r="AJ59" s="181"/>
      <c r="AK59" s="55"/>
      <c r="AL59" s="55"/>
      <c r="AM59" s="55"/>
      <c r="AN59" s="55"/>
      <c r="AO59" s="55"/>
      <c r="AP59" s="55"/>
      <c r="AQ59" s="55"/>
      <c r="AR59" s="55"/>
      <c r="AS59" s="55"/>
      <c r="AT59" s="55"/>
      <c r="AU59" s="55"/>
      <c r="AV59" s="55"/>
      <c r="AW59" s="55"/>
      <c r="AX59" s="55"/>
      <c r="AY59" s="55"/>
      <c r="AZ59" s="55"/>
      <c r="BA59" s="55"/>
      <c r="BB59" s="55"/>
      <c r="BC59" s="55"/>
      <c r="BD59" s="55"/>
      <c r="BE59" s="55"/>
      <c r="BF59" s="55"/>
      <c r="BG59" s="55"/>
      <c r="BH59" s="55"/>
      <c r="BI59" s="55"/>
      <c r="BJ59" s="55"/>
      <c r="BK59" s="55"/>
      <c r="BL59" s="55"/>
      <c r="BM59" s="55"/>
      <c r="BN59" s="55"/>
      <c r="BO59" s="55"/>
      <c r="BP59" s="55"/>
      <c r="BQ59" s="55"/>
      <c r="BR59" s="55"/>
      <c r="BS59" s="55"/>
      <c r="BT59" s="55"/>
      <c r="BU59" s="55"/>
      <c r="BV59" s="55"/>
      <c r="BW59" s="55"/>
      <c r="BX59" s="55"/>
      <c r="BY59" s="55"/>
      <c r="BZ59" s="182">
        <f>PERCENTILE(BZ8:BZ57, 1/2)</f>
        <v>6.1241017109609475</v>
      </c>
      <c r="CA59" s="55"/>
      <c r="CB59" s="55"/>
      <c r="CC59" s="55"/>
      <c r="CD59" s="55"/>
      <c r="CE59" s="55"/>
      <c r="CF59" s="55"/>
      <c r="CG59" s="55"/>
      <c r="CH59" s="55"/>
      <c r="CI59" s="55"/>
      <c r="CJ59" s="55"/>
      <c r="CK59" s="55"/>
      <c r="CL59" s="55"/>
      <c r="CM59" s="180"/>
      <c r="CN59" s="55"/>
      <c r="CO59" s="55"/>
      <c r="CP59" s="55"/>
      <c r="CQ59" s="55"/>
      <c r="CR59" s="55"/>
      <c r="CS59" s="55"/>
      <c r="CT59" s="55"/>
      <c r="CU59" s="55"/>
      <c r="CV59" s="55"/>
      <c r="CW59" s="55"/>
      <c r="CX59" s="180"/>
      <c r="CY59" s="180"/>
      <c r="CZ59" s="180"/>
      <c r="DA59" s="55"/>
      <c r="DB59" s="55"/>
      <c r="DC59" s="55"/>
      <c r="DD59" s="55"/>
      <c r="DE59" s="55"/>
      <c r="DF59" s="55"/>
      <c r="DG59" s="55"/>
      <c r="DH59" s="181"/>
      <c r="DI59" s="55"/>
      <c r="DJ59" s="56"/>
      <c r="DK59" s="183" t="s">
        <v>631</v>
      </c>
      <c r="DL59" s="184">
        <f>PERCENTILE($DL$8:$DL$57, 0.33)</f>
        <v>0.11578407277131587</v>
      </c>
      <c r="DM59" s="185"/>
      <c r="DN59" s="183" t="s">
        <v>631</v>
      </c>
      <c r="DO59" s="184">
        <f>PERCENTILE(DO$8:DO$57, 0.33)</f>
        <v>1.5373071053333423E-2</v>
      </c>
      <c r="DP59" s="184"/>
      <c r="DQ59" s="183" t="s">
        <v>631</v>
      </c>
      <c r="DR59" s="184">
        <f>PERCENTILE(DR$8:DR$57, 0.33)</f>
        <v>0.21258163917685066</v>
      </c>
      <c r="DS59" s="185"/>
      <c r="DT59" s="186"/>
      <c r="DU59" s="183"/>
      <c r="DV59" s="185">
        <f>PERCENTILE(DV$8:DV$57, 0.33)</f>
        <v>3637000927.2491827</v>
      </c>
      <c r="DW59" s="183"/>
      <c r="DX59" s="185"/>
      <c r="DY59" s="187"/>
      <c r="DZ59" s="55"/>
      <c r="EA59" s="55"/>
      <c r="EB59" s="55"/>
      <c r="EC59" s="55"/>
      <c r="ED59" s="55"/>
      <c r="EE59" s="55"/>
      <c r="EF59" s="55">
        <f>PERCENTILE(EF8:EF57, 1/3)</f>
        <v>0</v>
      </c>
      <c r="EG59" s="55"/>
      <c r="EH59" s="55"/>
      <c r="EI59" s="55"/>
      <c r="EJ59" s="55">
        <f>PERCENTILE(EJ8:EJ57, 1/3)</f>
        <v>0</v>
      </c>
      <c r="EK59" s="55"/>
      <c r="EL59" s="55"/>
      <c r="EM59" s="55"/>
      <c r="EN59" s="55"/>
      <c r="EO59" s="55"/>
      <c r="EP59" s="55">
        <f>PERCENTILE(EP8:EP57, 1/3)</f>
        <v>0</v>
      </c>
      <c r="EQ59" s="55"/>
      <c r="ER59" s="55">
        <f>AVERAGE(ER8:ER57)</f>
        <v>106.49600000000002</v>
      </c>
      <c r="ES59" s="55"/>
      <c r="ET59" s="55"/>
      <c r="EU59" s="55"/>
      <c r="EV59" s="181"/>
      <c r="EW59" s="183" t="s">
        <v>631</v>
      </c>
      <c r="EX59" s="254">
        <f>PERCENTILE($EW$8:$EW$57,0.33)</f>
        <v>1.343700000000001</v>
      </c>
      <c r="EY59" s="183" t="s">
        <v>631</v>
      </c>
      <c r="EZ59" s="254">
        <f>0.00000001</f>
        <v>1E-8</v>
      </c>
      <c r="FA59" s="183" t="s">
        <v>631</v>
      </c>
      <c r="FB59" s="254">
        <f>PERCENTILE($FA$8:$FA$57,0.33)</f>
        <v>59688461.347199991</v>
      </c>
      <c r="FC59" s="181"/>
      <c r="FD59" s="55">
        <f>PERCENTILE(FD8:FD57, 1/3)</f>
        <v>0.73999999999999977</v>
      </c>
      <c r="FE59" s="55"/>
      <c r="FF59" s="182">
        <f>PERCENTILE(FF8:FF57, 1/3)</f>
        <v>1</v>
      </c>
      <c r="FG59" s="182"/>
      <c r="FH59" s="181"/>
      <c r="FI59" s="55"/>
      <c r="FJ59" s="55"/>
      <c r="FK59" s="55">
        <f>PERCENTILE(FK8:FK57, 1/3)</f>
        <v>3</v>
      </c>
      <c r="FL59" s="55"/>
      <c r="FM59" s="181"/>
    </row>
    <row r="60" spans="1:169" ht="20.100000000000001" customHeight="1">
      <c r="A60" s="548"/>
      <c r="B60" s="55"/>
      <c r="C60" s="55"/>
      <c r="D60" s="55"/>
      <c r="E60" s="55"/>
      <c r="F60" s="55"/>
      <c r="G60" s="55"/>
      <c r="H60" s="55"/>
      <c r="I60" s="55"/>
      <c r="J60" s="55"/>
      <c r="K60" s="55"/>
      <c r="L60" s="55"/>
      <c r="M60" s="55"/>
      <c r="N60" s="55"/>
      <c r="O60" s="55"/>
      <c r="P60" s="55"/>
      <c r="Q60" s="55"/>
      <c r="R60" s="55"/>
      <c r="S60" s="55"/>
      <c r="T60" s="55"/>
      <c r="U60" s="55"/>
      <c r="V60" s="55"/>
      <c r="W60" s="55"/>
      <c r="X60" s="55"/>
      <c r="Y60" s="55"/>
      <c r="Z60" s="55"/>
      <c r="AA60" s="55"/>
      <c r="AB60" s="55"/>
      <c r="AC60" s="55"/>
      <c r="AD60" s="55"/>
      <c r="AE60" s="55"/>
      <c r="AF60" s="55"/>
      <c r="AG60" s="55"/>
      <c r="AH60" s="55"/>
      <c r="AI60" s="55"/>
      <c r="AJ60" s="181"/>
      <c r="AK60" s="55"/>
      <c r="AL60" s="55"/>
      <c r="AM60" s="55"/>
      <c r="AN60" s="55"/>
      <c r="AO60" s="55"/>
      <c r="AP60" s="55"/>
      <c r="AQ60" s="55"/>
      <c r="AR60" s="55"/>
      <c r="AS60" s="55"/>
      <c r="AT60" s="55"/>
      <c r="AU60" s="55"/>
      <c r="AV60" s="55"/>
      <c r="AW60" s="55"/>
      <c r="AX60" s="55"/>
      <c r="AY60" s="55"/>
      <c r="AZ60" s="55"/>
      <c r="BA60" s="55"/>
      <c r="BB60" s="55"/>
      <c r="BC60" s="55"/>
      <c r="BD60" s="55"/>
      <c r="BE60" s="55"/>
      <c r="BF60" s="55"/>
      <c r="BG60" s="55"/>
      <c r="BH60" s="55"/>
      <c r="BI60" s="55"/>
      <c r="BJ60" s="55"/>
      <c r="BK60" s="55"/>
      <c r="BL60" s="55"/>
      <c r="BM60" s="55"/>
      <c r="BN60" s="55"/>
      <c r="BO60" s="55"/>
      <c r="BP60" s="55"/>
      <c r="BQ60" s="55"/>
      <c r="BR60" s="55"/>
      <c r="BS60" s="55"/>
      <c r="BT60" s="55"/>
      <c r="BU60" s="55"/>
      <c r="BV60" s="55"/>
      <c r="BW60" s="55"/>
      <c r="BX60" s="55"/>
      <c r="BY60" s="55"/>
      <c r="BZ60" s="182">
        <v>7</v>
      </c>
      <c r="CA60" s="55"/>
      <c r="CB60" s="55"/>
      <c r="CC60" s="55"/>
      <c r="CD60" s="55"/>
      <c r="CE60" s="55"/>
      <c r="CF60" s="55"/>
      <c r="CG60" s="55"/>
      <c r="CH60" s="55"/>
      <c r="CI60" s="55">
        <f>PERCENTILE(CI8:CI57, 1/3)</f>
        <v>42.563729996666666</v>
      </c>
      <c r="CJ60" s="55"/>
      <c r="CK60" s="55"/>
      <c r="CL60" s="55"/>
      <c r="CM60" s="180"/>
      <c r="CN60" s="55"/>
      <c r="CO60" s="55"/>
      <c r="CP60" s="55"/>
      <c r="CQ60" s="55"/>
      <c r="CR60" s="55"/>
      <c r="CS60" s="55"/>
      <c r="CT60" s="55"/>
      <c r="CU60" s="55"/>
      <c r="CV60" s="55"/>
      <c r="CW60" s="55">
        <f>PERCENTILE(CW8:CW57, 1/3)</f>
        <v>2.7095505354367829E-2</v>
      </c>
      <c r="CX60" s="180"/>
      <c r="CY60" s="180">
        <f>PERCENTILE(CY8:CY57, 1/3)</f>
        <v>1</v>
      </c>
      <c r="CZ60" s="180"/>
      <c r="DA60" s="55"/>
      <c r="DB60" s="55">
        <f>PERCENTILE(DB8:DB57, 1/3)</f>
        <v>0</v>
      </c>
      <c r="DC60" s="55"/>
      <c r="DD60" s="55">
        <f>PERCENTILE($DD$8:$DD$57, 1/3)</f>
        <v>2777.333333333333</v>
      </c>
      <c r="DE60" s="55"/>
      <c r="DF60" s="55">
        <f>PERCENTILE(DF8:DF57, 1/3)</f>
        <v>0</v>
      </c>
      <c r="DG60" s="55"/>
      <c r="DH60" s="181"/>
      <c r="DI60" s="55"/>
      <c r="DJ60" s="56"/>
      <c r="DK60" s="183" t="s">
        <v>632</v>
      </c>
      <c r="DL60" s="184">
        <f>PERCENTILE($DL$8:$DL$57, 0.67)</f>
        <v>0.20731594837302181</v>
      </c>
      <c r="DM60" s="185"/>
      <c r="DN60" s="183" t="s">
        <v>632</v>
      </c>
      <c r="DO60" s="184">
        <f>PERCENTILE($DO$8:$DO$57, 0.67)</f>
        <v>4.7102912283245334E-2</v>
      </c>
      <c r="DP60" s="184"/>
      <c r="DQ60" s="183" t="s">
        <v>632</v>
      </c>
      <c r="DR60" s="184">
        <f>PERCENTILE(DR$8:DR$57, 0.67)</f>
        <v>0.34075077145437749</v>
      </c>
      <c r="DS60" s="185"/>
      <c r="DT60" s="186"/>
      <c r="DU60" s="183"/>
      <c r="DV60" s="185">
        <f>PERCENTILE(DV$8:DV$57, 0.67)</f>
        <v>7694854139.3118525</v>
      </c>
      <c r="DW60" s="183"/>
      <c r="DX60" s="185"/>
      <c r="DY60" s="187"/>
      <c r="DZ60" s="55"/>
      <c r="EA60" s="55"/>
      <c r="EB60" s="55"/>
      <c r="EC60" s="55"/>
      <c r="ED60" s="55"/>
      <c r="EE60" s="55"/>
      <c r="EF60" s="55">
        <f>PERCENTILE(EF8:EF57, 2/3)</f>
        <v>0</v>
      </c>
      <c r="EG60" s="55"/>
      <c r="EH60" s="55"/>
      <c r="EI60" s="55"/>
      <c r="EJ60" s="55">
        <f>PERCENTILE(EJ8:EJ57, 2/3)</f>
        <v>0</v>
      </c>
      <c r="EK60" s="55"/>
      <c r="EL60" s="55"/>
      <c r="EM60" s="55"/>
      <c r="EN60" s="55"/>
      <c r="EO60" s="55"/>
      <c r="EP60" s="55">
        <f>PERCENTILE(EP8:EP57, 2/3)</f>
        <v>1.8333333333333321</v>
      </c>
      <c r="EQ60" s="55"/>
      <c r="ER60" s="55"/>
      <c r="ES60" s="55"/>
      <c r="ET60" s="55"/>
      <c r="EU60" s="55"/>
      <c r="EV60" s="181"/>
      <c r="EW60" s="183" t="s">
        <v>632</v>
      </c>
      <c r="EX60" s="254">
        <f>PERCENTILE($EW$8:$EW$57,0.67)</f>
        <v>64.750500000000059</v>
      </c>
      <c r="EY60" s="183" t="s">
        <v>632</v>
      </c>
      <c r="EZ60" s="254">
        <f>PERCENTILE($EY$8:$EY$57,0.67)</f>
        <v>1229913921.3641341</v>
      </c>
      <c r="FA60" s="183" t="s">
        <v>632</v>
      </c>
      <c r="FB60" s="254">
        <f>PERCENTILE($FA$8:$FA$57,0.67)</f>
        <v>2659213565292.001</v>
      </c>
      <c r="FC60" s="181"/>
      <c r="FD60" s="182">
        <f>PERCENTILE(FD8:FD57, 2/3)</f>
        <v>1.9233333333333331</v>
      </c>
      <c r="FE60" s="182"/>
      <c r="FF60" s="182">
        <f>PERCENTILE(FF8:FF57, 2/3)</f>
        <v>2</v>
      </c>
      <c r="FG60" s="182"/>
      <c r="FH60" s="181"/>
      <c r="FI60" s="55"/>
      <c r="FJ60" s="55"/>
      <c r="FK60" s="182">
        <f>PERCENTILE(FK8:FK57, 2/3)</f>
        <v>6.6666666666666643</v>
      </c>
      <c r="FL60" s="182"/>
      <c r="FM60" s="181"/>
    </row>
    <row r="61" spans="1:169" ht="20.100000000000001" customHeight="1">
      <c r="A61" s="548"/>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181"/>
      <c r="AK61" s="55"/>
      <c r="AL61" s="55"/>
      <c r="AM61" s="55"/>
      <c r="AN61" s="55"/>
      <c r="AO61" s="55"/>
      <c r="AP61" s="55"/>
      <c r="AQ61" s="55"/>
      <c r="AR61" s="55"/>
      <c r="AS61" s="55"/>
      <c r="AT61" s="55"/>
      <c r="AU61" s="55"/>
      <c r="AV61" s="55"/>
      <c r="AW61" s="55"/>
      <c r="AX61" s="55"/>
      <c r="AY61" s="55"/>
      <c r="AZ61" s="55"/>
      <c r="BA61" s="55"/>
      <c r="BB61" s="55"/>
      <c r="BC61" s="55"/>
      <c r="BD61" s="55"/>
      <c r="BE61" s="55"/>
      <c r="BF61" s="55"/>
      <c r="BG61" s="55"/>
      <c r="BH61" s="55"/>
      <c r="BI61" s="55"/>
      <c r="BJ61" s="55"/>
      <c r="BK61" s="55"/>
      <c r="BL61" s="55"/>
      <c r="BM61" s="55"/>
      <c r="BN61" s="55"/>
      <c r="BO61" s="55"/>
      <c r="BP61" s="55"/>
      <c r="BQ61" s="55"/>
      <c r="BR61" s="55"/>
      <c r="BS61" s="55"/>
      <c r="BT61" s="55"/>
      <c r="BU61" s="55"/>
      <c r="BV61" s="55"/>
      <c r="BW61" s="55"/>
      <c r="BX61" s="55"/>
      <c r="BY61" s="55"/>
      <c r="BZ61" s="55"/>
      <c r="CA61" s="55"/>
      <c r="CB61" s="55"/>
      <c r="CC61" s="55"/>
      <c r="CD61" s="55"/>
      <c r="CE61" s="55"/>
      <c r="CF61" s="55"/>
      <c r="CG61" s="55"/>
      <c r="CH61" s="55"/>
      <c r="CI61" s="55">
        <f>PERCENTILE(CI8:CI57, 2/3)</f>
        <v>59.569533576666664</v>
      </c>
      <c r="CJ61" s="55"/>
      <c r="CK61" s="55"/>
      <c r="CL61" s="55"/>
      <c r="CM61" s="180"/>
      <c r="CN61" s="55"/>
      <c r="CO61" s="55"/>
      <c r="CP61" s="55"/>
      <c r="CQ61" s="55"/>
      <c r="CR61" s="55"/>
      <c r="CS61" s="55"/>
      <c r="CT61" s="55"/>
      <c r="CU61" s="55"/>
      <c r="CV61" s="55"/>
      <c r="CW61" s="55">
        <f>PERCENTILE(CW8:CW57, 1/2)</f>
        <v>4.6826417299824667E-2</v>
      </c>
      <c r="CX61" s="180"/>
      <c r="CY61" s="180">
        <f>PERCENTILE(CY8:CY57, 2/3)</f>
        <v>1</v>
      </c>
      <c r="CZ61" s="180"/>
      <c r="DA61" s="55"/>
      <c r="DB61" s="55">
        <f>PERCENTILE(DB8:DB57, 1/2)</f>
        <v>89.5</v>
      </c>
      <c r="DC61" s="55"/>
      <c r="DD61" s="55">
        <f>PERCENTILE($DD$8:$DD$57, 1/2)</f>
        <v>6272</v>
      </c>
      <c r="DE61" s="55"/>
      <c r="DF61" s="55">
        <f>PERCENTILE(DF8:DF57, 2/3)</f>
        <v>497.66666666666663</v>
      </c>
      <c r="DG61" s="55"/>
      <c r="DH61" s="181"/>
      <c r="DI61" s="55"/>
      <c r="DJ61" s="56"/>
      <c r="DK61" s="55"/>
      <c r="DL61" s="55"/>
      <c r="DM61" s="187"/>
      <c r="DN61" s="55"/>
      <c r="DO61" s="188"/>
      <c r="DP61" s="55"/>
      <c r="DQ61" s="55"/>
      <c r="DR61" s="189"/>
      <c r="DS61" s="187"/>
      <c r="DT61" s="190"/>
      <c r="DU61" s="190"/>
      <c r="DV61" s="55"/>
      <c r="DW61" s="55"/>
      <c r="DX61" s="55"/>
      <c r="DY61" s="55"/>
      <c r="DZ61" s="55"/>
      <c r="EA61" s="55"/>
      <c r="EB61" s="55"/>
      <c r="EC61" s="55"/>
      <c r="ED61" s="55"/>
      <c r="EE61" s="55"/>
      <c r="EF61" s="55"/>
      <c r="EG61" s="55"/>
      <c r="EH61" s="55"/>
      <c r="EI61" s="55"/>
      <c r="EJ61" s="55"/>
      <c r="EK61" s="55"/>
      <c r="EL61" s="55"/>
      <c r="EM61" s="55"/>
      <c r="EN61" s="55"/>
      <c r="EO61" s="55"/>
      <c r="EP61" s="55"/>
      <c r="EQ61" s="55"/>
      <c r="ER61" s="55"/>
      <c r="ES61" s="55"/>
      <c r="ET61" s="55"/>
      <c r="EU61" s="55"/>
      <c r="EV61" s="181"/>
      <c r="EW61" s="181"/>
      <c r="EX61" s="181"/>
      <c r="EY61" s="181"/>
      <c r="EZ61" s="181"/>
      <c r="FA61" s="181"/>
      <c r="FB61" s="181"/>
      <c r="FC61" s="181"/>
      <c r="FD61" s="55"/>
      <c r="FE61" s="55"/>
      <c r="FF61" s="55"/>
      <c r="FG61" s="55"/>
      <c r="FH61" s="181"/>
      <c r="FI61" s="55"/>
      <c r="FJ61" s="55"/>
      <c r="FK61" s="55"/>
      <c r="FL61" s="55"/>
      <c r="FM61" s="181"/>
    </row>
    <row r="62" spans="1:169" ht="20.100000000000001" customHeight="1">
      <c r="A62" s="548"/>
      <c r="B62" s="55"/>
      <c r="C62" s="55"/>
      <c r="D62" s="55"/>
      <c r="E62" s="55"/>
      <c r="F62" s="55"/>
      <c r="G62" s="55"/>
      <c r="H62" s="55"/>
      <c r="I62" s="55"/>
      <c r="J62" s="55"/>
      <c r="K62" s="55"/>
      <c r="L62" s="55"/>
      <c r="M62" s="55"/>
      <c r="N62" s="55"/>
      <c r="O62" s="55"/>
      <c r="P62" s="55"/>
      <c r="Q62" s="55"/>
      <c r="R62" s="55"/>
      <c r="S62" s="55"/>
      <c r="T62" s="55"/>
      <c r="U62" s="55"/>
      <c r="V62" s="55"/>
      <c r="W62" s="55"/>
      <c r="X62" s="55"/>
      <c r="Y62" s="55"/>
      <c r="Z62" s="55"/>
      <c r="AA62" s="55"/>
      <c r="AB62" s="55"/>
      <c r="AC62" s="55"/>
      <c r="AD62" s="55"/>
      <c r="AE62" s="55"/>
      <c r="AF62" s="55"/>
      <c r="AG62" s="55"/>
      <c r="AH62" s="55"/>
      <c r="AI62" s="55"/>
      <c r="AJ62" s="181"/>
      <c r="AK62" s="55"/>
      <c r="AL62" s="55"/>
      <c r="AM62" s="55"/>
      <c r="AN62" s="55"/>
      <c r="AO62" s="55"/>
      <c r="AP62" s="55"/>
      <c r="AQ62" s="55"/>
      <c r="AR62" s="55"/>
      <c r="AS62" s="55"/>
      <c r="AT62" s="55"/>
      <c r="AU62" s="55"/>
      <c r="AV62" s="55"/>
      <c r="AW62" s="55"/>
      <c r="AX62" s="55"/>
      <c r="AY62" s="55"/>
      <c r="AZ62" s="55"/>
      <c r="BA62" s="55"/>
      <c r="BB62" s="55"/>
      <c r="BC62" s="55"/>
      <c r="BD62" s="55"/>
      <c r="BE62" s="55"/>
      <c r="BF62" s="55"/>
      <c r="BG62" s="55"/>
      <c r="BH62" s="55"/>
      <c r="BI62" s="55"/>
      <c r="BJ62" s="55"/>
      <c r="BK62" s="55"/>
      <c r="BL62" s="55"/>
      <c r="BM62" s="55"/>
      <c r="BN62" s="55"/>
      <c r="BO62" s="55"/>
      <c r="BP62" s="55"/>
      <c r="BQ62" s="55"/>
      <c r="BR62" s="55"/>
      <c r="BS62" s="55"/>
      <c r="BT62" s="55"/>
      <c r="BU62" s="55"/>
      <c r="BV62" s="55"/>
      <c r="BW62" s="55"/>
      <c r="BX62" s="55"/>
      <c r="BY62" s="55"/>
      <c r="BZ62" s="55"/>
      <c r="CA62" s="55"/>
      <c r="CB62" s="55"/>
      <c r="CC62" s="55"/>
      <c r="CD62" s="55"/>
      <c r="CE62" s="55"/>
      <c r="CF62" s="55"/>
      <c r="CG62" s="55"/>
      <c r="CH62" s="55"/>
      <c r="CI62" s="55"/>
      <c r="CJ62" s="55"/>
      <c r="CK62" s="55"/>
      <c r="CL62" s="55"/>
      <c r="CM62" s="180"/>
      <c r="CN62" s="55"/>
      <c r="CO62" s="55"/>
      <c r="CP62" s="55"/>
      <c r="CQ62" s="55"/>
      <c r="CR62" s="55"/>
      <c r="CS62" s="55"/>
      <c r="CT62" s="55"/>
      <c r="CU62" s="55"/>
      <c r="CV62" s="55"/>
      <c r="CW62" s="55">
        <f>PERCENTILE(CW8:CW57, 2/3)</f>
        <v>0.10317777422647544</v>
      </c>
      <c r="CX62" s="180"/>
      <c r="CY62" s="180"/>
      <c r="CZ62" s="180"/>
      <c r="DA62" s="55"/>
      <c r="DB62" s="55">
        <f>PERCENTILE(DB8:DB57, 2/3)</f>
        <v>1000.9999999999998</v>
      </c>
      <c r="DC62" s="55"/>
      <c r="DD62" s="55">
        <f>PERCENTILE($DD$8:$DD$57, 2/3)</f>
        <v>13059.999999999998</v>
      </c>
      <c r="DE62" s="55"/>
      <c r="DF62" s="55"/>
      <c r="DG62" s="55"/>
      <c r="DH62" s="181"/>
      <c r="DI62" s="55"/>
      <c r="DJ62" s="56"/>
      <c r="DK62" s="55"/>
      <c r="DL62" s="191"/>
      <c r="DM62" s="187"/>
      <c r="DN62" s="55"/>
      <c r="DO62" s="188"/>
      <c r="DP62" s="55"/>
      <c r="DQ62" s="55"/>
      <c r="DR62" s="189"/>
      <c r="DS62" s="187"/>
      <c r="DT62" s="55"/>
      <c r="DU62" s="190"/>
      <c r="DV62" s="55"/>
      <c r="DW62" s="55"/>
      <c r="DX62" s="55"/>
      <c r="DY62" s="55"/>
      <c r="DZ62" s="55"/>
      <c r="EA62" s="55"/>
      <c r="EB62" s="55"/>
      <c r="EC62" s="55"/>
      <c r="ED62" s="55"/>
      <c r="EE62" s="55"/>
      <c r="EF62" s="55"/>
      <c r="EG62" s="55"/>
      <c r="EH62" s="55"/>
      <c r="EI62" s="55"/>
      <c r="EJ62" s="55"/>
      <c r="EK62" s="55"/>
      <c r="EL62" s="55"/>
      <c r="EM62" s="55"/>
      <c r="EN62" s="55"/>
      <c r="EO62" s="55"/>
      <c r="EP62" s="55"/>
      <c r="EQ62" s="55"/>
      <c r="ER62" s="55"/>
      <c r="ES62" s="55"/>
      <c r="ET62" s="55"/>
      <c r="EU62" s="55"/>
      <c r="EV62" s="181"/>
      <c r="EW62" s="181"/>
      <c r="EX62" s="181"/>
      <c r="EY62" s="181"/>
      <c r="EZ62" s="181"/>
      <c r="FA62" s="181"/>
      <c r="FB62" s="181"/>
      <c r="FC62" s="181"/>
      <c r="FD62" s="55"/>
      <c r="FE62" s="55"/>
      <c r="FF62" s="55"/>
      <c r="FG62" s="55"/>
      <c r="FH62" s="181"/>
      <c r="FI62" s="55"/>
      <c r="FJ62" s="55"/>
      <c r="FK62" s="55"/>
      <c r="FL62" s="55"/>
      <c r="FM62" s="181"/>
    </row>
    <row r="63" spans="1:169" ht="20.100000000000001" customHeight="1"/>
    <row r="64" spans="1:169" ht="20.100000000000001" customHeight="1"/>
  </sheetData>
  <mergeCells count="47">
    <mergeCell ref="M4:AA4"/>
    <mergeCell ref="B4:L4"/>
    <mergeCell ref="AW6:AX6"/>
    <mergeCell ref="B5:E5"/>
    <mergeCell ref="H5:K5"/>
    <mergeCell ref="AR5:AV5"/>
    <mergeCell ref="AW5:AX5"/>
    <mergeCell ref="AB5:AD5"/>
    <mergeCell ref="AE5:AH5"/>
    <mergeCell ref="AB4:AJ4"/>
    <mergeCell ref="AK5:AQ5"/>
    <mergeCell ref="M5:P5"/>
    <mergeCell ref="AK4:BL4"/>
    <mergeCell ref="DF5:DG5"/>
    <mergeCell ref="A59:A62"/>
    <mergeCell ref="BH5:BK5"/>
    <mergeCell ref="Q5:Z5"/>
    <mergeCell ref="BX5:BY5"/>
    <mergeCell ref="BR5:BW5"/>
    <mergeCell ref="AY5:BG5"/>
    <mergeCell ref="DI4:DZ4"/>
    <mergeCell ref="BR4:CB4"/>
    <mergeCell ref="BM4:BQ4"/>
    <mergeCell ref="BM5:BP5"/>
    <mergeCell ref="EH5:EK5"/>
    <mergeCell ref="CT5:CW5"/>
    <mergeCell ref="DB4:DH4"/>
    <mergeCell ref="DB5:DC5"/>
    <mergeCell ref="DD5:DE5"/>
    <mergeCell ref="DI5:DY5"/>
    <mergeCell ref="CT4:DA4"/>
    <mergeCell ref="CC5:CG5"/>
    <mergeCell ref="CC4:CS4"/>
    <mergeCell ref="CO5:CQ5"/>
    <mergeCell ref="CL5:CM5"/>
    <mergeCell ref="BZ5:CA5"/>
    <mergeCell ref="EW5:EX5"/>
    <mergeCell ref="EY5:FB5"/>
    <mergeCell ref="FI4:FM4"/>
    <mergeCell ref="ED4:EO4"/>
    <mergeCell ref="FD4:FH4"/>
    <mergeCell ref="EP5:EU5"/>
    <mergeCell ref="EW4:FC4"/>
    <mergeCell ref="FF5:FG5"/>
    <mergeCell ref="EL5:EN5"/>
    <mergeCell ref="ED5:EG5"/>
    <mergeCell ref="EP4:EV4"/>
  </mergeCells>
  <phoneticPr fontId="4" type="noConversion"/>
  <conditionalFormatting sqref="DJ8:DY57 EX8:EX57 EZ8:EZ57 FB8:FB57">
    <cfRule type="containsBlanks" dxfId="2" priority="4">
      <formula>LEN(TRIM(DJ8))=0</formula>
    </cfRule>
  </conditionalFormatting>
  <hyperlinks>
    <hyperlink ref="AB12" r:id="rId1" xr:uid="{6E287FCD-8694-5849-9DB8-951B020FB691}"/>
    <hyperlink ref="AB14" r:id="rId2" xr:uid="{5B08C7BA-8AD6-C74F-BB90-B643DC965C6C}"/>
    <hyperlink ref="AB16" r:id="rId3" xr:uid="{496E0099-FCE6-4146-8828-CEF364024EB0}"/>
    <hyperlink ref="AB17" r:id="rId4" xr:uid="{A18FDC44-215C-A148-90F8-1E754C2541C9}"/>
    <hyperlink ref="AB18" r:id="rId5" xr:uid="{830A41AB-8A5C-B54E-9AAE-7AC805860410}"/>
    <hyperlink ref="AB19" r:id="rId6" xr:uid="{03A8D553-4114-B24F-8ED6-0A05F41E520C}"/>
    <hyperlink ref="AB20" r:id="rId7" xr:uid="{B5CD97F9-2E3F-A24E-80D6-31E763CE3A9B}"/>
    <hyperlink ref="AB21" r:id="rId8" xr:uid="{DAD78F83-BB9A-CF42-8BF3-0778D38636C5}"/>
    <hyperlink ref="AB28" r:id="rId9" xr:uid="{28EC66F9-F4DA-F74E-AB57-B255A3A9D742}"/>
    <hyperlink ref="AB27" r:id="rId10" xr:uid="{6F7B43F3-BE35-CB4F-818D-54C625D938C3}"/>
    <hyperlink ref="AB30" r:id="rId11" xr:uid="{FA52C2D1-AB66-F94D-9F52-14DC3FD431DF}"/>
    <hyperlink ref="AB33" r:id="rId12" xr:uid="{5336113D-0402-CC40-8930-8C7679C5D59D}"/>
    <hyperlink ref="AB40" r:id="rId13" xr:uid="{6F85481E-FCED-774D-B97F-9CED82794714}"/>
    <hyperlink ref="AB37" r:id="rId14" xr:uid="{C40653E3-7E71-1E4F-AC6A-811895E20605}"/>
    <hyperlink ref="AB39" r:id="rId15" xr:uid="{96BFF254-8B40-B94F-88EA-051477DA891D}"/>
    <hyperlink ref="AB48" r:id="rId16" xr:uid="{0E65B075-D5F4-C94D-BC33-BE35D7399203}"/>
    <hyperlink ref="AB53" r:id="rId17" xr:uid="{927A937F-81A6-7F40-B551-AF5E19078147}"/>
    <hyperlink ref="AB54" r:id="rId18" xr:uid="{36DFF9D7-D1FF-0C40-9CAD-8AD95D9A628A}"/>
    <hyperlink ref="AB56" r:id="rId19" xr:uid="{BADE1E88-EADB-DA48-AFFC-7A8B00D04EBA}"/>
    <hyperlink ref="AB57" r:id="rId20" xr:uid="{0411096D-C7CF-DE4C-A5B0-DC11B3EC9D82}"/>
    <hyperlink ref="AC14" r:id="rId21" xr:uid="{387E3EC7-7A02-7D4F-94B2-56F84B058485}"/>
    <hyperlink ref="AC28" r:id="rId22" xr:uid="{B7E7ADF0-F391-9C41-938C-6BD0F662FCED}"/>
    <hyperlink ref="AC30" r:id="rId23" xr:uid="{D7834239-D6B2-F54F-8F8E-745E6D656D9E}"/>
    <hyperlink ref="AC40" r:id="rId24" xr:uid="{7E417497-047C-BE4A-882F-9A409B54908A}"/>
    <hyperlink ref="AC54" r:id="rId25" xr:uid="{0617637A-A53E-DD49-835C-A65B773591BC}"/>
    <hyperlink ref="BU7" r:id="rId26" display="Land area (sq mi) - Census Bureau " xr:uid="{BF6D92DD-135C-9544-B10A-B93C2C3F0906}"/>
    <hyperlink ref="CV7" r:id="rId27" display="Total area (land and water area) (miles squared) - Census Bureau" xr:uid="{FF000982-10ED-474C-A986-04A689B57D95}"/>
  </hyperlinks>
  <pageMargins left="0.7" right="0.7" top="0.75" bottom="0.75" header="0.3" footer="0.3"/>
  <drawing r:id="rId28"/>
  <legacyDrawing r:id="rId2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2B2D5-A9F5-4AAD-93C3-89A10AADC25C}">
  <sheetPr>
    <tabColor rgb="FF0989B1"/>
  </sheetPr>
  <dimension ref="A1:BI63"/>
  <sheetViews>
    <sheetView showGridLines="0" zoomScale="70" zoomScaleNormal="70" workbookViewId="0">
      <selection activeCell="D1" sqref="D1"/>
    </sheetView>
  </sheetViews>
  <sheetFormatPr defaultColWidth="0" defaultRowHeight="14.45"/>
  <cols>
    <col min="1" max="1" width="19.140625" customWidth="1"/>
    <col min="2" max="2" width="12.140625" customWidth="1"/>
    <col min="3" max="3" width="9.140625" customWidth="1"/>
    <col min="4" max="5" width="12.140625" customWidth="1"/>
    <col min="6" max="38" width="9.140625" customWidth="1"/>
    <col min="39" max="39" width="9.140625" bestFit="1" customWidth="1"/>
    <col min="40" max="53" width="9.140625" customWidth="1"/>
    <col min="54" max="56" width="11" customWidth="1"/>
    <col min="57" max="59" width="9.140625" customWidth="1"/>
    <col min="60" max="61" width="11.42578125" customWidth="1"/>
    <col min="62" max="16384" width="11.42578125" hidden="1"/>
  </cols>
  <sheetData>
    <row r="1" spans="1:60" s="4" customFormat="1" ht="27" customHeight="1">
      <c r="C1" s="2" t="s">
        <v>0</v>
      </c>
      <c r="D1" s="2"/>
    </row>
    <row r="2" spans="1:60" s="5" customFormat="1" ht="27" customHeight="1" thickBot="1">
      <c r="C2" s="3" t="s">
        <v>633</v>
      </c>
      <c r="D2" s="3"/>
    </row>
    <row r="3" spans="1:60" s="6" customFormat="1" ht="15" customHeight="1" thickTop="1">
      <c r="B3" s="7"/>
      <c r="E3" s="8"/>
    </row>
    <row r="4" spans="1:60" s="6" customFormat="1">
      <c r="A4" s="8" t="s">
        <v>634</v>
      </c>
      <c r="B4" s="6" t="s">
        <v>391</v>
      </c>
      <c r="E4" s="8"/>
    </row>
    <row r="5" spans="1:60" s="6" customFormat="1">
      <c r="A5" s="8" t="s">
        <v>635</v>
      </c>
      <c r="B5" s="6" t="s">
        <v>636</v>
      </c>
      <c r="E5" s="8"/>
    </row>
    <row r="6" spans="1:60" s="6" customFormat="1" ht="10.5" customHeight="1">
      <c r="B6" s="7"/>
      <c r="E6" s="8"/>
    </row>
    <row r="7" spans="1:60">
      <c r="A7" s="57"/>
      <c r="B7" s="573" t="s">
        <v>637</v>
      </c>
      <c r="C7" s="573"/>
      <c r="D7" s="573"/>
      <c r="E7" s="573"/>
      <c r="F7" s="573"/>
      <c r="G7" s="573"/>
      <c r="H7" s="573"/>
      <c r="I7" s="573"/>
      <c r="J7" s="572" t="s">
        <v>638</v>
      </c>
      <c r="K7" s="572"/>
      <c r="L7" s="572"/>
      <c r="M7" s="572"/>
      <c r="N7" s="572"/>
      <c r="O7" s="572"/>
      <c r="P7" s="572"/>
      <c r="Q7" s="572"/>
      <c r="R7" s="574" t="s">
        <v>639</v>
      </c>
      <c r="S7" s="574"/>
      <c r="T7" s="574"/>
      <c r="U7" s="574"/>
      <c r="V7" s="574"/>
      <c r="W7" s="574"/>
      <c r="X7" s="573" t="s">
        <v>640</v>
      </c>
      <c r="Y7" s="573"/>
      <c r="Z7" s="573"/>
      <c r="AA7" s="573"/>
      <c r="AB7" s="573"/>
      <c r="AC7" s="573"/>
      <c r="AD7" s="573"/>
      <c r="AE7" s="573"/>
      <c r="AF7" s="572" t="s">
        <v>641</v>
      </c>
      <c r="AG7" s="572"/>
      <c r="AH7" s="572"/>
      <c r="AI7" s="572"/>
      <c r="AJ7" s="572"/>
      <c r="AK7" s="572"/>
      <c r="AL7" s="58" t="s">
        <v>642</v>
      </c>
      <c r="AM7" s="59"/>
      <c r="AN7" s="59"/>
      <c r="AO7" s="60"/>
      <c r="AP7" s="573" t="s">
        <v>643</v>
      </c>
      <c r="AQ7" s="573"/>
      <c r="AR7" s="573"/>
      <c r="AS7" s="573"/>
      <c r="AT7" s="573"/>
      <c r="AU7" s="573"/>
      <c r="AV7" s="573"/>
      <c r="AW7" s="573"/>
      <c r="AX7" s="573"/>
      <c r="AY7" s="573"/>
      <c r="AZ7" s="572" t="s">
        <v>644</v>
      </c>
      <c r="BA7" s="572"/>
      <c r="BB7" s="572"/>
      <c r="BC7" s="572"/>
      <c r="BD7" s="572"/>
      <c r="BE7" s="572"/>
      <c r="BF7" s="572"/>
      <c r="BG7" s="572"/>
      <c r="BH7" s="338"/>
    </row>
    <row r="8" spans="1:60" ht="135">
      <c r="A8" s="71" t="s">
        <v>645</v>
      </c>
      <c r="B8" s="71" t="s">
        <v>646</v>
      </c>
      <c r="C8" s="71" t="s">
        <v>647</v>
      </c>
      <c r="D8" s="71" t="s">
        <v>648</v>
      </c>
      <c r="E8" s="71" t="s">
        <v>649</v>
      </c>
      <c r="F8" s="71" t="s">
        <v>650</v>
      </c>
      <c r="G8" s="71" t="s">
        <v>651</v>
      </c>
      <c r="H8" s="51" t="s">
        <v>540</v>
      </c>
      <c r="I8" s="51" t="s">
        <v>652</v>
      </c>
      <c r="J8" s="71" t="s">
        <v>649</v>
      </c>
      <c r="K8" s="71" t="s">
        <v>648</v>
      </c>
      <c r="L8" s="71" t="s">
        <v>646</v>
      </c>
      <c r="M8" s="71" t="s">
        <v>647</v>
      </c>
      <c r="N8" s="71" t="s">
        <v>650</v>
      </c>
      <c r="O8" s="71" t="s">
        <v>651</v>
      </c>
      <c r="P8" s="52" t="s">
        <v>540</v>
      </c>
      <c r="Q8" s="52" t="s">
        <v>653</v>
      </c>
      <c r="R8" s="71" t="s">
        <v>654</v>
      </c>
      <c r="S8" s="71" t="s">
        <v>655</v>
      </c>
      <c r="T8" s="71" t="s">
        <v>656</v>
      </c>
      <c r="U8" s="71" t="s">
        <v>648</v>
      </c>
      <c r="V8" s="53" t="s">
        <v>540</v>
      </c>
      <c r="W8" s="53" t="s">
        <v>657</v>
      </c>
      <c r="X8" s="71" t="s">
        <v>654</v>
      </c>
      <c r="Y8" s="71" t="s">
        <v>655</v>
      </c>
      <c r="Z8" s="71" t="s">
        <v>648</v>
      </c>
      <c r="AA8" s="71" t="s">
        <v>646</v>
      </c>
      <c r="AB8" s="71" t="s">
        <v>647</v>
      </c>
      <c r="AC8" s="71" t="s">
        <v>651</v>
      </c>
      <c r="AD8" s="51" t="s">
        <v>540</v>
      </c>
      <c r="AE8" s="51" t="s">
        <v>658</v>
      </c>
      <c r="AF8" s="71" t="s">
        <v>659</v>
      </c>
      <c r="AG8" s="71" t="s">
        <v>654</v>
      </c>
      <c r="AH8" s="71" t="s">
        <v>655</v>
      </c>
      <c r="AI8" s="71" t="s">
        <v>648</v>
      </c>
      <c r="AJ8" s="52" t="s">
        <v>540</v>
      </c>
      <c r="AK8" s="52" t="s">
        <v>660</v>
      </c>
      <c r="AL8" s="71" t="s">
        <v>661</v>
      </c>
      <c r="AM8" s="71" t="s">
        <v>656</v>
      </c>
      <c r="AN8" s="53" t="s">
        <v>540</v>
      </c>
      <c r="AO8" s="53" t="s">
        <v>662</v>
      </c>
      <c r="AP8" s="71" t="s">
        <v>647</v>
      </c>
      <c r="AQ8" s="71" t="s">
        <v>648</v>
      </c>
      <c r="AR8" s="71" t="s">
        <v>663</v>
      </c>
      <c r="AS8" s="71" t="s">
        <v>664</v>
      </c>
      <c r="AT8" s="71" t="s">
        <v>665</v>
      </c>
      <c r="AU8" s="71" t="s">
        <v>666</v>
      </c>
      <c r="AV8" s="71" t="s">
        <v>659</v>
      </c>
      <c r="AW8" s="71" t="s">
        <v>667</v>
      </c>
      <c r="AX8" s="51" t="s">
        <v>540</v>
      </c>
      <c r="AY8" s="51" t="s">
        <v>668</v>
      </c>
      <c r="AZ8" s="71" t="s">
        <v>649</v>
      </c>
      <c r="BA8" s="71" t="s">
        <v>651</v>
      </c>
      <c r="BB8" s="71" t="s">
        <v>648</v>
      </c>
      <c r="BC8" s="71" t="s">
        <v>650</v>
      </c>
      <c r="BD8" s="71" t="s">
        <v>646</v>
      </c>
      <c r="BE8" s="71" t="s">
        <v>647</v>
      </c>
      <c r="BF8" s="52" t="s">
        <v>540</v>
      </c>
      <c r="BG8" s="52" t="s">
        <v>669</v>
      </c>
      <c r="BH8" s="71" t="s">
        <v>670</v>
      </c>
    </row>
    <row r="9" spans="1:60" ht="15" thickBot="1">
      <c r="A9" s="70" t="s">
        <v>671</v>
      </c>
      <c r="B9" s="70">
        <v>333</v>
      </c>
      <c r="C9" s="70">
        <v>325</v>
      </c>
      <c r="D9" s="70">
        <v>213</v>
      </c>
      <c r="E9" s="70">
        <v>221</v>
      </c>
      <c r="F9" s="70">
        <v>335</v>
      </c>
      <c r="G9" s="70">
        <v>211</v>
      </c>
      <c r="H9" s="67"/>
      <c r="I9" s="67"/>
      <c r="J9" s="70">
        <v>221</v>
      </c>
      <c r="K9" s="70">
        <v>213</v>
      </c>
      <c r="L9" s="70">
        <v>333</v>
      </c>
      <c r="M9" s="70">
        <v>325</v>
      </c>
      <c r="N9" s="70">
        <v>335</v>
      </c>
      <c r="O9" s="70">
        <v>211</v>
      </c>
      <c r="P9" s="68"/>
      <c r="Q9" s="68"/>
      <c r="R9" s="70">
        <v>212</v>
      </c>
      <c r="S9" s="70">
        <v>327</v>
      </c>
      <c r="T9" s="70">
        <v>483</v>
      </c>
      <c r="U9" s="70">
        <v>213</v>
      </c>
      <c r="V9" s="69"/>
      <c r="W9" s="69"/>
      <c r="X9" s="70">
        <v>212</v>
      </c>
      <c r="Y9" s="70">
        <v>327</v>
      </c>
      <c r="Z9" s="70">
        <v>213</v>
      </c>
      <c r="AA9" s="70">
        <v>333</v>
      </c>
      <c r="AB9" s="70">
        <v>325</v>
      </c>
      <c r="AC9" s="70">
        <v>211</v>
      </c>
      <c r="AD9" s="67"/>
      <c r="AE9" s="67"/>
      <c r="AF9" s="70">
        <v>115</v>
      </c>
      <c r="AG9" s="70">
        <v>212</v>
      </c>
      <c r="AH9" s="70">
        <v>327</v>
      </c>
      <c r="AI9" s="70">
        <v>213</v>
      </c>
      <c r="AJ9" s="68"/>
      <c r="AK9" s="68"/>
      <c r="AL9" s="70">
        <v>1125</v>
      </c>
      <c r="AM9" s="70">
        <v>483</v>
      </c>
      <c r="AN9" s="69"/>
      <c r="AO9" s="69"/>
      <c r="AP9" s="70">
        <v>325</v>
      </c>
      <c r="AQ9" s="70">
        <v>213</v>
      </c>
      <c r="AR9" s="70">
        <v>236</v>
      </c>
      <c r="AS9" s="70">
        <v>321</v>
      </c>
      <c r="AT9" s="70">
        <v>237</v>
      </c>
      <c r="AU9" s="70">
        <v>562212</v>
      </c>
      <c r="AV9" s="70">
        <v>115</v>
      </c>
      <c r="AW9" s="70">
        <v>113</v>
      </c>
      <c r="AX9" s="67"/>
      <c r="AY9" s="67"/>
      <c r="AZ9" s="70">
        <v>221</v>
      </c>
      <c r="BA9" s="70">
        <v>211</v>
      </c>
      <c r="BB9" s="70">
        <v>213</v>
      </c>
      <c r="BC9" s="70">
        <v>335</v>
      </c>
      <c r="BD9" s="70">
        <v>333</v>
      </c>
      <c r="BE9" s="70">
        <v>325</v>
      </c>
      <c r="BF9" s="68"/>
      <c r="BG9" s="68"/>
      <c r="BH9" s="70"/>
    </row>
    <row r="10" spans="1:60">
      <c r="A10" s="65" t="s">
        <v>81</v>
      </c>
      <c r="B10" s="61">
        <v>10547</v>
      </c>
      <c r="C10" s="61">
        <v>11743</v>
      </c>
      <c r="D10" s="61">
        <v>801</v>
      </c>
      <c r="E10" s="61">
        <v>13079</v>
      </c>
      <c r="F10" s="61">
        <v>6757</v>
      </c>
      <c r="G10" s="61">
        <v>386</v>
      </c>
      <c r="H10" s="62">
        <f>SUM(B10:G10)</f>
        <v>43313</v>
      </c>
      <c r="I10" s="62" cm="1">
        <f t="array" ref="I10">_xlfn.IFS(H10&gt;$H$63, 3, H10=$H$63, 3, H10&lt;$H$62, 1, H10&gt;$H$62, 2, H10=$H$62, 2)</f>
        <v>2</v>
      </c>
      <c r="J10" s="61">
        <v>13079</v>
      </c>
      <c r="K10" s="61">
        <v>801</v>
      </c>
      <c r="L10" s="61">
        <v>10547</v>
      </c>
      <c r="M10" s="61">
        <v>11743</v>
      </c>
      <c r="N10" s="61">
        <v>6757</v>
      </c>
      <c r="O10" s="61">
        <v>386</v>
      </c>
      <c r="P10" s="63">
        <f>SUM(J10:O10)</f>
        <v>43313</v>
      </c>
      <c r="Q10" s="63" cm="1">
        <f t="array" ref="Q10">_xlfn.IFS(P10&gt;$P$63, 3, P10=$P$63, 3, P10&lt;$P$62, 1, P10&gt;$P$62, 2, P10=$P$62, 2)</f>
        <v>2</v>
      </c>
      <c r="R10" s="61">
        <v>4539</v>
      </c>
      <c r="S10" s="61">
        <v>8742</v>
      </c>
      <c r="T10" s="61">
        <v>496</v>
      </c>
      <c r="U10" s="61">
        <v>801</v>
      </c>
      <c r="V10" s="64">
        <f t="shared" ref="V10:V40" si="0">SUM(R10:U10)</f>
        <v>14578</v>
      </c>
      <c r="W10" s="64" cm="1">
        <f t="array" ref="W10">_xlfn.IFS(V10&gt;$V$63, 3,V10=$V$63, 3, V10&lt;$V$62, 1, V10&gt;$V$62, 2, V10=$V$62, 2)</f>
        <v>2</v>
      </c>
      <c r="X10" s="61">
        <v>4539</v>
      </c>
      <c r="Y10" s="61">
        <v>8742</v>
      </c>
      <c r="Z10" s="61">
        <v>801</v>
      </c>
      <c r="AA10" s="61">
        <v>10547</v>
      </c>
      <c r="AB10" s="61">
        <v>11743</v>
      </c>
      <c r="AC10" s="61">
        <v>386</v>
      </c>
      <c r="AD10" s="62">
        <f>SUM(X10:AC10)</f>
        <v>36758</v>
      </c>
      <c r="AE10" s="62" cm="1">
        <f t="array" ref="AE10">_xlfn.IFS(AD10&gt;$AD$63, 3,AD10=$AD$63, 3, AD10&lt;$AD$62, 1, AD10&gt;$AD$62, 2, AD10=$AD$62, 2)</f>
        <v>2</v>
      </c>
      <c r="AF10" s="61">
        <v>2961</v>
      </c>
      <c r="AG10" s="61">
        <v>4539</v>
      </c>
      <c r="AH10" s="61">
        <v>8742</v>
      </c>
      <c r="AI10" s="61">
        <v>801</v>
      </c>
      <c r="AJ10" s="63">
        <f>SUM(AF10:AI10)</f>
        <v>17043</v>
      </c>
      <c r="AK10" s="63" cm="1">
        <f t="array" ref="AK10">_xlfn.IFS(AJ10&gt;$AJ$63, 3, AJ10=$AJ$63, 3, AJ10&lt;$AJ$62, 1, AJ10&gt;$AJ$62, 2, AJ10=$AJ$62, 2)</f>
        <v>2</v>
      </c>
      <c r="AL10" s="66">
        <v>203</v>
      </c>
      <c r="AM10" s="61">
        <v>496</v>
      </c>
      <c r="AN10" s="64">
        <f t="shared" ref="AN10:AN40" si="1">SUM(AL10:AM10)</f>
        <v>699</v>
      </c>
      <c r="AO10" s="64" cm="1">
        <f t="array" ref="AO10">_xlfn.IFS(AN10&gt;$AN$63, 3, AN10=$AN$63, 3, AN10&lt;$AN$62, 1, AN10&gt;$AN$62, 2, AN10=$AN$62, 2)</f>
        <v>2</v>
      </c>
      <c r="AP10" s="61">
        <v>11743</v>
      </c>
      <c r="AQ10" s="61">
        <v>801</v>
      </c>
      <c r="AR10" s="61">
        <v>22827</v>
      </c>
      <c r="AS10" s="61">
        <v>18930</v>
      </c>
      <c r="AT10" s="61">
        <v>18565</v>
      </c>
      <c r="AU10" s="61" t="s">
        <v>542</v>
      </c>
      <c r="AV10" s="61">
        <v>2961</v>
      </c>
      <c r="AW10" s="61">
        <v>3813</v>
      </c>
      <c r="AX10" s="62">
        <f>SUM(AP10:AW10)</f>
        <v>79640</v>
      </c>
      <c r="AY10" s="62" cm="1">
        <f t="array" ref="AY10">_xlfn.IFS(AX10&gt;$AX$63, 3, AX10=$AX$63, 3, AX10&lt;$AX$62, 1, AX10&gt;$AX$62, 2, AX10=$AX$62, 2)</f>
        <v>2</v>
      </c>
      <c r="AZ10" s="61">
        <v>13079</v>
      </c>
      <c r="BA10" s="61">
        <v>386</v>
      </c>
      <c r="BB10" s="61">
        <v>801</v>
      </c>
      <c r="BC10" s="61">
        <v>6757</v>
      </c>
      <c r="BD10" s="61">
        <v>10547</v>
      </c>
      <c r="BE10" s="61">
        <v>11743</v>
      </c>
      <c r="BF10" s="63">
        <f>SUM(AZ10:BE10)</f>
        <v>43313</v>
      </c>
      <c r="BG10" s="63" cm="1">
        <f t="array" ref="BG10">_xlfn.IFS(BF10&gt;$BF$63, 3, BF10=$BF$63, 3, BF10&lt;$BF$62, 1, BF10&gt;$BF$62, 2, BF10=$BF$62, 2)</f>
        <v>2</v>
      </c>
      <c r="BH10" s="339">
        <f>AVERAGE(I10,Q10,W10,AE10,AK10,AO10,AY10,BG10)</f>
        <v>2</v>
      </c>
    </row>
    <row r="11" spans="1:60">
      <c r="A11" s="39" t="s">
        <v>83</v>
      </c>
      <c r="B11" s="44">
        <v>86</v>
      </c>
      <c r="C11" s="44">
        <v>71</v>
      </c>
      <c r="D11" s="44">
        <v>5149</v>
      </c>
      <c r="E11" s="44">
        <v>2495</v>
      </c>
      <c r="F11" s="44">
        <v>16</v>
      </c>
      <c r="G11" s="44">
        <v>2914</v>
      </c>
      <c r="H11" s="46">
        <f t="shared" ref="H11:H50" si="2">SUM(B11:G11)</f>
        <v>10731</v>
      </c>
      <c r="I11" s="46" cm="1">
        <f t="array" ref="I11">_xlfn.IFS(H11&gt;$H$63, 3, H11=$H$63, 3, H11&lt;$H$62, 1, H11&gt;$H$62, 2, H11=$H$62, 2)</f>
        <v>1</v>
      </c>
      <c r="J11" s="44">
        <v>2495</v>
      </c>
      <c r="K11" s="44">
        <v>5149</v>
      </c>
      <c r="L11" s="44">
        <v>86</v>
      </c>
      <c r="M11" s="44">
        <v>71</v>
      </c>
      <c r="N11" s="44">
        <v>16</v>
      </c>
      <c r="O11" s="44">
        <v>2914</v>
      </c>
      <c r="P11" s="47">
        <f t="shared" ref="P11:P32" si="3">SUM(J11:O11)</f>
        <v>10731</v>
      </c>
      <c r="Q11" s="47" cm="1">
        <f t="array" ref="Q11">_xlfn.IFS(P11&gt;$P$63, 3, P11=$P$63, 3, P11&lt;$P$62, 1, P11&gt;$P$62, 2, P11=$P$62, 2)</f>
        <v>1</v>
      </c>
      <c r="R11" s="44">
        <v>3658</v>
      </c>
      <c r="S11" s="44">
        <v>198</v>
      </c>
      <c r="T11" s="44">
        <v>969</v>
      </c>
      <c r="U11" s="44">
        <v>5149</v>
      </c>
      <c r="V11" s="45">
        <f t="shared" si="0"/>
        <v>9974</v>
      </c>
      <c r="W11" s="45" cm="1">
        <f t="array" ref="W11">_xlfn.IFS(V11&gt;$V$63, 3,V11=$V$63, 3, V11&lt;$V$62, 1, V11&gt;$V$62, 2, V11=$V$62, 2)</f>
        <v>2</v>
      </c>
      <c r="X11" s="44">
        <v>3658</v>
      </c>
      <c r="Y11" s="44">
        <v>198</v>
      </c>
      <c r="Z11" s="44">
        <v>5149</v>
      </c>
      <c r="AA11" s="44">
        <v>86</v>
      </c>
      <c r="AB11" s="44">
        <v>71</v>
      </c>
      <c r="AC11" s="44">
        <v>2914</v>
      </c>
      <c r="AD11" s="62">
        <f t="shared" ref="AD11:AD59" si="4">SUM(X11:AC11)</f>
        <v>12076</v>
      </c>
      <c r="AE11" s="46" cm="1">
        <f t="array" ref="AE11">_xlfn.IFS(AD11&gt;$AD$63, 3,AD11=$AD$63, 3, AD11&lt;$AD$62, 1, AD11&gt;$AD$62, 2, AD11=$AD$62, 2)</f>
        <v>1</v>
      </c>
      <c r="AF11" s="44">
        <v>103</v>
      </c>
      <c r="AG11" s="44">
        <v>3658</v>
      </c>
      <c r="AH11" s="44">
        <v>198</v>
      </c>
      <c r="AI11" s="44">
        <v>5149</v>
      </c>
      <c r="AJ11" s="47">
        <f t="shared" ref="AJ11:AJ29" si="5">SUM(AF11:AI11)</f>
        <v>9108</v>
      </c>
      <c r="AK11" s="47" cm="1">
        <f t="array" ref="AK11">_xlfn.IFS(AJ11&gt;$AJ$63, 3, AJ11=$AJ$63, 3, AJ11&lt;$AJ$62, 1, AJ11&gt;$AJ$62, 2, AJ11=$AJ$62, 2)</f>
        <v>1</v>
      </c>
      <c r="AL11" s="48">
        <v>239</v>
      </c>
      <c r="AM11" s="44">
        <v>969</v>
      </c>
      <c r="AN11" s="45">
        <f t="shared" si="1"/>
        <v>1208</v>
      </c>
      <c r="AO11" s="45" cm="1">
        <f t="array" ref="AO11">_xlfn.IFS(AN11&gt;$AN$63, 3, AN11=$AN$63, 3, AN11&lt;$AN$62, 1, AN11&gt;$AN$62, 2, AN11=$AN$62, 2)</f>
        <v>3</v>
      </c>
      <c r="AP11" s="44">
        <v>71</v>
      </c>
      <c r="AQ11" s="44">
        <v>5149</v>
      </c>
      <c r="AR11" s="44">
        <v>5333</v>
      </c>
      <c r="AS11" s="44">
        <v>193</v>
      </c>
      <c r="AT11" s="44">
        <v>3611</v>
      </c>
      <c r="AU11" s="44" t="s">
        <v>542</v>
      </c>
      <c r="AV11" s="44">
        <v>103</v>
      </c>
      <c r="AW11" s="44">
        <v>133</v>
      </c>
      <c r="AX11" s="46">
        <f t="shared" ref="AX11:AX27" si="6">SUM(AP11:AW11)</f>
        <v>14593</v>
      </c>
      <c r="AY11" s="46" cm="1">
        <f t="array" ref="AY11">_xlfn.IFS(AX11&gt;$AX$63, 3, AX11=$AX$63, 3, AX11&lt;$AX$62, 1, AX11&gt;$AX$62, 2, AX11=$AX$62, 2)</f>
        <v>1</v>
      </c>
      <c r="AZ11" s="44">
        <v>2495</v>
      </c>
      <c r="BA11" s="44">
        <v>2914</v>
      </c>
      <c r="BB11" s="44">
        <v>5149</v>
      </c>
      <c r="BC11" s="44">
        <v>16</v>
      </c>
      <c r="BD11" s="44">
        <v>86</v>
      </c>
      <c r="BE11" s="44">
        <v>71</v>
      </c>
      <c r="BF11" s="47">
        <f t="shared" ref="BF11:BF32" si="7">SUM(AZ11:BE11)</f>
        <v>10731</v>
      </c>
      <c r="BG11" s="47" cm="1">
        <f t="array" ref="BG11">_xlfn.IFS(BF11&gt;$BF$63, 3, BF11=$BF$63, 3, BF11&lt;$BF$62, 1, BF11&gt;$BF$62, 2, BF11=$BF$62, 2)</f>
        <v>1</v>
      </c>
      <c r="BH11" s="340">
        <f t="shared" ref="BH11:BH59" si="8">AVERAGE(I11,Q11,W11,AE11,AK11,AO11,AY11,BG11)</f>
        <v>1.375</v>
      </c>
    </row>
    <row r="12" spans="1:60">
      <c r="A12" s="39" t="s">
        <v>74</v>
      </c>
      <c r="B12" s="44">
        <v>8468</v>
      </c>
      <c r="C12" s="44">
        <v>9983</v>
      </c>
      <c r="D12" s="44">
        <v>756</v>
      </c>
      <c r="E12" s="44">
        <v>12598</v>
      </c>
      <c r="F12" s="44">
        <v>3858</v>
      </c>
      <c r="G12" s="44">
        <v>68</v>
      </c>
      <c r="H12" s="46">
        <f t="shared" si="2"/>
        <v>35731</v>
      </c>
      <c r="I12" s="46" cm="1">
        <f t="array" ref="I12">_xlfn.IFS(H12&gt;$H$63, 3, H12=$H$63, 3, H12&lt;$H$62, 1, H12&gt;$H$62, 2, H12=$H$62, 2)</f>
        <v>2</v>
      </c>
      <c r="J12" s="44">
        <v>12598</v>
      </c>
      <c r="K12" s="44">
        <v>756</v>
      </c>
      <c r="L12" s="44">
        <v>8468</v>
      </c>
      <c r="M12" s="44">
        <v>9983</v>
      </c>
      <c r="N12" s="44">
        <v>3858</v>
      </c>
      <c r="O12" s="44">
        <v>68</v>
      </c>
      <c r="P12" s="47">
        <f t="shared" si="3"/>
        <v>35731</v>
      </c>
      <c r="Q12" s="47" cm="1">
        <f t="array" ref="Q12">_xlfn.IFS(P12&gt;$P$63, 3, P12=$P$63, 3, P12&lt;$P$62, 1, P12&gt;$P$62, 2, P12=$P$62, 2)</f>
        <v>2</v>
      </c>
      <c r="R12" s="44">
        <v>12756</v>
      </c>
      <c r="S12" s="44">
        <v>7772</v>
      </c>
      <c r="T12" s="44">
        <v>5</v>
      </c>
      <c r="U12" s="44">
        <v>756</v>
      </c>
      <c r="V12" s="45">
        <f t="shared" si="0"/>
        <v>21289</v>
      </c>
      <c r="W12" s="45" cm="1">
        <f t="array" ref="W12">_xlfn.IFS(V12&gt;$V$63, 3,V12=$V$63, 3, V12&lt;$V$62, 1, V12&gt;$V$62, 2, V12=$V$62, 2)</f>
        <v>3</v>
      </c>
      <c r="X12" s="44">
        <v>12756</v>
      </c>
      <c r="Y12" s="44">
        <v>7772</v>
      </c>
      <c r="Z12" s="44">
        <v>756</v>
      </c>
      <c r="AA12" s="44">
        <v>8468</v>
      </c>
      <c r="AB12" s="44">
        <v>9983</v>
      </c>
      <c r="AC12" s="44">
        <v>68</v>
      </c>
      <c r="AD12" s="62">
        <f t="shared" si="4"/>
        <v>39803</v>
      </c>
      <c r="AE12" s="46" cm="1">
        <f t="array" ref="AE12">_xlfn.IFS(AD12&gt;$AD$63, 3,AD12=$AD$63, 3, AD12&lt;$AD$62, 1, AD12&gt;$AD$62, 2, AD12=$AD$62, 2)</f>
        <v>2</v>
      </c>
      <c r="AF12" s="44">
        <v>14690</v>
      </c>
      <c r="AG12" s="44">
        <v>12756</v>
      </c>
      <c r="AH12" s="44">
        <v>7772</v>
      </c>
      <c r="AI12" s="44">
        <v>756</v>
      </c>
      <c r="AJ12" s="47">
        <f t="shared" si="5"/>
        <v>35974</v>
      </c>
      <c r="AK12" s="47" cm="1">
        <f t="array" ref="AK12">_xlfn.IFS(AJ12&gt;$AJ$63, 3, AJ12=$AJ$63, 3, AJ12&lt;$AJ$62, 1, AJ12&gt;$AJ$62, 2, AJ12=$AJ$62, 2)</f>
        <v>3</v>
      </c>
      <c r="AL12" s="48">
        <v>35</v>
      </c>
      <c r="AM12" s="44">
        <v>5</v>
      </c>
      <c r="AN12" s="45">
        <f t="shared" si="1"/>
        <v>40</v>
      </c>
      <c r="AO12" s="45" cm="1">
        <f t="array" ref="AO12">_xlfn.IFS(AN12&gt;$AN$63, 3, AN12=$AN$63, 3, AN12&lt;$AN$62, 1, AN12&gt;$AN$62, 2, AN12=$AN$62, 2)</f>
        <v>1</v>
      </c>
      <c r="AP12" s="44">
        <v>9983</v>
      </c>
      <c r="AQ12" s="44">
        <v>756</v>
      </c>
      <c r="AR12" s="44">
        <v>44474</v>
      </c>
      <c r="AS12" s="44">
        <v>4570</v>
      </c>
      <c r="AT12" s="44">
        <v>23444</v>
      </c>
      <c r="AU12" s="44">
        <v>583</v>
      </c>
      <c r="AV12" s="44">
        <v>14690</v>
      </c>
      <c r="AW12" s="44" t="s">
        <v>542</v>
      </c>
      <c r="AX12" s="46">
        <f t="shared" si="6"/>
        <v>98500</v>
      </c>
      <c r="AY12" s="46" cm="1">
        <f t="array" ref="AY12">_xlfn.IFS(AX12&gt;$AX$63, 3, AX12=$AX$63, 3, AX12&lt;$AX$62, 1, AX12&gt;$AX$62, 2, AX12=$AX$62, 2)</f>
        <v>3</v>
      </c>
      <c r="AZ12" s="44">
        <v>12598</v>
      </c>
      <c r="BA12" s="44">
        <v>68</v>
      </c>
      <c r="BB12" s="44">
        <v>756</v>
      </c>
      <c r="BC12" s="44">
        <v>3858</v>
      </c>
      <c r="BD12" s="44">
        <v>8468</v>
      </c>
      <c r="BE12" s="44">
        <v>9983</v>
      </c>
      <c r="BF12" s="47">
        <f t="shared" si="7"/>
        <v>35731</v>
      </c>
      <c r="BG12" s="47" cm="1">
        <f t="array" ref="BG12">_xlfn.IFS(BF12&gt;$BF$63, 3, BF12=$BF$63, 3, BF12&lt;$BF$62, 1, BF12&gt;$BF$62, 2, BF12=$BF$62, 2)</f>
        <v>2</v>
      </c>
      <c r="BH12" s="340">
        <f t="shared" si="8"/>
        <v>2.25</v>
      </c>
    </row>
    <row r="13" spans="1:60">
      <c r="A13" s="39" t="s">
        <v>88</v>
      </c>
      <c r="B13" s="44">
        <v>12024</v>
      </c>
      <c r="C13" s="44">
        <v>5359</v>
      </c>
      <c r="D13" s="44">
        <v>1339</v>
      </c>
      <c r="E13" s="44">
        <v>8333</v>
      </c>
      <c r="F13" s="44">
        <v>4484</v>
      </c>
      <c r="G13" s="44">
        <v>400</v>
      </c>
      <c r="H13" s="46">
        <f t="shared" si="2"/>
        <v>31939</v>
      </c>
      <c r="I13" s="46" cm="1">
        <f t="array" ref="I13">_xlfn.IFS(H13&gt;$H$63, 3, H13=$H$63, 3, H13&lt;$H$62, 1, H13&gt;$H$62, 2, H13=$H$62, 2)</f>
        <v>2</v>
      </c>
      <c r="J13" s="44">
        <v>8333</v>
      </c>
      <c r="K13" s="44">
        <v>1339</v>
      </c>
      <c r="L13" s="44">
        <v>12024</v>
      </c>
      <c r="M13" s="44">
        <v>5359</v>
      </c>
      <c r="N13" s="44">
        <v>4484</v>
      </c>
      <c r="O13" s="44">
        <v>400</v>
      </c>
      <c r="P13" s="47">
        <f t="shared" si="3"/>
        <v>31939</v>
      </c>
      <c r="Q13" s="47" cm="1">
        <f t="array" ref="Q13">_xlfn.IFS(P13&gt;$P$63, 3, P13=$P$63, 3, P13&lt;$P$62, 1, P13&gt;$P$62, 2, P13=$P$62, 2)</f>
        <v>2</v>
      </c>
      <c r="R13" s="44">
        <v>1789</v>
      </c>
      <c r="S13" s="44">
        <v>3639</v>
      </c>
      <c r="T13" s="44">
        <v>28</v>
      </c>
      <c r="U13" s="44">
        <v>1339</v>
      </c>
      <c r="V13" s="45">
        <f t="shared" si="0"/>
        <v>6795</v>
      </c>
      <c r="W13" s="45" cm="1">
        <f t="array" ref="W13">_xlfn.IFS(V13&gt;$V$63, 3,V13=$V$63, 3, V13&lt;$V$62, 1, V13&gt;$V$62, 2, V13=$V$62, 2)</f>
        <v>1</v>
      </c>
      <c r="X13" s="44">
        <v>1789</v>
      </c>
      <c r="Y13" s="44">
        <v>3639</v>
      </c>
      <c r="Z13" s="44">
        <v>1339</v>
      </c>
      <c r="AA13" s="44">
        <v>12024</v>
      </c>
      <c r="AB13" s="44">
        <v>5359</v>
      </c>
      <c r="AC13" s="44">
        <v>400</v>
      </c>
      <c r="AD13" s="62">
        <f t="shared" si="4"/>
        <v>24550</v>
      </c>
      <c r="AE13" s="46" cm="1">
        <f t="array" ref="AE13">_xlfn.IFS(AD13&gt;$AD$63, 3,AD13=$AD$63, 3, AD13&lt;$AD$62, 1, AD13&gt;$AD$62, 2, AD13=$AD$62, 2)</f>
        <v>1</v>
      </c>
      <c r="AF13" s="44">
        <v>3121</v>
      </c>
      <c r="AG13" s="44">
        <v>1789</v>
      </c>
      <c r="AH13" s="44">
        <v>3639</v>
      </c>
      <c r="AI13" s="44">
        <v>1339</v>
      </c>
      <c r="AJ13" s="47">
        <f t="shared" si="5"/>
        <v>9888</v>
      </c>
      <c r="AK13" s="47" cm="1">
        <f t="array" ref="AK13">_xlfn.IFS(AJ13&gt;$AJ$63, 3, AJ13=$AJ$63, 3, AJ13&lt;$AJ$62, 1, AJ13&gt;$AJ$62, 2, AJ13=$AJ$62, 2)</f>
        <v>1</v>
      </c>
      <c r="AL13" s="48">
        <v>278</v>
      </c>
      <c r="AM13" s="44">
        <v>28</v>
      </c>
      <c r="AN13" s="45">
        <f t="shared" si="1"/>
        <v>306</v>
      </c>
      <c r="AO13" s="45" cm="1">
        <f t="array" ref="AO13">_xlfn.IFS(AN13&gt;$AN$63, 3, AN13=$AN$63, 3, AN13&lt;$AN$62, 1, AN13&gt;$AN$62, 2, AN13=$AN$62, 2)</f>
        <v>2</v>
      </c>
      <c r="AP13" s="44">
        <v>5359</v>
      </c>
      <c r="AQ13" s="44">
        <v>1339</v>
      </c>
      <c r="AR13" s="44">
        <v>14111</v>
      </c>
      <c r="AS13" s="44">
        <v>10164</v>
      </c>
      <c r="AT13" s="44">
        <v>10027</v>
      </c>
      <c r="AU13" s="44" t="s">
        <v>542</v>
      </c>
      <c r="AV13" s="44">
        <v>3121</v>
      </c>
      <c r="AW13" s="44">
        <v>1914</v>
      </c>
      <c r="AX13" s="46">
        <f t="shared" si="6"/>
        <v>46035</v>
      </c>
      <c r="AY13" s="46" cm="1">
        <f t="array" ref="AY13">_xlfn.IFS(AX13&gt;$AX$63, 3, AX13=$AX$63, 3, AX13&lt;$AX$62, 1, AX13&gt;$AX$62, 2, AX13=$AX$62, 2)</f>
        <v>2</v>
      </c>
      <c r="AZ13" s="44">
        <v>8333</v>
      </c>
      <c r="BA13" s="44">
        <v>400</v>
      </c>
      <c r="BB13" s="44">
        <v>1339</v>
      </c>
      <c r="BC13" s="44">
        <v>4484</v>
      </c>
      <c r="BD13" s="44">
        <v>12024</v>
      </c>
      <c r="BE13" s="44">
        <v>5359</v>
      </c>
      <c r="BF13" s="47">
        <f t="shared" si="7"/>
        <v>31939</v>
      </c>
      <c r="BG13" s="47" cm="1">
        <f t="array" ref="BG13">_xlfn.IFS(BF13&gt;$BF$63, 3, BF13=$BF$63, 3, BF13&lt;$BF$62, 1, BF13&gt;$BF$62, 2, BF13=$BF$62, 2)</f>
        <v>2</v>
      </c>
      <c r="BH13" s="340">
        <f t="shared" si="8"/>
        <v>1.625</v>
      </c>
    </row>
    <row r="14" spans="1:60">
      <c r="A14" s="39" t="s">
        <v>91</v>
      </c>
      <c r="B14" s="44">
        <v>73405</v>
      </c>
      <c r="C14" s="44">
        <v>78741</v>
      </c>
      <c r="D14" s="44">
        <v>7613</v>
      </c>
      <c r="E14" s="44">
        <v>65847</v>
      </c>
      <c r="F14" s="44">
        <v>32492</v>
      </c>
      <c r="G14" s="44">
        <v>3311</v>
      </c>
      <c r="H14" s="46">
        <f t="shared" si="2"/>
        <v>261409</v>
      </c>
      <c r="I14" s="46" cm="1">
        <f t="array" ref="I14">_xlfn.IFS(H14&gt;$H$63, 3, H14=$H$63, 3, H14&lt;$H$62, 1, H14&gt;$H$62, 2, H14=$H$62, 2)</f>
        <v>3</v>
      </c>
      <c r="J14" s="44">
        <v>65847</v>
      </c>
      <c r="K14" s="44">
        <v>7613</v>
      </c>
      <c r="L14" s="44">
        <v>73405</v>
      </c>
      <c r="M14" s="44">
        <v>78741</v>
      </c>
      <c r="N14" s="44">
        <v>32492</v>
      </c>
      <c r="O14" s="44">
        <v>3311</v>
      </c>
      <c r="P14" s="47">
        <f t="shared" si="3"/>
        <v>261409</v>
      </c>
      <c r="Q14" s="47" cm="1">
        <f t="array" ref="Q14">_xlfn.IFS(P14&gt;$P$63, 3, P14=$P$63, 3, P14&lt;$P$62, 1, P14&gt;$P$62, 2, P14=$P$62, 2)</f>
        <v>3</v>
      </c>
      <c r="R14" s="44">
        <v>5954</v>
      </c>
      <c r="S14" s="44">
        <v>30453</v>
      </c>
      <c r="T14" s="44">
        <v>4723</v>
      </c>
      <c r="U14" s="44">
        <v>7613</v>
      </c>
      <c r="V14" s="45">
        <f t="shared" si="0"/>
        <v>48743</v>
      </c>
      <c r="W14" s="45" cm="1">
        <f t="array" ref="W14">_xlfn.IFS(V14&gt;$V$63, 3,V14=$V$63, 3, V14&lt;$V$62, 1, V14&gt;$V$62, 2, V14=$V$62, 2)</f>
        <v>3</v>
      </c>
      <c r="X14" s="44">
        <v>5954</v>
      </c>
      <c r="Y14" s="44">
        <v>30453</v>
      </c>
      <c r="Z14" s="44">
        <v>7613</v>
      </c>
      <c r="AA14" s="44">
        <v>73405</v>
      </c>
      <c r="AB14" s="44">
        <v>78741</v>
      </c>
      <c r="AC14" s="44">
        <v>3311</v>
      </c>
      <c r="AD14" s="62">
        <f t="shared" si="4"/>
        <v>199477</v>
      </c>
      <c r="AE14" s="46" cm="1">
        <f t="array" ref="AE14">_xlfn.IFS(AD14&gt;$AD$63, 3,AD14=$AD$63, 3, AD14&lt;$AD$62, 1, AD14&gt;$AD$62, 2, AD14=$AD$62, 2)</f>
        <v>3</v>
      </c>
      <c r="AF14" s="44">
        <v>184710</v>
      </c>
      <c r="AG14" s="44">
        <v>5954</v>
      </c>
      <c r="AH14" s="44">
        <v>30453</v>
      </c>
      <c r="AI14" s="44">
        <v>7613</v>
      </c>
      <c r="AJ14" s="47">
        <f t="shared" si="5"/>
        <v>228730</v>
      </c>
      <c r="AK14" s="47" cm="1">
        <f t="array" ref="AK14">_xlfn.IFS(AJ14&gt;$AJ$63, 3, AJ14=$AJ$63, 3, AJ14&lt;$AJ$62, 1, AJ14&gt;$AJ$62, 2, AJ14=$AJ$62, 2)</f>
        <v>3</v>
      </c>
      <c r="AL14" s="48">
        <v>513</v>
      </c>
      <c r="AM14" s="44">
        <v>4723</v>
      </c>
      <c r="AN14" s="45">
        <f t="shared" si="1"/>
        <v>5236</v>
      </c>
      <c r="AO14" s="45" cm="1">
        <f t="array" ref="AO14">_xlfn.IFS(AN14&gt;$AN$63, 3, AN14=$AN$63, 3, AN14&lt;$AN$62, 1, AN14&gt;$AN$62, 2, AN14=$AN$62, 2)</f>
        <v>3</v>
      </c>
      <c r="AP14" s="44">
        <v>78741</v>
      </c>
      <c r="AQ14" s="44">
        <v>7613</v>
      </c>
      <c r="AR14" s="44">
        <v>209447</v>
      </c>
      <c r="AS14" s="44">
        <v>25651</v>
      </c>
      <c r="AT14" s="44">
        <v>96689</v>
      </c>
      <c r="AU14" s="44">
        <v>6132</v>
      </c>
      <c r="AV14" s="44">
        <v>184710</v>
      </c>
      <c r="AW14" s="44">
        <v>2231</v>
      </c>
      <c r="AX14" s="46">
        <f t="shared" si="6"/>
        <v>611214</v>
      </c>
      <c r="AY14" s="46" cm="1">
        <f t="array" ref="AY14">_xlfn.IFS(AX14&gt;$AX$63, 3, AX14=$AX$63, 3, AX14&lt;$AX$62, 1, AX14&gt;$AX$62, 2, AX14=$AX$62, 2)</f>
        <v>3</v>
      </c>
      <c r="AZ14" s="44">
        <v>65847</v>
      </c>
      <c r="BA14" s="44">
        <v>3311</v>
      </c>
      <c r="BB14" s="44">
        <v>7613</v>
      </c>
      <c r="BC14" s="44">
        <v>32492</v>
      </c>
      <c r="BD14" s="44">
        <v>73405</v>
      </c>
      <c r="BE14" s="44">
        <v>78741</v>
      </c>
      <c r="BF14" s="47">
        <f t="shared" si="7"/>
        <v>261409</v>
      </c>
      <c r="BG14" s="47" cm="1">
        <f t="array" ref="BG14">_xlfn.IFS(BF14&gt;$BF$63, 3, BF14=$BF$63, 3, BF14&lt;$BF$62, 1, BF14&gt;$BF$62, 2, BF14=$BF$62, 2)</f>
        <v>3</v>
      </c>
      <c r="BH14" s="340">
        <f t="shared" si="8"/>
        <v>3</v>
      </c>
    </row>
    <row r="15" spans="1:60">
      <c r="A15" s="39" t="s">
        <v>93</v>
      </c>
      <c r="B15" s="44">
        <v>12351</v>
      </c>
      <c r="C15" s="44">
        <v>8551</v>
      </c>
      <c r="D15" s="44">
        <v>11357</v>
      </c>
      <c r="E15" s="44">
        <v>9258</v>
      </c>
      <c r="F15" s="44">
        <v>2252</v>
      </c>
      <c r="G15" s="44">
        <v>6511</v>
      </c>
      <c r="H15" s="46">
        <f t="shared" si="2"/>
        <v>50280</v>
      </c>
      <c r="I15" s="46" cm="1">
        <f t="array" ref="I15">_xlfn.IFS(H15&gt;$H$63, 3, H15=$H$63, 3, H15&lt;$H$62, 1, H15&gt;$H$62, 2, H15=$H$62, 2)</f>
        <v>2</v>
      </c>
      <c r="J15" s="44">
        <v>9258</v>
      </c>
      <c r="K15" s="44">
        <v>11357</v>
      </c>
      <c r="L15" s="44">
        <v>12351</v>
      </c>
      <c r="M15" s="44">
        <v>8551</v>
      </c>
      <c r="N15" s="44">
        <v>2252</v>
      </c>
      <c r="O15" s="44">
        <v>6511</v>
      </c>
      <c r="P15" s="47">
        <f t="shared" si="3"/>
        <v>50280</v>
      </c>
      <c r="Q15" s="47" cm="1">
        <f t="array" ref="Q15">_xlfn.IFS(P15&gt;$P$63, 3, P15=$P$63, 3, P15&lt;$P$62, 1, P15&gt;$P$62, 2, P15=$P$62, 2)</f>
        <v>2</v>
      </c>
      <c r="R15" s="44">
        <v>3995</v>
      </c>
      <c r="S15" s="44">
        <v>8145</v>
      </c>
      <c r="T15" s="44" t="s">
        <v>542</v>
      </c>
      <c r="U15" s="44">
        <v>11357</v>
      </c>
      <c r="V15" s="45">
        <f t="shared" si="0"/>
        <v>23497</v>
      </c>
      <c r="W15" s="45" cm="1">
        <f t="array" ref="W15">_xlfn.IFS(V15&gt;$V$63, 3,V15=$V$63, 3, V15&lt;$V$62, 1, V15&gt;$V$62, 2, V15=$V$62, 2)</f>
        <v>3</v>
      </c>
      <c r="X15" s="44">
        <v>3995</v>
      </c>
      <c r="Y15" s="44">
        <v>8145</v>
      </c>
      <c r="Z15" s="44">
        <v>11357</v>
      </c>
      <c r="AA15" s="44">
        <v>12351</v>
      </c>
      <c r="AB15" s="44">
        <v>8551</v>
      </c>
      <c r="AC15" s="44">
        <v>6511</v>
      </c>
      <c r="AD15" s="62">
        <f t="shared" si="4"/>
        <v>50910</v>
      </c>
      <c r="AE15" s="46" cm="1">
        <f t="array" ref="AE15">_xlfn.IFS(AD15&gt;$AD$63, 3,AD15=$AD$63, 3, AD15&lt;$AD$62, 1, AD15&gt;$AD$62, 2, AD15=$AD$62, 2)</f>
        <v>2</v>
      </c>
      <c r="AF15" s="44">
        <v>2508</v>
      </c>
      <c r="AG15" s="44">
        <v>3995</v>
      </c>
      <c r="AH15" s="44">
        <v>8145</v>
      </c>
      <c r="AI15" s="44">
        <v>11357</v>
      </c>
      <c r="AJ15" s="47">
        <f t="shared" si="5"/>
        <v>26005</v>
      </c>
      <c r="AK15" s="47" cm="1">
        <f t="array" ref="AK15">_xlfn.IFS(AJ15&gt;$AJ$63, 3, AJ15=$AJ$63, 3, AJ15&lt;$AJ$62, 1, AJ15&gt;$AJ$62, 2, AJ15=$AJ$62, 2)</f>
        <v>3</v>
      </c>
      <c r="AL15" s="48">
        <v>33</v>
      </c>
      <c r="AM15" s="44" t="s">
        <v>542</v>
      </c>
      <c r="AN15" s="45">
        <f t="shared" si="1"/>
        <v>33</v>
      </c>
      <c r="AO15" s="45" cm="1">
        <f t="array" ref="AO15">_xlfn.IFS(AN15&gt;$AN$63, 3, AN15=$AN$63, 3, AN15&lt;$AN$62, 1, AN15&gt;$AN$62, 2, AN15=$AN$62, 2)</f>
        <v>1</v>
      </c>
      <c r="AP15" s="44">
        <v>8551</v>
      </c>
      <c r="AQ15" s="44">
        <v>11357</v>
      </c>
      <c r="AR15" s="44">
        <v>38845</v>
      </c>
      <c r="AS15" s="44">
        <v>3602</v>
      </c>
      <c r="AT15" s="44">
        <v>26241</v>
      </c>
      <c r="AU15" s="44">
        <v>301</v>
      </c>
      <c r="AV15" s="44">
        <v>2508</v>
      </c>
      <c r="AW15" s="44">
        <v>134</v>
      </c>
      <c r="AX15" s="46">
        <f t="shared" si="6"/>
        <v>91539</v>
      </c>
      <c r="AY15" s="46" cm="1">
        <f t="array" ref="AY15">_xlfn.IFS(AX15&gt;$AX$63, 3, AX15=$AX$63, 3, AX15&lt;$AX$62, 1, AX15&gt;$AX$62, 2, AX15=$AX$62, 2)</f>
        <v>2</v>
      </c>
      <c r="AZ15" s="44">
        <v>9258</v>
      </c>
      <c r="BA15" s="44">
        <v>6511</v>
      </c>
      <c r="BB15" s="44">
        <v>11357</v>
      </c>
      <c r="BC15" s="44">
        <v>2252</v>
      </c>
      <c r="BD15" s="44">
        <v>12351</v>
      </c>
      <c r="BE15" s="44">
        <v>8551</v>
      </c>
      <c r="BF15" s="47">
        <f t="shared" si="7"/>
        <v>50280</v>
      </c>
      <c r="BG15" s="47" cm="1">
        <f t="array" ref="BG15">_xlfn.IFS(BF15&gt;$BF$63, 3, BF15=$BF$63, 3, BF15&lt;$BF$62, 1, BF15&gt;$BF$62, 2, BF15=$BF$62, 2)</f>
        <v>2</v>
      </c>
      <c r="BH15" s="340">
        <f t="shared" si="8"/>
        <v>2.125</v>
      </c>
    </row>
    <row r="16" spans="1:60">
      <c r="A16" s="39" t="s">
        <v>95</v>
      </c>
      <c r="B16" s="44">
        <v>13523</v>
      </c>
      <c r="C16" s="44">
        <v>7889</v>
      </c>
      <c r="D16" s="44">
        <v>19</v>
      </c>
      <c r="E16" s="44">
        <v>5112</v>
      </c>
      <c r="F16" s="44">
        <v>6798</v>
      </c>
      <c r="G16" s="44" t="s">
        <v>542</v>
      </c>
      <c r="H16" s="46">
        <f t="shared" si="2"/>
        <v>33341</v>
      </c>
      <c r="I16" s="46" cm="1">
        <f t="array" ref="I16">_xlfn.IFS(H16&gt;$H$63, 3, H16=$H$63, 3, H16&lt;$H$62, 1, H16&gt;$H$62, 2, H16=$H$62, 2)</f>
        <v>2</v>
      </c>
      <c r="J16" s="44">
        <v>5112</v>
      </c>
      <c r="K16" s="44">
        <v>19</v>
      </c>
      <c r="L16" s="44">
        <v>13523</v>
      </c>
      <c r="M16" s="44">
        <v>7889</v>
      </c>
      <c r="N16" s="44">
        <v>6798</v>
      </c>
      <c r="O16" s="44" t="s">
        <v>542</v>
      </c>
      <c r="P16" s="47">
        <f t="shared" si="3"/>
        <v>33341</v>
      </c>
      <c r="Q16" s="47" cm="1">
        <f t="array" ref="Q16">_xlfn.IFS(P16&gt;$P$63, 3, P16=$P$63, 3, P16&lt;$P$62, 1, P16&gt;$P$62, 2, P16=$P$62, 2)</f>
        <v>2</v>
      </c>
      <c r="R16" s="44">
        <v>482</v>
      </c>
      <c r="S16" s="44">
        <v>2271</v>
      </c>
      <c r="T16" s="44">
        <v>764</v>
      </c>
      <c r="U16" s="44">
        <v>19</v>
      </c>
      <c r="V16" s="45">
        <f t="shared" si="0"/>
        <v>3536</v>
      </c>
      <c r="W16" s="45" cm="1">
        <f t="array" ref="W16">_xlfn.IFS(V16&gt;$V$63, 3,V16=$V$63, 3, V16&lt;$V$62, 1, V16&gt;$V$62, 2, V16=$V$62, 2)</f>
        <v>1</v>
      </c>
      <c r="X16" s="44">
        <v>482</v>
      </c>
      <c r="Y16" s="44">
        <v>2271</v>
      </c>
      <c r="Z16" s="44">
        <v>19</v>
      </c>
      <c r="AA16" s="44">
        <v>13523</v>
      </c>
      <c r="AB16" s="44">
        <v>7889</v>
      </c>
      <c r="AC16" s="44" t="s">
        <v>542</v>
      </c>
      <c r="AD16" s="62">
        <f t="shared" si="4"/>
        <v>24184</v>
      </c>
      <c r="AE16" s="46" cm="1">
        <f t="array" ref="AE16">_xlfn.IFS(AD16&gt;$AD$63, 3,AD16=$AD$63, 3, AD16&lt;$AD$62, 1, AD16&gt;$AD$62, 2, AD16=$AD$62, 2)</f>
        <v>1</v>
      </c>
      <c r="AF16" s="44">
        <v>233</v>
      </c>
      <c r="AG16" s="44">
        <v>482</v>
      </c>
      <c r="AH16" s="44">
        <v>2271</v>
      </c>
      <c r="AI16" s="44">
        <v>19</v>
      </c>
      <c r="AJ16" s="47">
        <f t="shared" si="5"/>
        <v>3005</v>
      </c>
      <c r="AK16" s="47" cm="1">
        <f t="array" ref="AK16">_xlfn.IFS(AJ16&gt;$AJ$63, 3, AJ16=$AJ$63, 3, AJ16&lt;$AJ$62, 1, AJ16&gt;$AJ$62, 2, AJ16=$AJ$62, 2)</f>
        <v>1</v>
      </c>
      <c r="AL16" s="49" t="s">
        <v>542</v>
      </c>
      <c r="AM16" s="44">
        <v>764</v>
      </c>
      <c r="AN16" s="50">
        <f t="shared" si="1"/>
        <v>764</v>
      </c>
      <c r="AO16" s="45" cm="1">
        <f t="array" ref="AO16">_xlfn.IFS(AN16&gt;$AN$63, 3, AN16=$AN$63, 3, AN16&lt;$AN$62, 1, AN16&gt;$AN$62, 2, AN16=$AN$62, 2)</f>
        <v>2</v>
      </c>
      <c r="AP16" s="44">
        <v>7889</v>
      </c>
      <c r="AQ16" s="44">
        <v>19</v>
      </c>
      <c r="AR16" s="44">
        <v>11433</v>
      </c>
      <c r="AS16" s="44">
        <v>1120</v>
      </c>
      <c r="AT16" s="44">
        <v>7188</v>
      </c>
      <c r="AU16" s="44">
        <v>18</v>
      </c>
      <c r="AV16" s="44">
        <v>233</v>
      </c>
      <c r="AW16" s="44">
        <v>5</v>
      </c>
      <c r="AX16" s="46">
        <f t="shared" si="6"/>
        <v>27905</v>
      </c>
      <c r="AY16" s="46" cm="1">
        <f t="array" ref="AY16">_xlfn.IFS(AX16&gt;$AX$63, 3, AX16=$AX$63, 3, AX16&lt;$AX$62, 1, AX16&gt;$AX$62, 2, AX16=$AX$62, 2)</f>
        <v>1</v>
      </c>
      <c r="AZ16" s="44">
        <v>5112</v>
      </c>
      <c r="BA16" s="44" t="s">
        <v>542</v>
      </c>
      <c r="BB16" s="44">
        <v>19</v>
      </c>
      <c r="BC16" s="44">
        <v>6798</v>
      </c>
      <c r="BD16" s="44">
        <v>13523</v>
      </c>
      <c r="BE16" s="44">
        <v>7889</v>
      </c>
      <c r="BF16" s="47">
        <f t="shared" si="7"/>
        <v>33341</v>
      </c>
      <c r="BG16" s="47" cm="1">
        <f t="array" ref="BG16">_xlfn.IFS(BF16&gt;$BF$63, 3, BF16=$BF$63, 3, BF16&lt;$BF$62, 1, BF16&gt;$BF$62, 2, BF16=$BF$62, 2)</f>
        <v>2</v>
      </c>
      <c r="BH16" s="340">
        <f t="shared" si="8"/>
        <v>1.5</v>
      </c>
    </row>
    <row r="17" spans="1:60">
      <c r="A17" s="39" t="s">
        <v>98</v>
      </c>
      <c r="B17" s="44">
        <v>730</v>
      </c>
      <c r="C17" s="44">
        <v>3172</v>
      </c>
      <c r="D17" s="44" t="s">
        <v>542</v>
      </c>
      <c r="E17" s="44">
        <v>2114</v>
      </c>
      <c r="F17" s="44">
        <v>1128</v>
      </c>
      <c r="G17" s="44" t="s">
        <v>542</v>
      </c>
      <c r="H17" s="46">
        <f t="shared" si="2"/>
        <v>7144</v>
      </c>
      <c r="I17" s="46" cm="1">
        <f t="array" ref="I17">_xlfn.IFS(H17&gt;$H$63, 3, H17=$H$63, 3, H17&lt;$H$62, 1, H17&gt;$H$62, 2, H17=$H$62, 2)</f>
        <v>1</v>
      </c>
      <c r="J17" s="44">
        <v>2114</v>
      </c>
      <c r="K17" s="44" t="s">
        <v>542</v>
      </c>
      <c r="L17" s="44">
        <v>730</v>
      </c>
      <c r="M17" s="44">
        <v>3172</v>
      </c>
      <c r="N17" s="44">
        <v>1128</v>
      </c>
      <c r="O17" s="44" t="s">
        <v>542</v>
      </c>
      <c r="P17" s="47">
        <f t="shared" si="3"/>
        <v>7144</v>
      </c>
      <c r="Q17" s="47" cm="1">
        <f t="array" ref="Q17">_xlfn.IFS(P17&gt;$P$63, 3, P17=$P$63, 3, P17&lt;$P$62, 1, P17&gt;$P$62, 2, P17=$P$62, 2)</f>
        <v>1</v>
      </c>
      <c r="R17" s="44">
        <v>78</v>
      </c>
      <c r="S17" s="44">
        <v>693</v>
      </c>
      <c r="T17" s="44">
        <v>60</v>
      </c>
      <c r="U17" s="44" t="s">
        <v>542</v>
      </c>
      <c r="V17" s="45">
        <f t="shared" si="0"/>
        <v>831</v>
      </c>
      <c r="W17" s="45" cm="1">
        <f t="array" ref="W17">_xlfn.IFS(V17&gt;$V$63, 3,V17=$V$63, 3, V17&lt;$V$62, 1, V17&gt;$V$62, 2, V17=$V$62, 2)</f>
        <v>1</v>
      </c>
      <c r="X17" s="44">
        <v>78</v>
      </c>
      <c r="Y17" s="44">
        <v>693</v>
      </c>
      <c r="Z17" s="44" t="s">
        <v>542</v>
      </c>
      <c r="AA17" s="44">
        <v>730</v>
      </c>
      <c r="AB17" s="44">
        <v>3172</v>
      </c>
      <c r="AC17" s="44" t="s">
        <v>542</v>
      </c>
      <c r="AD17" s="62">
        <f t="shared" si="4"/>
        <v>4673</v>
      </c>
      <c r="AE17" s="46" cm="1">
        <f t="array" ref="AE17">_xlfn.IFS(AD17&gt;$AD$63, 3,AD17=$AD$63, 3, AD17&lt;$AD$62, 1, AD17&gt;$AD$62, 2, AD17=$AD$62, 2)</f>
        <v>1</v>
      </c>
      <c r="AF17" s="44">
        <v>168</v>
      </c>
      <c r="AG17" s="44">
        <v>78</v>
      </c>
      <c r="AH17" s="44">
        <v>693</v>
      </c>
      <c r="AI17" s="44" t="s">
        <v>542</v>
      </c>
      <c r="AJ17" s="47">
        <f t="shared" si="5"/>
        <v>939</v>
      </c>
      <c r="AK17" s="47" cm="1">
        <f t="array" ref="AK17">_xlfn.IFS(AJ17&gt;$AJ$63, 3, AJ17=$AJ$63, 3, AJ17&lt;$AJ$62, 1, AJ17&gt;$AJ$62, 2, AJ17=$AJ$62, 2)</f>
        <v>1</v>
      </c>
      <c r="AL17" s="48" t="s">
        <v>542</v>
      </c>
      <c r="AM17" s="44">
        <v>60</v>
      </c>
      <c r="AN17" s="45">
        <f t="shared" si="1"/>
        <v>60</v>
      </c>
      <c r="AO17" s="45" cm="1">
        <f t="array" ref="AO17">_xlfn.IFS(AN17&gt;$AN$63, 3, AN17=$AN$63, 3, AN17&lt;$AN$62, 1, AN17&gt;$AN$62, 2, AN17=$AN$62, 2)</f>
        <v>1</v>
      </c>
      <c r="AP17" s="44">
        <v>3172</v>
      </c>
      <c r="AQ17" s="44" t="s">
        <v>542</v>
      </c>
      <c r="AR17" s="44">
        <v>5456</v>
      </c>
      <c r="AS17" s="44">
        <v>315</v>
      </c>
      <c r="AT17" s="44">
        <v>2818</v>
      </c>
      <c r="AU17" s="44">
        <v>59</v>
      </c>
      <c r="AV17" s="44">
        <v>168</v>
      </c>
      <c r="AW17" s="44" t="s">
        <v>542</v>
      </c>
      <c r="AX17" s="46">
        <f t="shared" si="6"/>
        <v>11988</v>
      </c>
      <c r="AY17" s="46" cm="1">
        <f t="array" ref="AY17">_xlfn.IFS(AX17&gt;$AX$63, 3, AX17=$AX$63, 3, AX17&lt;$AX$62, 1, AX17&gt;$AX$62, 2, AX17=$AX$62, 2)</f>
        <v>1</v>
      </c>
      <c r="AZ17" s="44">
        <v>2114</v>
      </c>
      <c r="BA17" s="44" t="s">
        <v>542</v>
      </c>
      <c r="BB17" s="44" t="s">
        <v>542</v>
      </c>
      <c r="BC17" s="44">
        <v>1128</v>
      </c>
      <c r="BD17" s="44">
        <v>730</v>
      </c>
      <c r="BE17" s="44">
        <v>3172</v>
      </c>
      <c r="BF17" s="47">
        <f t="shared" si="7"/>
        <v>7144</v>
      </c>
      <c r="BG17" s="47" cm="1">
        <f t="array" ref="BG17">_xlfn.IFS(BF17&gt;$BF$63, 3, BF17=$BF$63, 3, BF17&lt;$BF$62, 1, BF17&gt;$BF$62, 2, BF17=$BF$62, 2)</f>
        <v>1</v>
      </c>
      <c r="BH17" s="340">
        <f t="shared" si="8"/>
        <v>1</v>
      </c>
    </row>
    <row r="18" spans="1:60">
      <c r="A18" s="39" t="s">
        <v>101</v>
      </c>
      <c r="B18" s="44">
        <v>33601</v>
      </c>
      <c r="C18" s="44">
        <v>28299</v>
      </c>
      <c r="D18" s="44">
        <v>689</v>
      </c>
      <c r="E18" s="44">
        <v>26153</v>
      </c>
      <c r="F18" s="44">
        <v>11472</v>
      </c>
      <c r="G18" s="44">
        <v>64</v>
      </c>
      <c r="H18" s="46">
        <f t="shared" si="2"/>
        <v>100278</v>
      </c>
      <c r="I18" s="46" cm="1">
        <f t="array" ref="I18">_xlfn.IFS(H18&gt;$H$63, 3, H18=$H$63, 3, H18&lt;$H$62, 1, H18&gt;$H$62, 2, H18=$H$62, 2)</f>
        <v>3</v>
      </c>
      <c r="J18" s="44">
        <v>26153</v>
      </c>
      <c r="K18" s="44">
        <v>689</v>
      </c>
      <c r="L18" s="44">
        <v>33601</v>
      </c>
      <c r="M18" s="44">
        <v>28299</v>
      </c>
      <c r="N18" s="44">
        <v>11472</v>
      </c>
      <c r="O18" s="44">
        <v>64</v>
      </c>
      <c r="P18" s="47">
        <f t="shared" si="3"/>
        <v>100278</v>
      </c>
      <c r="Q18" s="47" cm="1">
        <f t="array" ref="Q18">_xlfn.IFS(P18&gt;$P$63, 3, P18=$P$63, 3, P18&lt;$P$62, 1, P18&gt;$P$62, 2, P18=$P$62, 2)</f>
        <v>3</v>
      </c>
      <c r="R18" s="44">
        <v>3438</v>
      </c>
      <c r="S18" s="44">
        <v>24949</v>
      </c>
      <c r="T18" s="44">
        <v>19260</v>
      </c>
      <c r="U18" s="44">
        <v>689</v>
      </c>
      <c r="V18" s="45">
        <f t="shared" si="0"/>
        <v>48336</v>
      </c>
      <c r="W18" s="45" cm="1">
        <f t="array" ref="W18">_xlfn.IFS(V18&gt;$V$63, 3,V18=$V$63, 3, V18&lt;$V$62, 1, V18&gt;$V$62, 2, V18=$V$62, 2)</f>
        <v>3</v>
      </c>
      <c r="X18" s="44">
        <v>3438</v>
      </c>
      <c r="Y18" s="44">
        <v>24949</v>
      </c>
      <c r="Z18" s="44">
        <v>689</v>
      </c>
      <c r="AA18" s="44">
        <v>33601</v>
      </c>
      <c r="AB18" s="44">
        <v>28299</v>
      </c>
      <c r="AC18" s="44">
        <v>64</v>
      </c>
      <c r="AD18" s="62">
        <f t="shared" si="4"/>
        <v>91040</v>
      </c>
      <c r="AE18" s="46" cm="1">
        <f t="array" ref="AE18">_xlfn.IFS(AD18&gt;$AD$63, 3,AD18=$AD$63, 3, AD18&lt;$AD$62, 1, AD18&gt;$AD$62, 2, AD18=$AD$62, 2)</f>
        <v>3</v>
      </c>
      <c r="AF18" s="44">
        <v>12898</v>
      </c>
      <c r="AG18" s="44">
        <v>3438</v>
      </c>
      <c r="AH18" s="44">
        <v>24949</v>
      </c>
      <c r="AI18" s="44">
        <v>689</v>
      </c>
      <c r="AJ18" s="47">
        <f t="shared" si="5"/>
        <v>41974</v>
      </c>
      <c r="AK18" s="47" cm="1">
        <f t="array" ref="AK18">_xlfn.IFS(AJ18&gt;$AJ$63, 3, AJ18=$AJ$63, 3, AJ18&lt;$AJ$62, 1, AJ18&gt;$AJ$62, 2, AJ18=$AJ$62, 2)</f>
        <v>3</v>
      </c>
      <c r="AL18" s="48">
        <v>629</v>
      </c>
      <c r="AM18" s="44">
        <v>19260</v>
      </c>
      <c r="AN18" s="45">
        <f t="shared" si="1"/>
        <v>19889</v>
      </c>
      <c r="AO18" s="45" cm="1">
        <f t="array" ref="AO18">_xlfn.IFS(AN18&gt;$AN$63, 3, AN18=$AN$63, 3, AN18&lt;$AN$62, 1, AN18&gt;$AN$62, 2, AN18=$AN$62, 2)</f>
        <v>3</v>
      </c>
      <c r="AP18" s="44">
        <v>28299</v>
      </c>
      <c r="AQ18" s="44">
        <v>689</v>
      </c>
      <c r="AR18" s="44">
        <v>130852</v>
      </c>
      <c r="AS18" s="44">
        <v>15094</v>
      </c>
      <c r="AT18" s="44">
        <v>82488</v>
      </c>
      <c r="AU18" s="44">
        <v>984</v>
      </c>
      <c r="AV18" s="44">
        <v>12898</v>
      </c>
      <c r="AW18" s="44">
        <v>1976</v>
      </c>
      <c r="AX18" s="46">
        <f t="shared" si="6"/>
        <v>273280</v>
      </c>
      <c r="AY18" s="46" cm="1">
        <f t="array" ref="AY18">_xlfn.IFS(AX18&gt;$AX$63, 3, AX18=$AX$63, 3, AX18&lt;$AX$62, 1, AX18&gt;$AX$62, 2, AX18=$AX$62, 2)</f>
        <v>3</v>
      </c>
      <c r="AZ18" s="44">
        <v>26153</v>
      </c>
      <c r="BA18" s="44">
        <v>64</v>
      </c>
      <c r="BB18" s="44">
        <v>689</v>
      </c>
      <c r="BC18" s="44">
        <v>11472</v>
      </c>
      <c r="BD18" s="44">
        <v>33601</v>
      </c>
      <c r="BE18" s="44">
        <v>28299</v>
      </c>
      <c r="BF18" s="47">
        <f t="shared" si="7"/>
        <v>100278</v>
      </c>
      <c r="BG18" s="47" cm="1">
        <f t="array" ref="BG18">_xlfn.IFS(BF18&gt;$BF$63, 3, BF18=$BF$63, 3, BF18&lt;$BF$62, 1, BF18&gt;$BF$62, 2, BF18=$BF$62, 2)</f>
        <v>3</v>
      </c>
      <c r="BH18" s="340">
        <f t="shared" si="8"/>
        <v>3</v>
      </c>
    </row>
    <row r="19" spans="1:60">
      <c r="A19" s="39" t="s">
        <v>104</v>
      </c>
      <c r="B19" s="44">
        <v>27042</v>
      </c>
      <c r="C19" s="44">
        <v>23796</v>
      </c>
      <c r="D19" s="44">
        <v>551</v>
      </c>
      <c r="E19" s="44">
        <v>21040</v>
      </c>
      <c r="F19" s="44">
        <v>23796</v>
      </c>
      <c r="G19" s="44">
        <v>73</v>
      </c>
      <c r="H19" s="46">
        <f t="shared" si="2"/>
        <v>96298</v>
      </c>
      <c r="I19" s="46" cm="1">
        <f t="array" ref="I19">_xlfn.IFS(H19&gt;$H$63, 3, H19=$H$63, 3, H19&lt;$H$62, 1, H19&gt;$H$62, 2, H19=$H$62, 2)</f>
        <v>3</v>
      </c>
      <c r="J19" s="44">
        <v>21040</v>
      </c>
      <c r="K19" s="44">
        <v>551</v>
      </c>
      <c r="L19" s="44">
        <v>27042</v>
      </c>
      <c r="M19" s="44">
        <v>23796</v>
      </c>
      <c r="N19" s="44">
        <v>23796</v>
      </c>
      <c r="O19" s="44">
        <v>73</v>
      </c>
      <c r="P19" s="47">
        <f t="shared" si="3"/>
        <v>96298</v>
      </c>
      <c r="Q19" s="47" cm="1">
        <f t="array" ref="Q19">_xlfn.IFS(P19&gt;$P$63, 3, P19=$P$63, 3, P19&lt;$P$62, 1, P19&gt;$P$62, 2, P19=$P$62, 2)</f>
        <v>3</v>
      </c>
      <c r="R19" s="44">
        <v>5270</v>
      </c>
      <c r="S19" s="44">
        <v>15880</v>
      </c>
      <c r="T19" s="44">
        <v>399</v>
      </c>
      <c r="U19" s="44">
        <v>551</v>
      </c>
      <c r="V19" s="45">
        <f t="shared" si="0"/>
        <v>22100</v>
      </c>
      <c r="W19" s="45" cm="1">
        <f t="array" ref="W19">_xlfn.IFS(V19&gt;$V$63, 3,V19=$V$63, 3, V19&lt;$V$62, 1, V19&gt;$V$62, 2, V19=$V$62, 2)</f>
        <v>3</v>
      </c>
      <c r="X19" s="44">
        <v>5270</v>
      </c>
      <c r="Y19" s="44">
        <v>15880</v>
      </c>
      <c r="Z19" s="44">
        <v>551</v>
      </c>
      <c r="AA19" s="44">
        <v>27042</v>
      </c>
      <c r="AB19" s="44">
        <v>23796</v>
      </c>
      <c r="AC19" s="44">
        <v>73</v>
      </c>
      <c r="AD19" s="62">
        <f t="shared" si="4"/>
        <v>72612</v>
      </c>
      <c r="AE19" s="46" cm="1">
        <f t="array" ref="AE19">_xlfn.IFS(AD19&gt;$AD$63, 3,AD19=$AD$63, 3, AD19&lt;$AD$62, 1, AD19&gt;$AD$62, 2, AD19=$AD$62, 2)</f>
        <v>3</v>
      </c>
      <c r="AF19" s="44">
        <v>5871</v>
      </c>
      <c r="AG19" s="44">
        <v>5270</v>
      </c>
      <c r="AH19" s="44">
        <v>15880</v>
      </c>
      <c r="AI19" s="44">
        <v>551</v>
      </c>
      <c r="AJ19" s="47">
        <f t="shared" si="5"/>
        <v>27572</v>
      </c>
      <c r="AK19" s="47" cm="1">
        <f t="array" ref="AK19">_xlfn.IFS(AJ19&gt;$AJ$63, 3, AJ19=$AJ$63, 3, AJ19&lt;$AJ$62, 1, AJ19&gt;$AJ$62, 2, AJ19=$AJ$62, 2)</f>
        <v>3</v>
      </c>
      <c r="AL19" s="48">
        <v>61</v>
      </c>
      <c r="AM19" s="44">
        <v>399</v>
      </c>
      <c r="AN19" s="45">
        <f t="shared" si="1"/>
        <v>460</v>
      </c>
      <c r="AO19" s="45" cm="1">
        <f t="array" ref="AO19">_xlfn.IFS(AN19&gt;$AN$63, 3, AN19=$AN$63, 3, AN19&lt;$AN$62, 1, AN19&gt;$AN$62, 2, AN19=$AN$62, 2)</f>
        <v>2</v>
      </c>
      <c r="AP19" s="44">
        <v>23796</v>
      </c>
      <c r="AQ19" s="44">
        <v>551</v>
      </c>
      <c r="AR19" s="44">
        <v>52121</v>
      </c>
      <c r="AS19" s="44">
        <v>21464</v>
      </c>
      <c r="AT19" s="44">
        <v>33142</v>
      </c>
      <c r="AU19" s="44">
        <v>868</v>
      </c>
      <c r="AV19" s="44">
        <v>5871</v>
      </c>
      <c r="AW19" s="44">
        <v>4172</v>
      </c>
      <c r="AX19" s="46">
        <f t="shared" si="6"/>
        <v>141985</v>
      </c>
      <c r="AY19" s="46" cm="1">
        <f t="array" ref="AY19">_xlfn.IFS(AX19&gt;$AX$63, 3, AX19=$AX$63, 3, AX19&lt;$AX$62, 1, AX19&gt;$AX$62, 2, AX19=$AX$62, 2)</f>
        <v>3</v>
      </c>
      <c r="AZ19" s="44">
        <v>21040</v>
      </c>
      <c r="BA19" s="44">
        <v>73</v>
      </c>
      <c r="BB19" s="44">
        <v>551</v>
      </c>
      <c r="BC19" s="44">
        <v>23796</v>
      </c>
      <c r="BD19" s="44">
        <v>27042</v>
      </c>
      <c r="BE19" s="44">
        <v>23796</v>
      </c>
      <c r="BF19" s="47">
        <f t="shared" si="7"/>
        <v>96298</v>
      </c>
      <c r="BG19" s="47" cm="1">
        <f t="array" ref="BG19">_xlfn.IFS(BF19&gt;$BF$63, 3, BF19=$BF$63, 3, BF19&lt;$BF$62, 1, BF19&gt;$BF$62, 2, BF19=$BF$62, 2)</f>
        <v>3</v>
      </c>
      <c r="BH19" s="340">
        <f t="shared" si="8"/>
        <v>2.875</v>
      </c>
    </row>
    <row r="20" spans="1:60">
      <c r="A20" s="39" t="s">
        <v>106</v>
      </c>
      <c r="B20" s="44" t="s">
        <v>542</v>
      </c>
      <c r="C20" s="44">
        <v>410</v>
      </c>
      <c r="D20" s="44" t="s">
        <v>542</v>
      </c>
      <c r="E20" s="44">
        <v>3679</v>
      </c>
      <c r="F20" s="44" t="s">
        <v>542</v>
      </c>
      <c r="G20" s="44" t="s">
        <v>542</v>
      </c>
      <c r="H20" s="46">
        <f t="shared" si="2"/>
        <v>4089</v>
      </c>
      <c r="I20" s="46" cm="1">
        <f t="array" ref="I20">_xlfn.IFS(H20&gt;$H$63, 3, H20=$H$63, 3, H20&lt;$H$62, 1, H20&gt;$H$62, 2, H20=$H$62, 2)</f>
        <v>1</v>
      </c>
      <c r="J20" s="44">
        <v>3679</v>
      </c>
      <c r="K20" s="44" t="s">
        <v>542</v>
      </c>
      <c r="L20" s="44" t="s">
        <v>542</v>
      </c>
      <c r="M20" s="44">
        <v>410</v>
      </c>
      <c r="N20" s="44" t="s">
        <v>542</v>
      </c>
      <c r="O20" s="44" t="s">
        <v>542</v>
      </c>
      <c r="P20" s="47">
        <f t="shared" si="3"/>
        <v>4089</v>
      </c>
      <c r="Q20" s="47" cm="1">
        <f t="array" ref="Q20">_xlfn.IFS(P20&gt;$P$63, 3, P20=$P$63, 3, P20&lt;$P$62, 1, P20&gt;$P$62, 2, P20=$P$62, 2)</f>
        <v>1</v>
      </c>
      <c r="R20" s="44" t="s">
        <v>542</v>
      </c>
      <c r="S20" s="44">
        <v>739</v>
      </c>
      <c r="T20" s="44">
        <v>1568</v>
      </c>
      <c r="U20" s="44" t="s">
        <v>542</v>
      </c>
      <c r="V20" s="45">
        <f t="shared" si="0"/>
        <v>2307</v>
      </c>
      <c r="W20" s="45" cm="1">
        <f t="array" ref="W20">_xlfn.IFS(V20&gt;$V$63, 3,V20=$V$63, 3, V20&lt;$V$62, 1, V20&gt;$V$62, 2, V20=$V$62, 2)</f>
        <v>1</v>
      </c>
      <c r="X20" s="44" t="s">
        <v>542</v>
      </c>
      <c r="Y20" s="44">
        <v>739</v>
      </c>
      <c r="Z20" s="44" t="s">
        <v>542</v>
      </c>
      <c r="AA20" s="44" t="s">
        <v>542</v>
      </c>
      <c r="AB20" s="44">
        <v>410</v>
      </c>
      <c r="AC20" s="44" t="s">
        <v>542</v>
      </c>
      <c r="AD20" s="62">
        <f t="shared" si="4"/>
        <v>1149</v>
      </c>
      <c r="AE20" s="46" cm="1">
        <f t="array" ref="AE20">_xlfn.IFS(AD20&gt;$AD$63, 3,AD20=$AD$63, 3, AD20&lt;$AD$62, 1, AD20&gt;$AD$62, 2, AD20=$AD$62, 2)</f>
        <v>1</v>
      </c>
      <c r="AF20" s="44">
        <v>532</v>
      </c>
      <c r="AG20" s="44" t="s">
        <v>542</v>
      </c>
      <c r="AH20" s="44">
        <v>739</v>
      </c>
      <c r="AI20" s="44" t="s">
        <v>542</v>
      </c>
      <c r="AJ20" s="47">
        <f t="shared" si="5"/>
        <v>1271</v>
      </c>
      <c r="AK20" s="47" cm="1">
        <f t="array" ref="AK20">_xlfn.IFS(AJ20&gt;$AJ$63, 3, AJ20=$AJ$63, 3, AJ20&lt;$AJ$62, 1, AJ20&gt;$AJ$62, 2, AJ20=$AJ$62, 2)</f>
        <v>1</v>
      </c>
      <c r="AL20" s="48">
        <v>430</v>
      </c>
      <c r="AM20" s="44">
        <v>1568</v>
      </c>
      <c r="AN20" s="45">
        <f t="shared" si="1"/>
        <v>1998</v>
      </c>
      <c r="AO20" s="45" cm="1">
        <f t="array" ref="AO20">_xlfn.IFS(AN20&gt;$AN$63, 3, AN20=$AN$63, 3, AN20&lt;$AN$62, 1, AN20&gt;$AN$62, 2, AN20=$AN$62, 2)</f>
        <v>3</v>
      </c>
      <c r="AP20" s="44">
        <v>410</v>
      </c>
      <c r="AQ20" s="44" t="s">
        <v>542</v>
      </c>
      <c r="AR20" s="44">
        <v>11894</v>
      </c>
      <c r="AS20" s="44" t="s">
        <v>542</v>
      </c>
      <c r="AT20" s="44">
        <v>4517</v>
      </c>
      <c r="AU20" s="44">
        <v>179</v>
      </c>
      <c r="AV20" s="44">
        <v>532</v>
      </c>
      <c r="AW20" s="44">
        <v>24</v>
      </c>
      <c r="AX20" s="46">
        <f t="shared" si="6"/>
        <v>17556</v>
      </c>
      <c r="AY20" s="46" cm="1">
        <f t="array" ref="AY20">_xlfn.IFS(AX20&gt;$AX$63, 3, AX20=$AX$63, 3, AX20&lt;$AX$62, 1, AX20&gt;$AX$62, 2, AX20=$AX$62, 2)</f>
        <v>1</v>
      </c>
      <c r="AZ20" s="44">
        <v>3679</v>
      </c>
      <c r="BA20" s="44" t="s">
        <v>542</v>
      </c>
      <c r="BB20" s="44" t="s">
        <v>542</v>
      </c>
      <c r="BC20" s="44" t="s">
        <v>542</v>
      </c>
      <c r="BD20" s="44" t="s">
        <v>542</v>
      </c>
      <c r="BE20" s="44">
        <v>410</v>
      </c>
      <c r="BF20" s="47">
        <f t="shared" si="7"/>
        <v>4089</v>
      </c>
      <c r="BG20" s="47" cm="1">
        <f t="array" ref="BG20">_xlfn.IFS(BF20&gt;$BF$63, 3, BF20=$BF$63, 3, BF20&lt;$BF$62, 1, BF20&gt;$BF$62, 2, BF20=$BF$62, 2)</f>
        <v>1</v>
      </c>
      <c r="BH20" s="340">
        <f t="shared" si="8"/>
        <v>1.25</v>
      </c>
    </row>
    <row r="21" spans="1:60">
      <c r="A21" s="39" t="s">
        <v>108</v>
      </c>
      <c r="B21" s="44">
        <v>4684</v>
      </c>
      <c r="C21" s="44">
        <v>3307</v>
      </c>
      <c r="D21" s="44">
        <v>335</v>
      </c>
      <c r="E21" s="44">
        <v>3409</v>
      </c>
      <c r="F21" s="44">
        <v>2155</v>
      </c>
      <c r="G21" s="44">
        <v>18</v>
      </c>
      <c r="H21" s="46">
        <f t="shared" si="2"/>
        <v>13908</v>
      </c>
      <c r="I21" s="46" cm="1">
        <f t="array" ref="I21">_xlfn.IFS(H21&gt;$H$63, 3, H21=$H$63, 3, H21&lt;$H$62, 1, H21&gt;$H$62, 2, H21=$H$62, 2)</f>
        <v>1</v>
      </c>
      <c r="J21" s="44">
        <v>3409</v>
      </c>
      <c r="K21" s="44">
        <v>335</v>
      </c>
      <c r="L21" s="44">
        <v>4684</v>
      </c>
      <c r="M21" s="44">
        <v>3307</v>
      </c>
      <c r="N21" s="44">
        <v>2155</v>
      </c>
      <c r="O21" s="44">
        <v>18</v>
      </c>
      <c r="P21" s="47">
        <f t="shared" si="3"/>
        <v>13908</v>
      </c>
      <c r="Q21" s="47" cm="1">
        <f t="array" ref="Q21">_xlfn.IFS(P21&gt;$P$63, 3, P21=$P$63, 3, P21&lt;$P$62, 1, P21&gt;$P$62, 2, P21=$P$62, 2)</f>
        <v>1</v>
      </c>
      <c r="R21" s="44">
        <v>2506</v>
      </c>
      <c r="S21" s="44">
        <v>2080</v>
      </c>
      <c r="T21" s="44" t="s">
        <v>542</v>
      </c>
      <c r="U21" s="44">
        <v>335</v>
      </c>
      <c r="V21" s="45">
        <f t="shared" si="0"/>
        <v>4921</v>
      </c>
      <c r="W21" s="45" cm="1">
        <f t="array" ref="W21">_xlfn.IFS(V21&gt;$V$63, 3,V21=$V$63, 3, V21&lt;$V$62, 1, V21&gt;$V$62, 2, V21=$V$62, 2)</f>
        <v>1</v>
      </c>
      <c r="X21" s="44">
        <v>2506</v>
      </c>
      <c r="Y21" s="44">
        <v>2080</v>
      </c>
      <c r="Z21" s="44">
        <v>335</v>
      </c>
      <c r="AA21" s="44">
        <v>4684</v>
      </c>
      <c r="AB21" s="44">
        <v>3307</v>
      </c>
      <c r="AC21" s="44">
        <v>18</v>
      </c>
      <c r="AD21" s="62">
        <f t="shared" si="4"/>
        <v>12930</v>
      </c>
      <c r="AE21" s="46" cm="1">
        <f t="array" ref="AE21">_xlfn.IFS(AD21&gt;$AD$63, 3,AD21=$AD$63, 3, AD21&lt;$AD$62, 1, AD21&gt;$AD$62, 2, AD21=$AD$62, 2)</f>
        <v>1</v>
      </c>
      <c r="AF21" s="44">
        <v>3978</v>
      </c>
      <c r="AG21" s="44">
        <v>2506</v>
      </c>
      <c r="AH21" s="44">
        <v>2080</v>
      </c>
      <c r="AI21" s="44">
        <v>335</v>
      </c>
      <c r="AJ21" s="47">
        <f t="shared" si="5"/>
        <v>8899</v>
      </c>
      <c r="AK21" s="47" cm="1">
        <f t="array" ref="AK21">_xlfn.IFS(AJ21&gt;$AJ$63, 3, AJ21=$AJ$63, 3, AJ21&lt;$AJ$62, 1, AJ21&gt;$AJ$62, 2, AJ21=$AJ$62, 2)</f>
        <v>1</v>
      </c>
      <c r="AL21" s="48">
        <v>200</v>
      </c>
      <c r="AM21" s="44" t="s">
        <v>542</v>
      </c>
      <c r="AN21" s="45">
        <f t="shared" si="1"/>
        <v>200</v>
      </c>
      <c r="AO21" s="45" cm="1">
        <f t="array" ref="AO21">_xlfn.IFS(AN21&gt;$AN$63, 3, AN21=$AN$63, 3, AN21&lt;$AN$62, 1, AN21&gt;$AN$62, 2, AN21=$AN$62, 2)</f>
        <v>2</v>
      </c>
      <c r="AP21" s="44">
        <v>3307</v>
      </c>
      <c r="AQ21" s="44">
        <v>335</v>
      </c>
      <c r="AR21" s="44">
        <v>16319</v>
      </c>
      <c r="AS21" s="44">
        <v>6655</v>
      </c>
      <c r="AT21" s="44">
        <v>7299</v>
      </c>
      <c r="AU21" s="44">
        <v>148</v>
      </c>
      <c r="AV21" s="44">
        <v>3978</v>
      </c>
      <c r="AW21" s="44">
        <v>1160</v>
      </c>
      <c r="AX21" s="46">
        <f t="shared" si="6"/>
        <v>39201</v>
      </c>
      <c r="AY21" s="46" cm="1">
        <f t="array" ref="AY21">_xlfn.IFS(AX21&gt;$AX$63, 3, AX21=$AX$63, 3, AX21&lt;$AX$62, 1, AX21&gt;$AX$62, 2, AX21=$AX$62, 2)</f>
        <v>1</v>
      </c>
      <c r="AZ21" s="44">
        <v>3409</v>
      </c>
      <c r="BA21" s="44">
        <v>18</v>
      </c>
      <c r="BB21" s="44">
        <v>335</v>
      </c>
      <c r="BC21" s="44">
        <v>2155</v>
      </c>
      <c r="BD21" s="44">
        <v>4684</v>
      </c>
      <c r="BE21" s="44">
        <v>3307</v>
      </c>
      <c r="BF21" s="47">
        <f t="shared" si="7"/>
        <v>13908</v>
      </c>
      <c r="BG21" s="47" cm="1">
        <f t="array" ref="BG21">_xlfn.IFS(BF21&gt;$BF$63, 3, BF21=$BF$63, 3, BF21&lt;$BF$62, 1, BF21&gt;$BF$62, 2, BF21=$BF$62, 2)</f>
        <v>1</v>
      </c>
      <c r="BH21" s="340">
        <f t="shared" si="8"/>
        <v>1.125</v>
      </c>
    </row>
    <row r="22" spans="1:60">
      <c r="A22" s="39" t="s">
        <v>110</v>
      </c>
      <c r="B22" s="44">
        <v>70211</v>
      </c>
      <c r="C22" s="44">
        <v>47451</v>
      </c>
      <c r="D22" s="44">
        <v>1318</v>
      </c>
      <c r="E22" s="44">
        <v>25027</v>
      </c>
      <c r="F22" s="44">
        <v>20760</v>
      </c>
      <c r="G22" s="44">
        <v>732</v>
      </c>
      <c r="H22" s="46">
        <f t="shared" si="2"/>
        <v>165499</v>
      </c>
      <c r="I22" s="46" cm="1">
        <f t="array" ref="I22">_xlfn.IFS(H22&gt;$H$63, 3, H22=$H$63, 3, H22&lt;$H$62, 1, H22&gt;$H$62, 2, H22=$H$62, 2)</f>
        <v>3</v>
      </c>
      <c r="J22" s="44">
        <v>25027</v>
      </c>
      <c r="K22" s="44">
        <v>1318</v>
      </c>
      <c r="L22" s="44">
        <v>70211</v>
      </c>
      <c r="M22" s="44">
        <v>47451</v>
      </c>
      <c r="N22" s="44">
        <v>20760</v>
      </c>
      <c r="O22" s="44">
        <v>732</v>
      </c>
      <c r="P22" s="47">
        <f t="shared" si="3"/>
        <v>165499</v>
      </c>
      <c r="Q22" s="47" cm="1">
        <f t="array" ref="Q22">_xlfn.IFS(P22&gt;$P$63, 3, P22=$P$63, 3, P22&lt;$P$62, 1, P22&gt;$P$62, 2, P22=$P$62, 2)</f>
        <v>3</v>
      </c>
      <c r="R22" s="44">
        <v>5101</v>
      </c>
      <c r="S22" s="44">
        <v>12966</v>
      </c>
      <c r="T22" s="44">
        <v>1797</v>
      </c>
      <c r="U22" s="44">
        <v>1318</v>
      </c>
      <c r="V22" s="45">
        <f t="shared" si="0"/>
        <v>21182</v>
      </c>
      <c r="W22" s="45" cm="1">
        <f t="array" ref="W22">_xlfn.IFS(V22&gt;$V$63, 3,V22=$V$63, 3, V22&lt;$V$62, 1, V22&gt;$V$62, 2, V22=$V$62, 2)</f>
        <v>3</v>
      </c>
      <c r="X22" s="44">
        <v>5101</v>
      </c>
      <c r="Y22" s="44">
        <v>12966</v>
      </c>
      <c r="Z22" s="44">
        <v>1318</v>
      </c>
      <c r="AA22" s="44">
        <v>70211</v>
      </c>
      <c r="AB22" s="44">
        <v>47451</v>
      </c>
      <c r="AC22" s="44">
        <v>732</v>
      </c>
      <c r="AD22" s="62">
        <f t="shared" si="4"/>
        <v>137779</v>
      </c>
      <c r="AE22" s="46" cm="1">
        <f t="array" ref="AE22">_xlfn.IFS(AD22&gt;$AD$63, 3,AD22=$AD$63, 3, AD22&lt;$AD$62, 1, AD22&gt;$AD$62, 2, AD22=$AD$62, 2)</f>
        <v>3</v>
      </c>
      <c r="AF22" s="44">
        <v>3528</v>
      </c>
      <c r="AG22" s="44">
        <v>5101</v>
      </c>
      <c r="AH22" s="44">
        <v>12966</v>
      </c>
      <c r="AI22" s="44">
        <v>1318</v>
      </c>
      <c r="AJ22" s="47">
        <f t="shared" si="5"/>
        <v>22913</v>
      </c>
      <c r="AK22" s="47" cm="1">
        <f t="array" ref="AK22">_xlfn.IFS(AJ22&gt;$AJ$63, 3, AJ22=$AJ$63, 3, AJ22&lt;$AJ$62, 1, AJ22&gt;$AJ$62, 2, AJ22=$AJ$62, 2)</f>
        <v>3</v>
      </c>
      <c r="AL22" s="48">
        <v>27</v>
      </c>
      <c r="AM22" s="44">
        <v>1797</v>
      </c>
      <c r="AN22" s="45">
        <f t="shared" si="1"/>
        <v>1824</v>
      </c>
      <c r="AO22" s="45" cm="1">
        <f t="array" ref="AO22">_xlfn.IFS(AN22&gt;$AN$63, 3, AN22=$AN$63, 3, AN22&lt;$AN$62, 1, AN22&gt;$AN$62, 2, AN22=$AN$62, 2)</f>
        <v>3</v>
      </c>
      <c r="AP22" s="44">
        <v>47451</v>
      </c>
      <c r="AQ22" s="44">
        <v>1318</v>
      </c>
      <c r="AR22" s="44">
        <v>50101</v>
      </c>
      <c r="AS22" s="44">
        <v>7386</v>
      </c>
      <c r="AT22" s="44">
        <v>27702</v>
      </c>
      <c r="AU22" s="44">
        <v>2678</v>
      </c>
      <c r="AV22" s="44">
        <v>3528</v>
      </c>
      <c r="AW22" s="44">
        <v>194</v>
      </c>
      <c r="AX22" s="46">
        <f t="shared" si="6"/>
        <v>140358</v>
      </c>
      <c r="AY22" s="46" cm="1">
        <f t="array" ref="AY22">_xlfn.IFS(AX22&gt;$AX$63, 3, AX22=$AX$63, 3, AX22&lt;$AX$62, 1, AX22&gt;$AX$62, 2, AX22=$AX$62, 2)</f>
        <v>3</v>
      </c>
      <c r="AZ22" s="44">
        <v>25027</v>
      </c>
      <c r="BA22" s="44">
        <v>732</v>
      </c>
      <c r="BB22" s="44">
        <v>1318</v>
      </c>
      <c r="BC22" s="44">
        <v>20760</v>
      </c>
      <c r="BD22" s="44">
        <v>70211</v>
      </c>
      <c r="BE22" s="44">
        <v>47451</v>
      </c>
      <c r="BF22" s="47">
        <f t="shared" si="7"/>
        <v>165499</v>
      </c>
      <c r="BG22" s="47" cm="1">
        <f t="array" ref="BG22">_xlfn.IFS(BF22&gt;$BF$63, 3, BF22=$BF$63, 3, BF22&lt;$BF$62, 1, BF22&gt;$BF$62, 2, BF22=$BF$62, 2)</f>
        <v>3</v>
      </c>
      <c r="BH22" s="340">
        <f t="shared" si="8"/>
        <v>3</v>
      </c>
    </row>
    <row r="23" spans="1:60">
      <c r="A23" s="39" t="s">
        <v>112</v>
      </c>
      <c r="B23" s="44">
        <v>45079</v>
      </c>
      <c r="C23" s="44">
        <v>36718</v>
      </c>
      <c r="D23" s="44">
        <v>574</v>
      </c>
      <c r="E23" s="44">
        <v>13274</v>
      </c>
      <c r="F23" s="44">
        <v>7730</v>
      </c>
      <c r="G23" s="44">
        <v>87</v>
      </c>
      <c r="H23" s="46">
        <f t="shared" si="2"/>
        <v>103462</v>
      </c>
      <c r="I23" s="46" cm="1">
        <f t="array" ref="I23">_xlfn.IFS(H23&gt;$H$63, 3, H23=$H$63, 3, H23&lt;$H$62, 1, H23&gt;$H$62, 2, H23=$H$62, 2)</f>
        <v>3</v>
      </c>
      <c r="J23" s="44">
        <v>13274</v>
      </c>
      <c r="K23" s="44">
        <v>574</v>
      </c>
      <c r="L23" s="44">
        <v>45079</v>
      </c>
      <c r="M23" s="44">
        <v>36718</v>
      </c>
      <c r="N23" s="44">
        <v>7730</v>
      </c>
      <c r="O23" s="44">
        <v>87</v>
      </c>
      <c r="P23" s="47">
        <f t="shared" si="3"/>
        <v>103462</v>
      </c>
      <c r="Q23" s="47" cm="1">
        <f t="array" ref="Q23">_xlfn.IFS(P23&gt;$P$63, 3, P23=$P$63, 3, P23&lt;$P$62, 1, P23&gt;$P$62, 2, P23=$P$62, 2)</f>
        <v>3</v>
      </c>
      <c r="R23" s="44">
        <v>4851</v>
      </c>
      <c r="S23" s="44">
        <v>12897</v>
      </c>
      <c r="T23" s="44" t="s">
        <v>542</v>
      </c>
      <c r="U23" s="44">
        <v>574</v>
      </c>
      <c r="V23" s="45">
        <f t="shared" si="0"/>
        <v>18322</v>
      </c>
      <c r="W23" s="45" cm="1">
        <f t="array" ref="W23">_xlfn.IFS(V23&gt;$V$63, 3,V23=$V$63, 3, V23&lt;$V$62, 1, V23&gt;$V$62, 2, V23=$V$62, 2)</f>
        <v>2</v>
      </c>
      <c r="X23" s="44">
        <v>4851</v>
      </c>
      <c r="Y23" s="44">
        <v>12897</v>
      </c>
      <c r="Z23" s="44">
        <v>574</v>
      </c>
      <c r="AA23" s="44">
        <v>45079</v>
      </c>
      <c r="AB23" s="44">
        <v>36718</v>
      </c>
      <c r="AC23" s="44">
        <v>87</v>
      </c>
      <c r="AD23" s="62">
        <f t="shared" si="4"/>
        <v>100206</v>
      </c>
      <c r="AE23" s="46" cm="1">
        <f t="array" ref="AE23">_xlfn.IFS(AD23&gt;$AD$63, 3,AD23=$AD$63, 3, AD23&lt;$AD$62, 1, AD23&gt;$AD$62, 2, AD23=$AD$62, 2)</f>
        <v>3</v>
      </c>
      <c r="AF23" s="44">
        <v>1877</v>
      </c>
      <c r="AG23" s="44">
        <v>4851</v>
      </c>
      <c r="AH23" s="44">
        <v>12897</v>
      </c>
      <c r="AI23" s="44">
        <v>574</v>
      </c>
      <c r="AJ23" s="47">
        <f t="shared" si="5"/>
        <v>20199</v>
      </c>
      <c r="AK23" s="47" cm="1">
        <f t="array" ref="AK23">_xlfn.IFS(AJ23&gt;$AJ$63, 3, AJ23=$AJ$63, 3, AJ23&lt;$AJ$62, 1, AJ23&gt;$AJ$62, 2, AJ23=$AJ$62, 2)</f>
        <v>2</v>
      </c>
      <c r="AL23" s="48" t="s">
        <v>542</v>
      </c>
      <c r="AM23" s="44" t="s">
        <v>542</v>
      </c>
      <c r="AN23" s="45">
        <f t="shared" si="1"/>
        <v>0</v>
      </c>
      <c r="AO23" s="45" cm="1">
        <f t="array" ref="AO23">_xlfn.IFS(AN23&gt;$AN$63, 3, AN23=$AN$63, 3, AN23&lt;$AN$62, 1, AN23&gt;$AN$62, 2, AN23=$AN$62, 2)</f>
        <v>1</v>
      </c>
      <c r="AP23" s="44">
        <v>36718</v>
      </c>
      <c r="AQ23" s="44">
        <v>574</v>
      </c>
      <c r="AR23" s="44">
        <v>39703</v>
      </c>
      <c r="AS23" s="44">
        <v>14814</v>
      </c>
      <c r="AT23" s="44">
        <v>20663</v>
      </c>
      <c r="AU23" s="44">
        <v>587</v>
      </c>
      <c r="AV23" s="44">
        <v>1877</v>
      </c>
      <c r="AW23" s="44" t="s">
        <v>542</v>
      </c>
      <c r="AX23" s="46">
        <f t="shared" si="6"/>
        <v>114936</v>
      </c>
      <c r="AY23" s="46" cm="1">
        <f t="array" ref="AY23">_xlfn.IFS(AX23&gt;$AX$63, 3, AX23=$AX$63, 3, AX23&lt;$AX$62, 1, AX23&gt;$AX$62, 2, AX23=$AX$62, 2)</f>
        <v>3</v>
      </c>
      <c r="AZ23" s="44">
        <v>13274</v>
      </c>
      <c r="BA23" s="44">
        <v>87</v>
      </c>
      <c r="BB23" s="44">
        <v>574</v>
      </c>
      <c r="BC23" s="44">
        <v>7730</v>
      </c>
      <c r="BD23" s="44">
        <v>45079</v>
      </c>
      <c r="BE23" s="44">
        <v>36718</v>
      </c>
      <c r="BF23" s="47">
        <f t="shared" si="7"/>
        <v>103462</v>
      </c>
      <c r="BG23" s="47" cm="1">
        <f t="array" ref="BG23">_xlfn.IFS(BF23&gt;$BF$63, 3, BF23=$BF$63, 3, BF23&lt;$BF$62, 1, BF23&gt;$BF$62, 2, BF23=$BF$62, 2)</f>
        <v>3</v>
      </c>
      <c r="BH23" s="340">
        <f t="shared" si="8"/>
        <v>2.5</v>
      </c>
    </row>
    <row r="24" spans="1:60">
      <c r="A24" s="39" t="s">
        <v>115</v>
      </c>
      <c r="B24" s="44">
        <v>42190</v>
      </c>
      <c r="C24" s="44">
        <v>12362</v>
      </c>
      <c r="D24" s="44" t="s">
        <v>542</v>
      </c>
      <c r="E24" s="44">
        <v>5863</v>
      </c>
      <c r="F24" s="44">
        <v>6362</v>
      </c>
      <c r="G24" s="44" t="s">
        <v>542</v>
      </c>
      <c r="H24" s="46">
        <f t="shared" si="2"/>
        <v>66777</v>
      </c>
      <c r="I24" s="46" cm="1">
        <f t="array" ref="I24">_xlfn.IFS(H24&gt;$H$63, 3, H24=$H$63, 3, H24&lt;$H$62, 1, H24&gt;$H$62, 2, H24=$H$62, 2)</f>
        <v>2</v>
      </c>
      <c r="J24" s="44">
        <v>5863</v>
      </c>
      <c r="K24" s="44" t="s">
        <v>542</v>
      </c>
      <c r="L24" s="44">
        <v>42190</v>
      </c>
      <c r="M24" s="44">
        <v>12362</v>
      </c>
      <c r="N24" s="44">
        <v>6362</v>
      </c>
      <c r="O24" s="44" t="s">
        <v>542</v>
      </c>
      <c r="P24" s="47">
        <f t="shared" si="3"/>
        <v>66777</v>
      </c>
      <c r="Q24" s="47" cm="1">
        <f t="array" ref="Q24">_xlfn.IFS(P24&gt;$P$63, 3, P24=$P$63, 3, P24&lt;$P$62, 1, P24&gt;$P$62, 2, P24=$P$62, 2)</f>
        <v>2</v>
      </c>
      <c r="R24" s="44">
        <v>2194</v>
      </c>
      <c r="S24" s="44">
        <v>5608</v>
      </c>
      <c r="T24" s="44">
        <v>136</v>
      </c>
      <c r="U24" s="44" t="s">
        <v>542</v>
      </c>
      <c r="V24" s="45">
        <f t="shared" si="0"/>
        <v>7938</v>
      </c>
      <c r="W24" s="45" cm="1">
        <f t="array" ref="W24">_xlfn.IFS(V24&gt;$V$63, 3,V24=$V$63, 3, V24&lt;$V$62, 1, V24&gt;$V$62, 2, V24=$V$62, 2)</f>
        <v>1</v>
      </c>
      <c r="X24" s="44">
        <v>2194</v>
      </c>
      <c r="Y24" s="44">
        <v>5608</v>
      </c>
      <c r="Z24" s="44" t="s">
        <v>542</v>
      </c>
      <c r="AA24" s="44">
        <v>42190</v>
      </c>
      <c r="AB24" s="44">
        <v>12362</v>
      </c>
      <c r="AC24" s="44" t="s">
        <v>542</v>
      </c>
      <c r="AD24" s="62">
        <f t="shared" si="4"/>
        <v>62354</v>
      </c>
      <c r="AE24" s="46" cm="1">
        <f t="array" ref="AE24">_xlfn.IFS(AD24&gt;$AD$63, 3,AD24=$AD$63, 3, AD24&lt;$AD$62, 1, AD24&gt;$AD$62, 2, AD24=$AD$62, 2)</f>
        <v>2</v>
      </c>
      <c r="AF24" s="44">
        <v>3952</v>
      </c>
      <c r="AG24" s="44">
        <v>2194</v>
      </c>
      <c r="AH24" s="44">
        <v>5608</v>
      </c>
      <c r="AI24" s="44" t="s">
        <v>542</v>
      </c>
      <c r="AJ24" s="47">
        <f t="shared" si="5"/>
        <v>11754</v>
      </c>
      <c r="AK24" s="47" cm="1">
        <f t="array" ref="AK24">_xlfn.IFS(AJ24&gt;$AJ$63, 3, AJ24=$AJ$63, 3, AJ24&lt;$AJ$62, 1, AJ24&gt;$AJ$62, 2, AJ24=$AJ$62, 2)</f>
        <v>2</v>
      </c>
      <c r="AL24" s="48">
        <v>9</v>
      </c>
      <c r="AM24" s="44">
        <v>136</v>
      </c>
      <c r="AN24" s="45">
        <f t="shared" si="1"/>
        <v>145</v>
      </c>
      <c r="AO24" s="45" cm="1">
        <f t="array" ref="AO24">_xlfn.IFS(AN24&gt;$AN$63, 3, AN24=$AN$63, 3, AN24&lt;$AN$62, 1, AN24&gt;$AN$62, 2, AN24=$AN$62, 2)</f>
        <v>1</v>
      </c>
      <c r="AP24" s="44">
        <v>12362</v>
      </c>
      <c r="AQ24" s="44" t="s">
        <v>542</v>
      </c>
      <c r="AR24" s="44">
        <v>16956</v>
      </c>
      <c r="AS24" s="44">
        <v>9946</v>
      </c>
      <c r="AT24" s="44">
        <v>10642</v>
      </c>
      <c r="AU24" s="44">
        <v>122</v>
      </c>
      <c r="AV24" s="44">
        <v>3952</v>
      </c>
      <c r="AW24" s="44">
        <v>44</v>
      </c>
      <c r="AX24" s="46">
        <f t="shared" si="6"/>
        <v>54024</v>
      </c>
      <c r="AY24" s="46" cm="1">
        <f t="array" ref="AY24">_xlfn.IFS(AX24&gt;$AX$63, 3, AX24=$AX$63, 3, AX24&lt;$AX$62, 1, AX24&gt;$AX$62, 2, AX24=$AX$62, 2)</f>
        <v>2</v>
      </c>
      <c r="AZ24" s="44">
        <v>5863</v>
      </c>
      <c r="BA24" s="44" t="s">
        <v>542</v>
      </c>
      <c r="BB24" s="44" t="s">
        <v>542</v>
      </c>
      <c r="BC24" s="44">
        <v>6362</v>
      </c>
      <c r="BD24" s="44">
        <v>42190</v>
      </c>
      <c r="BE24" s="44">
        <v>12362</v>
      </c>
      <c r="BF24" s="47">
        <f t="shared" si="7"/>
        <v>66777</v>
      </c>
      <c r="BG24" s="47" cm="1">
        <f t="array" ref="BG24">_xlfn.IFS(BF24&gt;$BF$63, 3, BF24=$BF$63, 3, BF24&lt;$BF$62, 1, BF24&gt;$BF$62, 2, BF24=$BF$62, 2)</f>
        <v>2</v>
      </c>
      <c r="BH24" s="340">
        <f t="shared" si="8"/>
        <v>1.75</v>
      </c>
    </row>
    <row r="25" spans="1:60">
      <c r="A25" s="39" t="s">
        <v>118</v>
      </c>
      <c r="B25" s="44">
        <v>21069</v>
      </c>
      <c r="C25" s="44">
        <v>9134</v>
      </c>
      <c r="D25" s="44">
        <v>2797</v>
      </c>
      <c r="E25" s="44">
        <v>5881</v>
      </c>
      <c r="F25" s="44">
        <v>3464</v>
      </c>
      <c r="G25" s="44">
        <v>1850</v>
      </c>
      <c r="H25" s="46">
        <f t="shared" si="2"/>
        <v>44195</v>
      </c>
      <c r="I25" s="46" cm="1">
        <f t="array" ref="I25">_xlfn.IFS(H25&gt;$H$63, 3, H25=$H$63, 3, H25&lt;$H$62, 1, H25&gt;$H$62, 2, H25=$H$62, 2)</f>
        <v>2</v>
      </c>
      <c r="J25" s="44">
        <v>5881</v>
      </c>
      <c r="K25" s="44">
        <v>2797</v>
      </c>
      <c r="L25" s="44">
        <v>21069</v>
      </c>
      <c r="M25" s="44">
        <v>9134</v>
      </c>
      <c r="N25" s="44">
        <v>3464</v>
      </c>
      <c r="O25" s="44">
        <v>1850</v>
      </c>
      <c r="P25" s="47">
        <f t="shared" si="3"/>
        <v>44195</v>
      </c>
      <c r="Q25" s="47" cm="1">
        <f t="array" ref="Q25">_xlfn.IFS(P25&gt;$P$63, 3, P25=$P$63, 3, P25&lt;$P$62, 1, P25&gt;$P$62, 2, P25=$P$62, 2)</f>
        <v>2</v>
      </c>
      <c r="R25" s="44">
        <v>1557</v>
      </c>
      <c r="S25" s="44">
        <v>5060</v>
      </c>
      <c r="T25" s="44" t="s">
        <v>542</v>
      </c>
      <c r="U25" s="44">
        <v>2797</v>
      </c>
      <c r="V25" s="45">
        <f t="shared" si="0"/>
        <v>9414</v>
      </c>
      <c r="W25" s="45" cm="1">
        <f t="array" ref="W25">_xlfn.IFS(V25&gt;$V$63, 3,V25=$V$63, 3, V25&lt;$V$62, 1, V25&gt;$V$62, 2, V25=$V$62, 2)</f>
        <v>2</v>
      </c>
      <c r="X25" s="44">
        <v>1557</v>
      </c>
      <c r="Y25" s="44">
        <v>5060</v>
      </c>
      <c r="Z25" s="44">
        <v>2797</v>
      </c>
      <c r="AA25" s="44">
        <v>21069</v>
      </c>
      <c r="AB25" s="44">
        <v>9134</v>
      </c>
      <c r="AC25" s="44">
        <v>1850</v>
      </c>
      <c r="AD25" s="62">
        <f t="shared" si="4"/>
        <v>41467</v>
      </c>
      <c r="AE25" s="46" cm="1">
        <f t="array" ref="AE25">_xlfn.IFS(AD25&gt;$AD$63, 3,AD25=$AD$63, 3, AD25&lt;$AD$62, 1, AD25&gt;$AD$62, 2, AD25=$AD$62, 2)</f>
        <v>2</v>
      </c>
      <c r="AF25" s="44">
        <v>1359</v>
      </c>
      <c r="AG25" s="44">
        <v>1557</v>
      </c>
      <c r="AH25" s="44">
        <v>5060</v>
      </c>
      <c r="AI25" s="44">
        <v>2797</v>
      </c>
      <c r="AJ25" s="47">
        <f t="shared" si="5"/>
        <v>10773</v>
      </c>
      <c r="AK25" s="47" cm="1">
        <f t="array" ref="AK25">_xlfn.IFS(AJ25&gt;$AJ$63, 3, AJ25=$AJ$63, 3, AJ25&lt;$AJ$62, 1, AJ25&gt;$AJ$62, 2, AJ25=$AJ$62, 2)</f>
        <v>1</v>
      </c>
      <c r="AL25" s="48" t="s">
        <v>542</v>
      </c>
      <c r="AM25" s="44" t="s">
        <v>542</v>
      </c>
      <c r="AN25" s="45">
        <f t="shared" si="1"/>
        <v>0</v>
      </c>
      <c r="AO25" s="45" cm="1">
        <f t="array" ref="AO25">_xlfn.IFS(AN25&gt;$AN$63, 3, AN25=$AN$63, 3, AN25&lt;$AN$62, 1, AN25&gt;$AN$62, 2, AN25=$AN$62, 2)</f>
        <v>1</v>
      </c>
      <c r="AP25" s="44">
        <v>9134</v>
      </c>
      <c r="AQ25" s="44">
        <v>2797</v>
      </c>
      <c r="AR25" s="44">
        <v>14297</v>
      </c>
      <c r="AS25" s="44">
        <v>1775</v>
      </c>
      <c r="AT25" s="44">
        <v>10812</v>
      </c>
      <c r="AU25" s="44">
        <v>220</v>
      </c>
      <c r="AV25" s="44">
        <v>1359</v>
      </c>
      <c r="AW25" s="44">
        <v>5</v>
      </c>
      <c r="AX25" s="46">
        <f t="shared" si="6"/>
        <v>40399</v>
      </c>
      <c r="AY25" s="46" cm="1">
        <f t="array" ref="AY25">_xlfn.IFS(AX25&gt;$AX$63, 3, AX25=$AX$63, 3, AX25&lt;$AX$62, 1, AX25&gt;$AX$62, 2, AX25=$AX$62, 2)</f>
        <v>1</v>
      </c>
      <c r="AZ25" s="44">
        <v>5881</v>
      </c>
      <c r="BA25" s="44">
        <v>1850</v>
      </c>
      <c r="BB25" s="44">
        <v>2797</v>
      </c>
      <c r="BC25" s="44">
        <v>3464</v>
      </c>
      <c r="BD25" s="44">
        <v>21069</v>
      </c>
      <c r="BE25" s="44">
        <v>9134</v>
      </c>
      <c r="BF25" s="47">
        <f t="shared" si="7"/>
        <v>44195</v>
      </c>
      <c r="BG25" s="47" cm="1">
        <f t="array" ref="BG25">_xlfn.IFS(BF25&gt;$BF$63, 3, BF25=$BF$63, 3, BF25&lt;$BF$62, 1, BF25&gt;$BF$62, 2, BF25=$BF$62, 2)</f>
        <v>2</v>
      </c>
      <c r="BH25" s="340">
        <f t="shared" si="8"/>
        <v>1.625</v>
      </c>
    </row>
    <row r="26" spans="1:60">
      <c r="A26" s="39" t="s">
        <v>121</v>
      </c>
      <c r="B26" s="44">
        <v>20245</v>
      </c>
      <c r="C26" s="44">
        <v>12504</v>
      </c>
      <c r="D26" s="44">
        <v>1767</v>
      </c>
      <c r="E26" s="44">
        <v>6795</v>
      </c>
      <c r="F26" s="44">
        <v>12579</v>
      </c>
      <c r="G26" s="44">
        <v>438</v>
      </c>
      <c r="H26" s="46">
        <f t="shared" si="2"/>
        <v>54328</v>
      </c>
      <c r="I26" s="46" cm="1">
        <f t="array" ref="I26">_xlfn.IFS(H26&gt;$H$63, 3, H26=$H$63, 3, H26&lt;$H$62, 1, H26&gt;$H$62, 2, H26=$H$62, 2)</f>
        <v>2</v>
      </c>
      <c r="J26" s="44">
        <v>6795</v>
      </c>
      <c r="K26" s="44">
        <v>1767</v>
      </c>
      <c r="L26" s="44">
        <v>20245</v>
      </c>
      <c r="M26" s="44">
        <v>12504</v>
      </c>
      <c r="N26" s="44">
        <v>12579</v>
      </c>
      <c r="O26" s="44">
        <v>438</v>
      </c>
      <c r="P26" s="47">
        <f t="shared" si="3"/>
        <v>54328</v>
      </c>
      <c r="Q26" s="47" cm="1">
        <f t="array" ref="Q26">_xlfn.IFS(P26&gt;$P$63, 3, P26=$P$63, 3, P26&lt;$P$62, 1, P26&gt;$P$62, 2, P26=$P$62, 2)</f>
        <v>2</v>
      </c>
      <c r="R26" s="44">
        <v>6130</v>
      </c>
      <c r="S26" s="44">
        <v>7196</v>
      </c>
      <c r="T26" s="44">
        <v>3820</v>
      </c>
      <c r="U26" s="44">
        <v>1767</v>
      </c>
      <c r="V26" s="45">
        <f t="shared" si="0"/>
        <v>18913</v>
      </c>
      <c r="W26" s="45" cm="1">
        <f t="array" ref="W26">_xlfn.IFS(V26&gt;$V$63, 3,V26=$V$63, 3, V26&lt;$V$62, 1, V26&gt;$V$62, 2, V26=$V$62, 2)</f>
        <v>3</v>
      </c>
      <c r="X26" s="44">
        <v>6130</v>
      </c>
      <c r="Y26" s="44">
        <v>7196</v>
      </c>
      <c r="Z26" s="44">
        <v>1767</v>
      </c>
      <c r="AA26" s="44">
        <v>20245</v>
      </c>
      <c r="AB26" s="44">
        <v>12504</v>
      </c>
      <c r="AC26" s="44">
        <v>438</v>
      </c>
      <c r="AD26" s="62">
        <f t="shared" si="4"/>
        <v>48280</v>
      </c>
      <c r="AE26" s="46" cm="1">
        <f t="array" ref="AE26">_xlfn.IFS(AD26&gt;$AD$63, 3,AD26=$AD$63, 3, AD26&lt;$AD$62, 1, AD26&gt;$AD$62, 2, AD26=$AD$62, 2)</f>
        <v>2</v>
      </c>
      <c r="AF26" s="44">
        <v>3181</v>
      </c>
      <c r="AG26" s="44">
        <v>6130</v>
      </c>
      <c r="AH26" s="44">
        <v>7196</v>
      </c>
      <c r="AI26" s="44">
        <v>1767</v>
      </c>
      <c r="AJ26" s="47">
        <f t="shared" si="5"/>
        <v>18274</v>
      </c>
      <c r="AK26" s="47" cm="1">
        <f t="array" ref="AK26">_xlfn.IFS(AJ26&gt;$AJ$63, 3, AJ26=$AJ$63, 3, AJ26&lt;$AJ$62, 1, AJ26&gt;$AJ$62, 2, AJ26=$AJ$62, 2)</f>
        <v>2</v>
      </c>
      <c r="AL26" s="48" t="s">
        <v>542</v>
      </c>
      <c r="AM26" s="44">
        <v>3820</v>
      </c>
      <c r="AN26" s="45">
        <f t="shared" si="1"/>
        <v>3820</v>
      </c>
      <c r="AO26" s="45" cm="1">
        <f t="array" ref="AO26">_xlfn.IFS(AN26&gt;$AN$63, 3, AN26=$AN$63, 3, AN26&lt;$AN$62, 1, AN26&gt;$AN$62, 2, AN26=$AN$62, 2)</f>
        <v>3</v>
      </c>
      <c r="AP26" s="44">
        <v>12504</v>
      </c>
      <c r="AQ26" s="44">
        <v>1767</v>
      </c>
      <c r="AR26" s="44">
        <v>19853</v>
      </c>
      <c r="AS26" s="44">
        <v>10469</v>
      </c>
      <c r="AT26" s="44">
        <v>13585</v>
      </c>
      <c r="AU26" s="44">
        <v>1175</v>
      </c>
      <c r="AV26" s="44">
        <v>3181</v>
      </c>
      <c r="AW26" s="44">
        <v>266</v>
      </c>
      <c r="AX26" s="46">
        <f t="shared" si="6"/>
        <v>62800</v>
      </c>
      <c r="AY26" s="46" cm="1">
        <f t="array" ref="AY26">_xlfn.IFS(AX26&gt;$AX$63, 3, AX26=$AX$63, 3, AX26&lt;$AX$62, 1, AX26&gt;$AX$62, 2, AX26=$AX$62, 2)</f>
        <v>2</v>
      </c>
      <c r="AZ26" s="44">
        <v>6795</v>
      </c>
      <c r="BA26" s="44">
        <v>438</v>
      </c>
      <c r="BB26" s="44">
        <v>1767</v>
      </c>
      <c r="BC26" s="44">
        <v>12579</v>
      </c>
      <c r="BD26" s="44">
        <v>20245</v>
      </c>
      <c r="BE26" s="44">
        <v>12504</v>
      </c>
      <c r="BF26" s="47">
        <f t="shared" si="7"/>
        <v>54328</v>
      </c>
      <c r="BG26" s="47" cm="1">
        <f t="array" ref="BG26">_xlfn.IFS(BF26&gt;$BF$63, 3, BF26=$BF$63, 3, BF26&lt;$BF$62, 1, BF26&gt;$BF$62, 2, BF26=$BF$62, 2)</f>
        <v>2</v>
      </c>
      <c r="BH26" s="340">
        <f t="shared" si="8"/>
        <v>2.25</v>
      </c>
    </row>
    <row r="27" spans="1:60">
      <c r="A27" s="39" t="s">
        <v>124</v>
      </c>
      <c r="B27" s="44">
        <v>12507</v>
      </c>
      <c r="C27" s="44">
        <v>28424</v>
      </c>
      <c r="D27" s="44">
        <v>21823</v>
      </c>
      <c r="E27" s="44">
        <v>8397</v>
      </c>
      <c r="F27" s="44">
        <v>1745</v>
      </c>
      <c r="G27" s="44">
        <v>5640</v>
      </c>
      <c r="H27" s="46">
        <f t="shared" si="2"/>
        <v>78536</v>
      </c>
      <c r="I27" s="46" cm="1">
        <f t="array" ref="I27">_xlfn.IFS(H27&gt;$H$63, 3, H27=$H$63, 3, H27&lt;$H$62, 1, H27&gt;$H$62, 2, H27=$H$62, 2)</f>
        <v>3</v>
      </c>
      <c r="J27" s="44">
        <v>8397</v>
      </c>
      <c r="K27" s="44">
        <v>21823</v>
      </c>
      <c r="L27" s="44">
        <v>12507</v>
      </c>
      <c r="M27" s="44">
        <v>28424</v>
      </c>
      <c r="N27" s="44">
        <v>1745</v>
      </c>
      <c r="O27" s="44">
        <v>5640</v>
      </c>
      <c r="P27" s="47">
        <f t="shared" si="3"/>
        <v>78536</v>
      </c>
      <c r="Q27" s="47" cm="1">
        <f t="array" ref="Q27">_xlfn.IFS(P27&gt;$P$63, 3, P27=$P$63, 3, P27&lt;$P$62, 1, P27&gt;$P$62, 2, P27=$P$62, 2)</f>
        <v>3</v>
      </c>
      <c r="R27" s="44">
        <v>1149</v>
      </c>
      <c r="S27" s="44">
        <v>4351</v>
      </c>
      <c r="T27" s="44">
        <v>9685</v>
      </c>
      <c r="U27" s="44">
        <v>21823</v>
      </c>
      <c r="V27" s="45">
        <f t="shared" si="0"/>
        <v>37008</v>
      </c>
      <c r="W27" s="45" cm="1">
        <f t="array" ref="W27">_xlfn.IFS(V27&gt;$V$63, 3,V27=$V$63, 3, V27&lt;$V$62, 1, V27&gt;$V$62, 2, V27=$V$62, 2)</f>
        <v>3</v>
      </c>
      <c r="X27" s="44">
        <v>1149</v>
      </c>
      <c r="Y27" s="44">
        <v>4351</v>
      </c>
      <c r="Z27" s="44">
        <v>21823</v>
      </c>
      <c r="AA27" s="44">
        <v>12507</v>
      </c>
      <c r="AB27" s="44">
        <v>28424</v>
      </c>
      <c r="AC27" s="44">
        <v>5640</v>
      </c>
      <c r="AD27" s="62">
        <f t="shared" si="4"/>
        <v>73894</v>
      </c>
      <c r="AE27" s="46" cm="1">
        <f t="array" ref="AE27">_xlfn.IFS(AD27&gt;$AD$63, 3,AD27=$AD$63, 3, AD27&lt;$AD$62, 1, AD27&gt;$AD$62, 2, AD27=$AD$62, 2)</f>
        <v>3</v>
      </c>
      <c r="AF27" s="44">
        <v>1211</v>
      </c>
      <c r="AG27" s="44">
        <v>1149</v>
      </c>
      <c r="AH27" s="44">
        <v>4351</v>
      </c>
      <c r="AI27" s="44">
        <v>21823</v>
      </c>
      <c r="AJ27" s="47">
        <f t="shared" si="5"/>
        <v>28534</v>
      </c>
      <c r="AK27" s="47" cm="1">
        <f t="array" ref="AK27">_xlfn.IFS(AJ27&gt;$AJ$63, 3, AJ27=$AJ$63, 3, AJ27&lt;$AJ$62, 1, AJ27&gt;$AJ$62, 2, AJ27=$AJ$62, 2)</f>
        <v>3</v>
      </c>
      <c r="AL27" s="48">
        <v>248</v>
      </c>
      <c r="AM27" s="44">
        <v>9685</v>
      </c>
      <c r="AN27" s="45">
        <f t="shared" si="1"/>
        <v>9933</v>
      </c>
      <c r="AO27" s="45" cm="1">
        <f t="array" ref="AO27">_xlfn.IFS(AN27&gt;$AN$63, 3, AN27=$AN$63, 3, AN27&lt;$AN$62, 1, AN27&gt;$AN$62, 2, AN27=$AN$62, 2)</f>
        <v>3</v>
      </c>
      <c r="AP27" s="44">
        <v>28424</v>
      </c>
      <c r="AQ27" s="44">
        <v>21823</v>
      </c>
      <c r="AR27" s="44">
        <v>22471</v>
      </c>
      <c r="AS27" s="44">
        <v>7947</v>
      </c>
      <c r="AT27" s="44">
        <v>42551</v>
      </c>
      <c r="AU27" s="44">
        <v>1130</v>
      </c>
      <c r="AV27" s="44">
        <v>1211</v>
      </c>
      <c r="AW27" s="44">
        <v>2229</v>
      </c>
      <c r="AX27" s="46">
        <f t="shared" si="6"/>
        <v>127786</v>
      </c>
      <c r="AY27" s="46" cm="1">
        <f t="array" ref="AY27">_xlfn.IFS(AX27&gt;$AX$63, 3, AX27=$AX$63, 3, AX27&lt;$AX$62, 1, AX27&gt;$AX$62, 2, AX27=$AX$62, 2)</f>
        <v>3</v>
      </c>
      <c r="AZ27" s="44">
        <v>8397</v>
      </c>
      <c r="BA27" s="44">
        <v>5640</v>
      </c>
      <c r="BB27" s="44">
        <v>21823</v>
      </c>
      <c r="BC27" s="44">
        <v>1745</v>
      </c>
      <c r="BD27" s="44">
        <v>12507</v>
      </c>
      <c r="BE27" s="44">
        <v>28424</v>
      </c>
      <c r="BF27" s="47">
        <f t="shared" si="7"/>
        <v>78536</v>
      </c>
      <c r="BG27" s="47" cm="1">
        <f t="array" ref="BG27">_xlfn.IFS(BF27&gt;$BF$63, 3, BF27=$BF$63, 3, BF27&lt;$BF$62, 1, BF27&gt;$BF$62, 2, BF27=$BF$62, 2)</f>
        <v>3</v>
      </c>
      <c r="BH27" s="340">
        <f t="shared" si="8"/>
        <v>3</v>
      </c>
    </row>
    <row r="28" spans="1:60">
      <c r="A28" s="39" t="s">
        <v>125</v>
      </c>
      <c r="B28" s="44">
        <v>1678</v>
      </c>
      <c r="C28" s="44">
        <v>3421</v>
      </c>
      <c r="D28" s="44" t="s">
        <v>542</v>
      </c>
      <c r="E28" s="44">
        <v>1815</v>
      </c>
      <c r="F28" s="44">
        <v>403</v>
      </c>
      <c r="G28" s="44" t="s">
        <v>542</v>
      </c>
      <c r="H28" s="46">
        <f t="shared" si="2"/>
        <v>7317</v>
      </c>
      <c r="I28" s="46" cm="1">
        <f t="array" ref="I28">_xlfn.IFS(H28&gt;$H$63, 3, H28=$H$63, 3, H28&lt;$H$62, 1, H28&gt;$H$62, 2, H28=$H$62, 2)</f>
        <v>1</v>
      </c>
      <c r="J28" s="44">
        <v>1815</v>
      </c>
      <c r="K28" s="44" t="s">
        <v>542</v>
      </c>
      <c r="L28" s="44">
        <v>1678</v>
      </c>
      <c r="M28" s="44">
        <v>3421</v>
      </c>
      <c r="N28" s="44">
        <v>403</v>
      </c>
      <c r="O28" s="44" t="s">
        <v>542</v>
      </c>
      <c r="P28" s="47">
        <f t="shared" si="3"/>
        <v>7317</v>
      </c>
      <c r="Q28" s="47" cm="1">
        <f t="array" ref="Q28">_xlfn.IFS(P28&gt;$P$63, 3, P28=$P$63, 3, P28&lt;$P$62, 1, P28&gt;$P$62, 2, P28=$P$62, 2)</f>
        <v>1</v>
      </c>
      <c r="R28" s="44" t="s">
        <v>542</v>
      </c>
      <c r="S28" s="44">
        <v>1293</v>
      </c>
      <c r="T28" s="44">
        <v>98</v>
      </c>
      <c r="U28" s="44" t="s">
        <v>542</v>
      </c>
      <c r="V28" s="45">
        <f t="shared" si="0"/>
        <v>1391</v>
      </c>
      <c r="W28" s="45" cm="1">
        <f t="array" ref="W28">_xlfn.IFS(V28&gt;$V$63, 3,V28=$V$63, 3, V28&lt;$V$62, 1, V28&gt;$V$62, 2, V28=$V$62, 2)</f>
        <v>1</v>
      </c>
      <c r="X28" s="44" t="s">
        <v>542</v>
      </c>
      <c r="Y28" s="44">
        <v>1293</v>
      </c>
      <c r="Z28" s="44" t="s">
        <v>542</v>
      </c>
      <c r="AA28" s="44">
        <v>1678</v>
      </c>
      <c r="AB28" s="44">
        <v>3421</v>
      </c>
      <c r="AC28" s="44" t="s">
        <v>542</v>
      </c>
      <c r="AD28" s="62">
        <f t="shared" si="4"/>
        <v>6392</v>
      </c>
      <c r="AE28" s="46" cm="1">
        <f t="array" ref="AE28">_xlfn.IFS(AD28&gt;$AD$63, 3,AD28=$AD$63, 3, AD28&lt;$AD$62, 1, AD28&gt;$AD$62, 2, AD28=$AD$62, 2)</f>
        <v>1</v>
      </c>
      <c r="AF28" s="44">
        <v>325</v>
      </c>
      <c r="AG28" s="44" t="s">
        <v>542</v>
      </c>
      <c r="AH28" s="44">
        <v>1293</v>
      </c>
      <c r="AI28" s="44" t="s">
        <v>542</v>
      </c>
      <c r="AJ28" s="47">
        <f t="shared" si="5"/>
        <v>1618</v>
      </c>
      <c r="AK28" s="47" cm="1">
        <f t="array" ref="AK28">_xlfn.IFS(AJ28&gt;$AJ$63, 3, AJ28=$AJ$63, 3, AJ28&lt;$AJ$62, 1, AJ28&gt;$AJ$62, 2, AJ28=$AJ$62, 2)</f>
        <v>1</v>
      </c>
      <c r="AL28" s="48">
        <v>469</v>
      </c>
      <c r="AM28" s="44">
        <v>98</v>
      </c>
      <c r="AN28" s="45">
        <f t="shared" si="1"/>
        <v>567</v>
      </c>
      <c r="AO28" s="45" cm="1">
        <f t="array" ref="AO28">_xlfn.IFS(AN28&gt;$AN$63, 3, AN28=$AN$63, 3, AN28&lt;$AN$62, 1, AN28&gt;$AN$62, 2, AN28=$AN$62, 2)</f>
        <v>2</v>
      </c>
      <c r="AP28" s="44">
        <v>3421</v>
      </c>
      <c r="AQ28" s="44" t="s">
        <v>542</v>
      </c>
      <c r="AR28" s="44">
        <v>8010</v>
      </c>
      <c r="AS28" s="44">
        <v>4505</v>
      </c>
      <c r="AT28" s="44">
        <v>4324</v>
      </c>
      <c r="AU28" s="44">
        <v>46</v>
      </c>
      <c r="AV28" s="44">
        <v>325</v>
      </c>
      <c r="AW28" s="44">
        <v>1925</v>
      </c>
      <c r="AX28" s="46">
        <f>SUM(AP28:AW28)</f>
        <v>22556</v>
      </c>
      <c r="AY28" s="46" cm="1">
        <f t="array" ref="AY28">_xlfn.IFS(AX28&gt;$AX$63, 3, AX28=$AX$63, 3, AX28&lt;$AX$62, 1, AX28&gt;$AX$62, 2, AX28=$AX$62, 2)</f>
        <v>1</v>
      </c>
      <c r="AZ28" s="44">
        <v>1815</v>
      </c>
      <c r="BA28" s="44" t="s">
        <v>542</v>
      </c>
      <c r="BB28" s="44" t="s">
        <v>542</v>
      </c>
      <c r="BC28" s="44">
        <v>403</v>
      </c>
      <c r="BD28" s="44">
        <v>1678</v>
      </c>
      <c r="BE28" s="44">
        <v>3421</v>
      </c>
      <c r="BF28" s="47">
        <f t="shared" si="7"/>
        <v>7317</v>
      </c>
      <c r="BG28" s="47" cm="1">
        <f t="array" ref="BG28">_xlfn.IFS(BF28&gt;$BF$63, 3, BF28=$BF$63, 3, BF28&lt;$BF$62, 1, BF28&gt;$BF$62, 2, BF28=$BF$62, 2)</f>
        <v>1</v>
      </c>
      <c r="BH28" s="340">
        <f t="shared" si="8"/>
        <v>1.125</v>
      </c>
    </row>
    <row r="29" spans="1:60">
      <c r="A29" s="39" t="s">
        <v>127</v>
      </c>
      <c r="B29" s="44">
        <v>7959</v>
      </c>
      <c r="C29" s="44">
        <v>14477</v>
      </c>
      <c r="D29" s="44">
        <v>273</v>
      </c>
      <c r="E29" s="44">
        <v>10279</v>
      </c>
      <c r="F29" s="44">
        <v>1706</v>
      </c>
      <c r="G29" s="44">
        <v>106</v>
      </c>
      <c r="H29" s="46">
        <f t="shared" si="2"/>
        <v>34800</v>
      </c>
      <c r="I29" s="46" cm="1">
        <f t="array" ref="I29">_xlfn.IFS(H29&gt;$H$63, 3, H29=$H$63, 3, H29&lt;$H$62, 1, H29&gt;$H$62, 2, H29=$H$62, 2)</f>
        <v>2</v>
      </c>
      <c r="J29" s="44">
        <v>10279</v>
      </c>
      <c r="K29" s="44">
        <v>273</v>
      </c>
      <c r="L29" s="44">
        <v>7959</v>
      </c>
      <c r="M29" s="44">
        <v>14477</v>
      </c>
      <c r="N29" s="44">
        <v>1706</v>
      </c>
      <c r="O29" s="44">
        <v>106</v>
      </c>
      <c r="P29" s="47">
        <f t="shared" si="3"/>
        <v>34800</v>
      </c>
      <c r="Q29" s="47" cm="1">
        <f t="array" ref="Q29">_xlfn.IFS(P29&gt;$P$63, 3, P29=$P$63, 3, P29&lt;$P$62, 1, P29&gt;$P$62, 2, P29=$P$62, 2)</f>
        <v>2</v>
      </c>
      <c r="R29" s="44">
        <v>860</v>
      </c>
      <c r="S29" s="44">
        <v>3604</v>
      </c>
      <c r="T29" s="44">
        <v>864</v>
      </c>
      <c r="U29" s="44">
        <v>273</v>
      </c>
      <c r="V29" s="45">
        <f t="shared" si="0"/>
        <v>5601</v>
      </c>
      <c r="W29" s="45" cm="1">
        <f t="array" ref="W29">_xlfn.IFS(V29&gt;$V$63, 3,V29=$V$63, 3, V29&lt;$V$62, 1, V29&gt;$V$62, 2, V29=$V$62, 2)</f>
        <v>1</v>
      </c>
      <c r="X29" s="44">
        <v>860</v>
      </c>
      <c r="Y29" s="44">
        <v>3604</v>
      </c>
      <c r="Z29" s="44">
        <v>273</v>
      </c>
      <c r="AA29" s="44">
        <v>7959</v>
      </c>
      <c r="AB29" s="44">
        <v>14477</v>
      </c>
      <c r="AC29" s="44">
        <v>106</v>
      </c>
      <c r="AD29" s="62">
        <f t="shared" si="4"/>
        <v>27279</v>
      </c>
      <c r="AE29" s="46" cm="1">
        <f t="array" ref="AE29">_xlfn.IFS(AD29&gt;$AD$63, 3,AD29=$AD$63, 3, AD29&lt;$AD$62, 1, AD29&gt;$AD$62, 2, AD29=$AD$62, 2)</f>
        <v>2</v>
      </c>
      <c r="AF29" s="44">
        <v>896</v>
      </c>
      <c r="AG29" s="44">
        <v>860</v>
      </c>
      <c r="AH29" s="44">
        <v>3604</v>
      </c>
      <c r="AI29" s="44">
        <v>273</v>
      </c>
      <c r="AJ29" s="47">
        <f t="shared" si="5"/>
        <v>5633</v>
      </c>
      <c r="AK29" s="47" cm="1">
        <f t="array" ref="AK29">_xlfn.IFS(AJ29&gt;$AJ$63, 3, AJ29=$AJ$63, 3, AJ29&lt;$AJ$62, 1, AJ29&gt;$AJ$62, 2, AJ29=$AJ$62, 2)</f>
        <v>1</v>
      </c>
      <c r="AL29" s="48">
        <v>43</v>
      </c>
      <c r="AM29" s="44">
        <v>864</v>
      </c>
      <c r="AN29" s="45">
        <f t="shared" si="1"/>
        <v>907</v>
      </c>
      <c r="AO29" s="45" cm="1">
        <f t="array" ref="AO29">_xlfn.IFS(AN29&gt;$AN$63, 3, AN29=$AN$63, 3, AN29&lt;$AN$62, 1, AN29&gt;$AN$62, 2, AN29=$AN$62, 2)</f>
        <v>3</v>
      </c>
      <c r="AP29" s="44">
        <v>14477</v>
      </c>
      <c r="AQ29" s="44">
        <v>273</v>
      </c>
      <c r="AR29" s="44">
        <v>35664</v>
      </c>
      <c r="AS29" s="44">
        <v>3068</v>
      </c>
      <c r="AT29" s="44">
        <v>17309</v>
      </c>
      <c r="AU29" s="44">
        <v>155</v>
      </c>
      <c r="AV29" s="44">
        <v>896</v>
      </c>
      <c r="AW29" s="44">
        <v>165</v>
      </c>
      <c r="AX29" s="46">
        <f t="shared" ref="AX29:AX45" si="9">SUM(AP29:AW29)</f>
        <v>72007</v>
      </c>
      <c r="AY29" s="46" cm="1">
        <f t="array" ref="AY29">_xlfn.IFS(AX29&gt;$AX$63, 3, AX29=$AX$63, 3, AX29&lt;$AX$62, 1, AX29&gt;$AX$62, 2, AX29=$AX$62, 2)</f>
        <v>2</v>
      </c>
      <c r="AZ29" s="44">
        <v>10279</v>
      </c>
      <c r="BA29" s="44">
        <v>106</v>
      </c>
      <c r="BB29" s="44">
        <v>273</v>
      </c>
      <c r="BC29" s="44">
        <v>1706</v>
      </c>
      <c r="BD29" s="44">
        <v>7959</v>
      </c>
      <c r="BE29" s="44">
        <v>14477</v>
      </c>
      <c r="BF29" s="47">
        <f t="shared" si="7"/>
        <v>34800</v>
      </c>
      <c r="BG29" s="47" cm="1">
        <f t="array" ref="BG29">_xlfn.IFS(BF29&gt;$BF$63, 3, BF29=$BF$63, 3, BF29&lt;$BF$62, 1, BF29&gt;$BF$62, 2, BF29=$BF$62, 2)</f>
        <v>2</v>
      </c>
      <c r="BH29" s="340">
        <f t="shared" si="8"/>
        <v>1.875</v>
      </c>
    </row>
    <row r="30" spans="1:60">
      <c r="A30" s="39" t="s">
        <v>128</v>
      </c>
      <c r="B30" s="44">
        <v>19078</v>
      </c>
      <c r="C30" s="44">
        <v>16212</v>
      </c>
      <c r="D30" s="44" t="s">
        <v>542</v>
      </c>
      <c r="E30" s="44">
        <v>12274</v>
      </c>
      <c r="F30" s="44">
        <v>6806</v>
      </c>
      <c r="G30" s="44" t="s">
        <v>542</v>
      </c>
      <c r="H30" s="46">
        <f t="shared" si="2"/>
        <v>54370</v>
      </c>
      <c r="I30" s="46" cm="1">
        <f t="array" ref="I30">_xlfn.IFS(H30&gt;$H$63, 3, H30=$H$63, 3, H30&lt;$H$62, 1, H30&gt;$H$62, 2, H30=$H$62, 2)</f>
        <v>2</v>
      </c>
      <c r="J30" s="44">
        <v>12274</v>
      </c>
      <c r="K30" s="44" t="s">
        <v>542</v>
      </c>
      <c r="L30" s="44">
        <v>19078</v>
      </c>
      <c r="M30" s="44">
        <v>16212</v>
      </c>
      <c r="N30" s="44">
        <v>6806</v>
      </c>
      <c r="O30" s="44" t="s">
        <v>542</v>
      </c>
      <c r="P30" s="47">
        <f t="shared" si="3"/>
        <v>54370</v>
      </c>
      <c r="Q30" s="47" cm="1">
        <f t="array" ref="Q30">_xlfn.IFS(P30&gt;$P$63, 3, P30=$P$63, 3, P30&lt;$P$62, 1, P30&gt;$P$62, 2, P30=$P$62, 2)</f>
        <v>2</v>
      </c>
      <c r="R30" s="44">
        <v>818</v>
      </c>
      <c r="S30" s="44">
        <v>4893</v>
      </c>
      <c r="T30" s="44">
        <v>692</v>
      </c>
      <c r="U30" s="44" t="s">
        <v>542</v>
      </c>
      <c r="V30" s="45">
        <f t="shared" si="0"/>
        <v>6403</v>
      </c>
      <c r="W30" s="45" cm="1">
        <f t="array" ref="W30">_xlfn.IFS(V30&gt;$V$63, 3,V30=$V$63, 3, V30&lt;$V$62, 1, V30&gt;$V$62, 2, V30=$V$62, 2)</f>
        <v>1</v>
      </c>
      <c r="X30" s="44">
        <v>818</v>
      </c>
      <c r="Y30" s="44">
        <v>4893</v>
      </c>
      <c r="Z30" s="44" t="s">
        <v>542</v>
      </c>
      <c r="AA30" s="44">
        <v>19078</v>
      </c>
      <c r="AB30" s="44">
        <v>16212</v>
      </c>
      <c r="AC30" s="44" t="s">
        <v>542</v>
      </c>
      <c r="AD30" s="62">
        <f t="shared" si="4"/>
        <v>41001</v>
      </c>
      <c r="AE30" s="46" cm="1">
        <f t="array" ref="AE30">_xlfn.IFS(AD30&gt;$AD$63, 3,AD30=$AD$63, 3, AD30&lt;$AD$62, 1, AD30&gt;$AD$62, 2, AD30=$AD$62, 2)</f>
        <v>2</v>
      </c>
      <c r="AF30" s="44">
        <v>774</v>
      </c>
      <c r="AG30" s="44">
        <v>818</v>
      </c>
      <c r="AH30" s="44">
        <v>4893</v>
      </c>
      <c r="AI30" s="44" t="s">
        <v>542</v>
      </c>
      <c r="AJ30" s="47">
        <f>SUM(AF30:AI30)</f>
        <v>6485</v>
      </c>
      <c r="AK30" s="47" cm="1">
        <f t="array" ref="AK30">_xlfn.IFS(AJ30&gt;$AJ$63, 3, AJ30=$AJ$63, 3, AJ30&lt;$AJ$62, 1, AJ30&gt;$AJ$62, 2, AJ30=$AJ$62, 2)</f>
        <v>1</v>
      </c>
      <c r="AL30" s="48">
        <v>186</v>
      </c>
      <c r="AM30" s="44">
        <v>692</v>
      </c>
      <c r="AN30" s="45">
        <f t="shared" si="1"/>
        <v>878</v>
      </c>
      <c r="AO30" s="45" cm="1">
        <f t="array" ref="AO30">_xlfn.IFS(AN30&gt;$AN$63, 3, AN30=$AN$63, 3, AN30&lt;$AN$62, 1, AN30&gt;$AN$62, 2, AN30=$AN$62, 2)</f>
        <v>3</v>
      </c>
      <c r="AP30" s="44">
        <v>16212</v>
      </c>
      <c r="AQ30" s="44" t="s">
        <v>542</v>
      </c>
      <c r="AR30" s="44">
        <v>36203</v>
      </c>
      <c r="AS30" s="44">
        <v>2679</v>
      </c>
      <c r="AT30" s="44">
        <v>14397</v>
      </c>
      <c r="AU30" s="44">
        <v>244</v>
      </c>
      <c r="AV30" s="44">
        <v>774</v>
      </c>
      <c r="AW30" s="44">
        <v>137</v>
      </c>
      <c r="AX30" s="46">
        <f t="shared" si="9"/>
        <v>70646</v>
      </c>
      <c r="AY30" s="46" cm="1">
        <f t="array" ref="AY30">_xlfn.IFS(AX30&gt;$AX$63, 3, AX30=$AX$63, 3, AX30&lt;$AX$62, 1, AX30&gt;$AX$62, 2, AX30=$AX$62, 2)</f>
        <v>2</v>
      </c>
      <c r="AZ30" s="44">
        <v>12274</v>
      </c>
      <c r="BA30" s="44" t="s">
        <v>542</v>
      </c>
      <c r="BB30" s="44" t="s">
        <v>542</v>
      </c>
      <c r="BC30" s="44">
        <v>6806</v>
      </c>
      <c r="BD30" s="44">
        <v>19078</v>
      </c>
      <c r="BE30" s="44">
        <v>16212</v>
      </c>
      <c r="BF30" s="47">
        <f t="shared" si="7"/>
        <v>54370</v>
      </c>
      <c r="BG30" s="47" cm="1">
        <f t="array" ref="BG30">_xlfn.IFS(BF30&gt;$BF$63, 3, BF30=$BF$63, 3, BF30&lt;$BF$62, 1, BF30&gt;$BF$62, 2, BF30=$BF$62, 2)</f>
        <v>2</v>
      </c>
      <c r="BH30" s="340">
        <f t="shared" si="8"/>
        <v>1.875</v>
      </c>
    </row>
    <row r="31" spans="1:60">
      <c r="A31" s="39" t="s">
        <v>129</v>
      </c>
      <c r="B31" s="44">
        <v>69349</v>
      </c>
      <c r="C31" s="44">
        <v>29446</v>
      </c>
      <c r="D31" s="44">
        <v>1406</v>
      </c>
      <c r="E31" s="44">
        <v>19824</v>
      </c>
      <c r="F31" s="44">
        <v>14012</v>
      </c>
      <c r="G31" s="44">
        <v>618</v>
      </c>
      <c r="H31" s="46">
        <f t="shared" si="2"/>
        <v>134655</v>
      </c>
      <c r="I31" s="46" cm="1">
        <f t="array" ref="I31">_xlfn.IFS(H31&gt;$H$63, 3, H31=$H$63, 3, H31&lt;$H$62, 1, H31&gt;$H$62, 2, H31=$H$62, 2)</f>
        <v>3</v>
      </c>
      <c r="J31" s="44">
        <v>19824</v>
      </c>
      <c r="K31" s="44">
        <v>1406</v>
      </c>
      <c r="L31" s="44">
        <v>69349</v>
      </c>
      <c r="M31" s="44">
        <v>29446</v>
      </c>
      <c r="N31" s="44">
        <v>14012</v>
      </c>
      <c r="O31" s="44">
        <v>618</v>
      </c>
      <c r="P31" s="47">
        <f t="shared" si="3"/>
        <v>134655</v>
      </c>
      <c r="Q31" s="47" cm="1">
        <f t="array" ref="Q31">_xlfn.IFS(P31&gt;$P$63, 3, P31=$P$63, 3, P31&lt;$P$62, 1, P31&gt;$P$62, 2, P31=$P$62, 2)</f>
        <v>3</v>
      </c>
      <c r="R31" s="44">
        <v>3452</v>
      </c>
      <c r="S31" s="44">
        <v>11533</v>
      </c>
      <c r="T31" s="44">
        <v>598</v>
      </c>
      <c r="U31" s="44">
        <v>1406</v>
      </c>
      <c r="V31" s="45">
        <f t="shared" si="0"/>
        <v>16989</v>
      </c>
      <c r="W31" s="45" cm="1">
        <f t="array" ref="W31">_xlfn.IFS(V31&gt;$V$63, 3,V31=$V$63, 3, V31&lt;$V$62, 1, V31&gt;$V$62, 2, V31=$V$62, 2)</f>
        <v>2</v>
      </c>
      <c r="X31" s="44">
        <v>3452</v>
      </c>
      <c r="Y31" s="44">
        <v>11533</v>
      </c>
      <c r="Z31" s="44">
        <v>1406</v>
      </c>
      <c r="AA31" s="44">
        <v>69349</v>
      </c>
      <c r="AB31" s="44">
        <v>29446</v>
      </c>
      <c r="AC31" s="44">
        <v>618</v>
      </c>
      <c r="AD31" s="62">
        <f t="shared" si="4"/>
        <v>115804</v>
      </c>
      <c r="AE31" s="46" cm="1">
        <f t="array" ref="AE31">_xlfn.IFS(AD31&gt;$AD$63, 3,AD31=$AD$63, 3, AD31&lt;$AD$62, 1, AD31&gt;$AD$62, 2, AD31=$AD$62, 2)</f>
        <v>3</v>
      </c>
      <c r="AF31" s="44">
        <v>4597</v>
      </c>
      <c r="AG31" s="44">
        <v>3452</v>
      </c>
      <c r="AH31" s="44">
        <v>11533</v>
      </c>
      <c r="AI31" s="44">
        <v>1406</v>
      </c>
      <c r="AJ31" s="47">
        <f t="shared" ref="AJ31:AJ46" si="10">SUM(AF31:AI31)</f>
        <v>20988</v>
      </c>
      <c r="AK31" s="47" cm="1">
        <f t="array" ref="AK31">_xlfn.IFS(AJ31&gt;$AJ$63, 3, AJ31=$AJ$63, 3, AJ31&lt;$AJ$62, 1, AJ31&gt;$AJ$62, 2, AJ31=$AJ$62, 2)</f>
        <v>3</v>
      </c>
      <c r="AL31" s="48">
        <v>125</v>
      </c>
      <c r="AM31" s="44">
        <v>598</v>
      </c>
      <c r="AN31" s="45">
        <f t="shared" si="1"/>
        <v>723</v>
      </c>
      <c r="AO31" s="45" cm="1">
        <f t="array" ref="AO31">_xlfn.IFS(AN31&gt;$AN$63, 3, AN31=$AN$63, 3, AN31&lt;$AN$62, 1, AN31&gt;$AN$62, 2, AN31=$AN$62, 2)</f>
        <v>2</v>
      </c>
      <c r="AP31" s="44">
        <v>29446</v>
      </c>
      <c r="AQ31" s="44">
        <v>1406</v>
      </c>
      <c r="AR31" s="44">
        <v>47890</v>
      </c>
      <c r="AS31" s="44">
        <v>10324</v>
      </c>
      <c r="AT31" s="44">
        <v>19723</v>
      </c>
      <c r="AU31" s="44">
        <v>591</v>
      </c>
      <c r="AV31" s="44">
        <v>4597</v>
      </c>
      <c r="AW31" s="44">
        <v>1861</v>
      </c>
      <c r="AX31" s="46">
        <f t="shared" si="9"/>
        <v>115838</v>
      </c>
      <c r="AY31" s="46" cm="1">
        <f t="array" ref="AY31">_xlfn.IFS(AX31&gt;$AX$63, 3, AX31=$AX$63, 3, AX31&lt;$AX$62, 1, AX31&gt;$AX$62, 2, AX31=$AX$62, 2)</f>
        <v>3</v>
      </c>
      <c r="AZ31" s="44">
        <v>19824</v>
      </c>
      <c r="BA31" s="44">
        <v>618</v>
      </c>
      <c r="BB31" s="44">
        <v>1406</v>
      </c>
      <c r="BC31" s="44">
        <v>14012</v>
      </c>
      <c r="BD31" s="44">
        <v>69349</v>
      </c>
      <c r="BE31" s="44">
        <v>29446</v>
      </c>
      <c r="BF31" s="47">
        <f t="shared" si="7"/>
        <v>134655</v>
      </c>
      <c r="BG31" s="47" cm="1">
        <f t="array" ref="BG31">_xlfn.IFS(BF31&gt;$BF$63, 3, BF31=$BF$63, 3, BF31&lt;$BF$62, 1, BF31&gt;$BF$62, 2, BF31=$BF$62, 2)</f>
        <v>3</v>
      </c>
      <c r="BH31" s="340">
        <f t="shared" si="8"/>
        <v>2.75</v>
      </c>
    </row>
    <row r="32" spans="1:60">
      <c r="A32" s="39" t="s">
        <v>130</v>
      </c>
      <c r="B32" s="44">
        <v>36221</v>
      </c>
      <c r="C32" s="44">
        <v>13370</v>
      </c>
      <c r="D32" s="44">
        <v>115</v>
      </c>
      <c r="E32" s="44">
        <v>13175</v>
      </c>
      <c r="F32" s="44">
        <v>6519</v>
      </c>
      <c r="G32" s="44">
        <v>127</v>
      </c>
      <c r="H32" s="46">
        <f t="shared" si="2"/>
        <v>69527</v>
      </c>
      <c r="I32" s="46" cm="1">
        <f t="array" ref="I32">_xlfn.IFS(H32&gt;$H$63, 3, H32=$H$63, 3, H32&lt;$H$62, 1, H32&gt;$H$62, 2, H32=$H$62, 2)</f>
        <v>2</v>
      </c>
      <c r="J32" s="44">
        <v>13175</v>
      </c>
      <c r="K32" s="44">
        <v>115</v>
      </c>
      <c r="L32" s="44">
        <v>36221</v>
      </c>
      <c r="M32" s="44">
        <v>13370</v>
      </c>
      <c r="N32" s="44">
        <v>6519</v>
      </c>
      <c r="O32" s="44">
        <v>127</v>
      </c>
      <c r="P32" s="47">
        <f t="shared" si="3"/>
        <v>69527</v>
      </c>
      <c r="Q32" s="47" cm="1">
        <f t="array" ref="Q32">_xlfn.IFS(P32&gt;$P$63, 3, P32=$P$63, 3, P32&lt;$P$62, 1, P32&gt;$P$62, 2, P32=$P$62, 2)</f>
        <v>2</v>
      </c>
      <c r="R32" s="44">
        <v>5360</v>
      </c>
      <c r="S32" s="44">
        <v>9286</v>
      </c>
      <c r="T32" s="44">
        <v>296</v>
      </c>
      <c r="U32" s="44">
        <v>115</v>
      </c>
      <c r="V32" s="45">
        <f t="shared" si="0"/>
        <v>15057</v>
      </c>
      <c r="W32" s="45" cm="1">
        <f t="array" ref="W32">_xlfn.IFS(V32&gt;$V$63, 3,V32=$V$63, 3, V32&lt;$V$62, 1, V32&gt;$V$62, 2, V32=$V$62, 2)</f>
        <v>2</v>
      </c>
      <c r="X32" s="44">
        <v>5360</v>
      </c>
      <c r="Y32" s="44">
        <v>9286</v>
      </c>
      <c r="Z32" s="44">
        <v>115</v>
      </c>
      <c r="AA32" s="44">
        <v>36221</v>
      </c>
      <c r="AB32" s="44">
        <v>13370</v>
      </c>
      <c r="AC32" s="44">
        <v>127</v>
      </c>
      <c r="AD32" s="62">
        <f t="shared" si="4"/>
        <v>64479</v>
      </c>
      <c r="AE32" s="46" cm="1">
        <f t="array" ref="AE32">_xlfn.IFS(AD32&gt;$AD$63, 3,AD32=$AD$63, 3, AD32&lt;$AD$62, 1, AD32&gt;$AD$62, 2, AD32=$AD$62, 2)</f>
        <v>3</v>
      </c>
      <c r="AF32" s="44">
        <v>2664</v>
      </c>
      <c r="AG32" s="44">
        <v>5360</v>
      </c>
      <c r="AH32" s="44">
        <v>9286</v>
      </c>
      <c r="AI32" s="44">
        <v>115</v>
      </c>
      <c r="AJ32" s="47">
        <f t="shared" si="10"/>
        <v>17425</v>
      </c>
      <c r="AK32" s="47" cm="1">
        <f t="array" ref="AK32">_xlfn.IFS(AJ32&gt;$AJ$63, 3, AJ32=$AJ$63, 3, AJ32&lt;$AJ$62, 1, AJ32&gt;$AJ$62, 2, AJ32=$AJ$62, 2)</f>
        <v>2</v>
      </c>
      <c r="AL32" s="48" t="s">
        <v>542</v>
      </c>
      <c r="AM32" s="44">
        <v>296</v>
      </c>
      <c r="AN32" s="45">
        <f t="shared" si="1"/>
        <v>296</v>
      </c>
      <c r="AO32" s="45" cm="1">
        <f t="array" ref="AO32">_xlfn.IFS(AN32&gt;$AN$63, 3, AN32=$AN$63, 3, AN32&lt;$AN$62, 1, AN32&gt;$AN$62, 2, AN32=$AN$62, 2)</f>
        <v>2</v>
      </c>
      <c r="AP32" s="44">
        <v>13370</v>
      </c>
      <c r="AQ32" s="44">
        <v>115</v>
      </c>
      <c r="AR32" s="44">
        <v>31245</v>
      </c>
      <c r="AS32" s="44">
        <v>13509</v>
      </c>
      <c r="AT32" s="44">
        <v>14850</v>
      </c>
      <c r="AU32" s="44">
        <v>255</v>
      </c>
      <c r="AV32" s="44">
        <v>2664</v>
      </c>
      <c r="AW32" s="44">
        <v>829</v>
      </c>
      <c r="AX32" s="46">
        <f t="shared" si="9"/>
        <v>76837</v>
      </c>
      <c r="AY32" s="46" cm="1">
        <f t="array" ref="AY32">_xlfn.IFS(AX32&gt;$AX$63, 3, AX32=$AX$63, 3, AX32&lt;$AX$62, 1, AX32&gt;$AX$62, 2, AX32=$AX$62, 2)</f>
        <v>2</v>
      </c>
      <c r="AZ32" s="44">
        <v>13175</v>
      </c>
      <c r="BA32" s="44">
        <v>127</v>
      </c>
      <c r="BB32" s="44">
        <v>115</v>
      </c>
      <c r="BC32" s="44">
        <v>6519</v>
      </c>
      <c r="BD32" s="44">
        <v>36221</v>
      </c>
      <c r="BE32" s="44">
        <v>13370</v>
      </c>
      <c r="BF32" s="47">
        <f t="shared" si="7"/>
        <v>69527</v>
      </c>
      <c r="BG32" s="47" cm="1">
        <f t="array" ref="BG32">_xlfn.IFS(BF32&gt;$BF$63, 3, BF32=$BF$63, 3, BF32&lt;$BF$62, 1, BF32&gt;$BF$62, 2, BF32=$BF$62, 2)</f>
        <v>2</v>
      </c>
      <c r="BH32" s="340">
        <f t="shared" si="8"/>
        <v>2.125</v>
      </c>
    </row>
    <row r="33" spans="1:60">
      <c r="A33" s="39" t="s">
        <v>131</v>
      </c>
      <c r="B33" s="44">
        <v>12308</v>
      </c>
      <c r="C33" s="44">
        <v>6058</v>
      </c>
      <c r="D33" s="44">
        <v>1988</v>
      </c>
      <c r="E33" s="44">
        <v>8118</v>
      </c>
      <c r="F33" s="44">
        <v>6906</v>
      </c>
      <c r="G33" s="44">
        <v>400</v>
      </c>
      <c r="H33" s="46">
        <f t="shared" si="2"/>
        <v>35778</v>
      </c>
      <c r="I33" s="46" cm="1">
        <f t="array" ref="I33">_xlfn.IFS(H33&gt;$H$63, 3, H33=$H$63, 3, H33&lt;$H$62, 1, H33&gt;$H$62, 2, H33=$H$62, 2)</f>
        <v>2</v>
      </c>
      <c r="J33" s="44">
        <v>8118</v>
      </c>
      <c r="K33" s="44">
        <v>1988</v>
      </c>
      <c r="L33" s="44">
        <v>12308</v>
      </c>
      <c r="M33" s="44">
        <v>6058</v>
      </c>
      <c r="N33" s="44">
        <v>6906</v>
      </c>
      <c r="O33" s="44">
        <v>400</v>
      </c>
      <c r="P33" s="47">
        <f>SUM(J33:O33)</f>
        <v>35778</v>
      </c>
      <c r="Q33" s="47" cm="1">
        <f t="array" ref="Q33">_xlfn.IFS(P33&gt;$P$63, 3, P33=$P$63, 3, P33&lt;$P$62, 1, P33&gt;$P$62, 2, P33=$P$62, 2)</f>
        <v>2</v>
      </c>
      <c r="R33" s="44">
        <v>949</v>
      </c>
      <c r="S33" s="44">
        <v>3650</v>
      </c>
      <c r="T33" s="44">
        <v>1089</v>
      </c>
      <c r="U33" s="44">
        <v>1988</v>
      </c>
      <c r="V33" s="45">
        <f t="shared" si="0"/>
        <v>7676</v>
      </c>
      <c r="W33" s="45" cm="1">
        <f t="array" ref="W33">_xlfn.IFS(V33&gt;$V$63, 3,V33=$V$63, 3, V33&lt;$V$62, 1, V33&gt;$V$62, 2, V33=$V$62, 2)</f>
        <v>1</v>
      </c>
      <c r="X33" s="44">
        <v>949</v>
      </c>
      <c r="Y33" s="44">
        <v>3650</v>
      </c>
      <c r="Z33" s="44">
        <v>1988</v>
      </c>
      <c r="AA33" s="44">
        <v>12308</v>
      </c>
      <c r="AB33" s="44">
        <v>6058</v>
      </c>
      <c r="AC33" s="44">
        <v>400</v>
      </c>
      <c r="AD33" s="62">
        <f t="shared" si="4"/>
        <v>25353</v>
      </c>
      <c r="AE33" s="46" cm="1">
        <f t="array" ref="AE33">_xlfn.IFS(AD33&gt;$AD$63, 3,AD33=$AD$63, 3, AD33&lt;$AD$62, 1, AD33&gt;$AD$62, 2, AD33=$AD$62, 2)</f>
        <v>1</v>
      </c>
      <c r="AF33" s="44">
        <v>2870</v>
      </c>
      <c r="AG33" s="44">
        <v>949</v>
      </c>
      <c r="AH33" s="44">
        <v>3650</v>
      </c>
      <c r="AI33" s="44">
        <v>1988</v>
      </c>
      <c r="AJ33" s="47">
        <f t="shared" si="10"/>
        <v>9457</v>
      </c>
      <c r="AK33" s="47" cm="1">
        <f t="array" ref="AK33">_xlfn.IFS(AJ33&gt;$AJ$63, 3, AJ33=$AJ$63, 3, AJ33&lt;$AJ$62, 1, AJ33&gt;$AJ$62, 2, AJ33=$AJ$62, 2)</f>
        <v>1</v>
      </c>
      <c r="AL33" s="48">
        <v>401</v>
      </c>
      <c r="AM33" s="44">
        <v>1089</v>
      </c>
      <c r="AN33" s="45">
        <f t="shared" si="1"/>
        <v>1490</v>
      </c>
      <c r="AO33" s="45" cm="1">
        <f t="array" ref="AO33">_xlfn.IFS(AN33&gt;$AN$63, 3, AN33=$AN$63, 3, AN33&lt;$AN$62, 1, AN33&gt;$AN$62, 2, AN33=$AN$62, 2)</f>
        <v>3</v>
      </c>
      <c r="AP33" s="44">
        <v>6058</v>
      </c>
      <c r="AQ33" s="44">
        <v>1988</v>
      </c>
      <c r="AR33" s="44">
        <v>9784</v>
      </c>
      <c r="AS33" s="44">
        <v>8696</v>
      </c>
      <c r="AT33" s="44">
        <v>12274</v>
      </c>
      <c r="AU33" s="44">
        <v>248</v>
      </c>
      <c r="AV33" s="44">
        <v>2870</v>
      </c>
      <c r="AW33" s="44">
        <v>2758</v>
      </c>
      <c r="AX33" s="46">
        <f t="shared" si="9"/>
        <v>44676</v>
      </c>
      <c r="AY33" s="46" cm="1">
        <f t="array" ref="AY33">_xlfn.IFS(AX33&gt;$AX$63, 3, AX33=$AX$63, 3, AX33&lt;$AX$62, 1, AX33&gt;$AX$62, 2, AX33=$AX$62, 2)</f>
        <v>2</v>
      </c>
      <c r="AZ33" s="44">
        <v>8118</v>
      </c>
      <c r="BA33" s="44">
        <v>400</v>
      </c>
      <c r="BB33" s="44">
        <v>1988</v>
      </c>
      <c r="BC33" s="44">
        <v>6906</v>
      </c>
      <c r="BD33" s="44">
        <v>12308</v>
      </c>
      <c r="BE33" s="44">
        <v>6058</v>
      </c>
      <c r="BF33" s="47">
        <f>SUM(AZ33:BE33)</f>
        <v>35778</v>
      </c>
      <c r="BG33" s="47" cm="1">
        <f t="array" ref="BG33">_xlfn.IFS(BF33&gt;$BF$63, 3, BF33=$BF$63, 3, BF33&lt;$BF$62, 1, BF33&gt;$BF$62, 2, BF33=$BF$62, 2)</f>
        <v>2</v>
      </c>
      <c r="BH33" s="340">
        <f t="shared" si="8"/>
        <v>1.75</v>
      </c>
    </row>
    <row r="34" spans="1:60">
      <c r="A34" s="39" t="s">
        <v>132</v>
      </c>
      <c r="B34" s="44">
        <v>28759</v>
      </c>
      <c r="C34" s="44">
        <v>22849</v>
      </c>
      <c r="D34" s="44">
        <v>231</v>
      </c>
      <c r="E34" s="44">
        <v>11969</v>
      </c>
      <c r="F34" s="44">
        <v>11818</v>
      </c>
      <c r="G34" s="44">
        <v>66</v>
      </c>
      <c r="H34" s="46">
        <f t="shared" si="2"/>
        <v>75692</v>
      </c>
      <c r="I34" s="46" cm="1">
        <f t="array" ref="I34">_xlfn.IFS(H34&gt;$H$63, 3, H34=$H$63, 3, H34&lt;$H$62, 1, H34&gt;$H$62, 2, H34=$H$62, 2)</f>
        <v>3</v>
      </c>
      <c r="J34" s="44">
        <v>11969</v>
      </c>
      <c r="K34" s="44">
        <v>231</v>
      </c>
      <c r="L34" s="44">
        <v>28759</v>
      </c>
      <c r="M34" s="44">
        <v>22849</v>
      </c>
      <c r="N34" s="44">
        <v>11818</v>
      </c>
      <c r="O34" s="44">
        <v>66</v>
      </c>
      <c r="P34" s="47">
        <f t="shared" ref="P34:P42" si="11">SUM(J34:O34)</f>
        <v>75692</v>
      </c>
      <c r="Q34" s="47" cm="1">
        <f t="array" ref="Q34">_xlfn.IFS(P34&gt;$P$63, 3, P34=$P$63, 3, P34&lt;$P$62, 1, P34&gt;$P$62, 2, P34=$P$62, 2)</f>
        <v>3</v>
      </c>
      <c r="R34" s="44">
        <v>4009</v>
      </c>
      <c r="S34" s="44">
        <v>8344</v>
      </c>
      <c r="T34" s="44">
        <v>464</v>
      </c>
      <c r="U34" s="44">
        <v>231</v>
      </c>
      <c r="V34" s="45">
        <f t="shared" si="0"/>
        <v>13048</v>
      </c>
      <c r="W34" s="45" cm="1">
        <f t="array" ref="W34">_xlfn.IFS(V34&gt;$V$63, 3,V34=$V$63, 3, V34&lt;$V$62, 1, V34&gt;$V$62, 2, V34=$V$62, 2)</f>
        <v>2</v>
      </c>
      <c r="X34" s="44">
        <v>4009</v>
      </c>
      <c r="Y34" s="44">
        <v>8344</v>
      </c>
      <c r="Z34" s="44">
        <v>231</v>
      </c>
      <c r="AA34" s="44">
        <v>28759</v>
      </c>
      <c r="AB34" s="44">
        <v>22849</v>
      </c>
      <c r="AC34" s="44">
        <v>66</v>
      </c>
      <c r="AD34" s="62">
        <f t="shared" si="4"/>
        <v>64258</v>
      </c>
      <c r="AE34" s="46" cm="1">
        <f t="array" ref="AE34">_xlfn.IFS(AD34&gt;$AD$63, 3,AD34=$AD$63, 3, AD34&lt;$AD$62, 1, AD34&gt;$AD$62, 2, AD34=$AD$62, 2)</f>
        <v>2</v>
      </c>
      <c r="AF34" s="44">
        <v>3126</v>
      </c>
      <c r="AG34" s="44">
        <v>4009</v>
      </c>
      <c r="AH34" s="44">
        <v>8344</v>
      </c>
      <c r="AI34" s="44">
        <v>231</v>
      </c>
      <c r="AJ34" s="47">
        <f t="shared" si="10"/>
        <v>15710</v>
      </c>
      <c r="AK34" s="47" cm="1">
        <f t="array" ref="AK34">_xlfn.IFS(AJ34&gt;$AJ$63, 3, AJ34=$AJ$63, 3, AJ34&lt;$AJ$62, 1, AJ34&gt;$AJ$62, 2, AJ34=$AJ$62, 2)</f>
        <v>2</v>
      </c>
      <c r="AL34" s="48" t="s">
        <v>542</v>
      </c>
      <c r="AM34" s="44">
        <v>464</v>
      </c>
      <c r="AN34" s="45">
        <f t="shared" si="1"/>
        <v>464</v>
      </c>
      <c r="AO34" s="45" cm="1">
        <f t="array" ref="AO34">_xlfn.IFS(AN34&gt;$AN$63, 3, AN34=$AN$63, 3, AN34&lt;$AN$62, 1, AN34&gt;$AN$62, 2, AN34=$AN$62, 2)</f>
        <v>2</v>
      </c>
      <c r="AP34" s="44">
        <v>22849</v>
      </c>
      <c r="AQ34" s="44">
        <v>231</v>
      </c>
      <c r="AR34" s="44">
        <v>30918</v>
      </c>
      <c r="AS34" s="44">
        <v>6928</v>
      </c>
      <c r="AT34" s="44">
        <v>19451</v>
      </c>
      <c r="AU34" s="44" t="s">
        <v>542</v>
      </c>
      <c r="AV34" s="44">
        <v>3126</v>
      </c>
      <c r="AW34" s="44">
        <v>240</v>
      </c>
      <c r="AX34" s="46">
        <f t="shared" si="9"/>
        <v>83743</v>
      </c>
      <c r="AY34" s="46" cm="1">
        <f t="array" ref="AY34">_xlfn.IFS(AX34&gt;$AX$63, 3, AX34=$AX$63, 3, AX34&lt;$AX$62, 1, AX34&gt;$AX$62, 2, AX34=$AX$62, 2)</f>
        <v>2</v>
      </c>
      <c r="AZ34" s="44">
        <v>11969</v>
      </c>
      <c r="BA34" s="44">
        <v>66</v>
      </c>
      <c r="BB34" s="44">
        <v>231</v>
      </c>
      <c r="BC34" s="44">
        <v>11818</v>
      </c>
      <c r="BD34" s="44">
        <v>28759</v>
      </c>
      <c r="BE34" s="44">
        <v>22849</v>
      </c>
      <c r="BF34" s="47">
        <f t="shared" ref="BF34:BF50" si="12">SUM(AZ34:BE34)</f>
        <v>75692</v>
      </c>
      <c r="BG34" s="47" cm="1">
        <f t="array" ref="BG34">_xlfn.IFS(BF34&gt;$BF$63, 3, BF34=$BF$63, 3, BF34&lt;$BF$62, 1, BF34&gt;$BF$62, 2, BF34=$BF$62, 2)</f>
        <v>3</v>
      </c>
      <c r="BH34" s="340">
        <f t="shared" si="8"/>
        <v>2.375</v>
      </c>
    </row>
    <row r="35" spans="1:60">
      <c r="A35" s="39" t="s">
        <v>133</v>
      </c>
      <c r="B35" s="44">
        <v>1449</v>
      </c>
      <c r="C35" s="44">
        <v>1114</v>
      </c>
      <c r="D35" s="44">
        <v>1920</v>
      </c>
      <c r="E35" s="44">
        <v>2895</v>
      </c>
      <c r="F35" s="44">
        <v>164</v>
      </c>
      <c r="G35" s="44">
        <v>391</v>
      </c>
      <c r="H35" s="46">
        <f t="shared" si="2"/>
        <v>7933</v>
      </c>
      <c r="I35" s="46" cm="1">
        <f t="array" ref="I35">_xlfn.IFS(H35&gt;$H$63, 3, H35=$H$63, 3, H35&lt;$H$62, 1, H35&gt;$H$62, 2, H35=$H$62, 2)</f>
        <v>1</v>
      </c>
      <c r="J35" s="44">
        <v>2895</v>
      </c>
      <c r="K35" s="44">
        <v>1920</v>
      </c>
      <c r="L35" s="44">
        <v>1449</v>
      </c>
      <c r="M35" s="44">
        <v>1114</v>
      </c>
      <c r="N35" s="44">
        <v>164</v>
      </c>
      <c r="O35" s="44">
        <v>391</v>
      </c>
      <c r="P35" s="47">
        <f t="shared" si="11"/>
        <v>7933</v>
      </c>
      <c r="Q35" s="47" cm="1">
        <f t="array" ref="Q35">_xlfn.IFS(P35&gt;$P$63, 3, P35=$P$63, 3, P35&lt;$P$62, 1, P35&gt;$P$62, 2, P35=$P$62, 2)</f>
        <v>1</v>
      </c>
      <c r="R35" s="44">
        <v>4419</v>
      </c>
      <c r="S35" s="44">
        <v>1416</v>
      </c>
      <c r="T35" s="44" t="s">
        <v>542</v>
      </c>
      <c r="U35" s="44">
        <v>1920</v>
      </c>
      <c r="V35" s="45">
        <f t="shared" si="0"/>
        <v>7755</v>
      </c>
      <c r="W35" s="45" cm="1">
        <f t="array" ref="W35">_xlfn.IFS(V35&gt;$V$63, 3,V35=$V$63, 3, V35&lt;$V$62, 1, V35&gt;$V$62, 2, V35=$V$62, 2)</f>
        <v>1</v>
      </c>
      <c r="X35" s="44">
        <v>4419</v>
      </c>
      <c r="Y35" s="44">
        <v>1416</v>
      </c>
      <c r="Z35" s="44">
        <v>1920</v>
      </c>
      <c r="AA35" s="44">
        <v>1449</v>
      </c>
      <c r="AB35" s="44">
        <v>1114</v>
      </c>
      <c r="AC35" s="44">
        <v>391</v>
      </c>
      <c r="AD35" s="62">
        <f t="shared" si="4"/>
        <v>10709</v>
      </c>
      <c r="AE35" s="46" cm="1">
        <f t="array" ref="AE35">_xlfn.IFS(AD35&gt;$AD$63, 3,AD35=$AD$63, 3, AD35&lt;$AD$62, 1, AD35&gt;$AD$62, 2, AD35=$AD$62, 2)</f>
        <v>1</v>
      </c>
      <c r="AF35" s="44">
        <v>1399</v>
      </c>
      <c r="AG35" s="44">
        <v>4419</v>
      </c>
      <c r="AH35" s="44">
        <v>1416</v>
      </c>
      <c r="AI35" s="44">
        <v>1920</v>
      </c>
      <c r="AJ35" s="47">
        <f t="shared" si="10"/>
        <v>9154</v>
      </c>
      <c r="AK35" s="47" cm="1">
        <f t="array" ref="AK35">_xlfn.IFS(AJ35&gt;$AJ$63, 3, AJ35=$AJ$63, 3, AJ35&lt;$AJ$62, 1, AJ35&gt;$AJ$62, 2, AJ35=$AJ$62, 2)</f>
        <v>1</v>
      </c>
      <c r="AL35" s="48" t="s">
        <v>542</v>
      </c>
      <c r="AM35" s="44" t="s">
        <v>542</v>
      </c>
      <c r="AN35" s="45">
        <f t="shared" si="1"/>
        <v>0</v>
      </c>
      <c r="AO35" s="45" cm="1">
        <f t="array" ref="AO35">_xlfn.IFS(AN35&gt;$AN$63, 3, AN35=$AN$63, 3, AN35&lt;$AN$62, 1, AN35&gt;$AN$62, 2, AN35=$AN$62, 2)</f>
        <v>1</v>
      </c>
      <c r="AP35" s="44">
        <v>1114</v>
      </c>
      <c r="AQ35" s="44">
        <v>1920</v>
      </c>
      <c r="AR35" s="44">
        <v>9855</v>
      </c>
      <c r="AS35" s="44">
        <v>2554</v>
      </c>
      <c r="AT35" s="44">
        <v>5516</v>
      </c>
      <c r="AU35" s="44">
        <v>175</v>
      </c>
      <c r="AV35" s="44">
        <v>1399</v>
      </c>
      <c r="AW35" s="44">
        <v>504</v>
      </c>
      <c r="AX35" s="46">
        <f t="shared" si="9"/>
        <v>23037</v>
      </c>
      <c r="AY35" s="46" cm="1">
        <f t="array" ref="AY35">_xlfn.IFS(AX35&gt;$AX$63, 3, AX35=$AX$63, 3, AX35&lt;$AX$62, 1, AX35&gt;$AX$62, 2, AX35=$AX$62, 2)</f>
        <v>1</v>
      </c>
      <c r="AZ35" s="44">
        <v>2895</v>
      </c>
      <c r="BA35" s="44">
        <v>391</v>
      </c>
      <c r="BB35" s="44">
        <v>1920</v>
      </c>
      <c r="BC35" s="44">
        <v>164</v>
      </c>
      <c r="BD35" s="44">
        <v>1449</v>
      </c>
      <c r="BE35" s="44">
        <v>1114</v>
      </c>
      <c r="BF35" s="47">
        <f t="shared" si="12"/>
        <v>7933</v>
      </c>
      <c r="BG35" s="47" cm="1">
        <f t="array" ref="BG35">_xlfn.IFS(BF35&gt;$BF$63, 3, BF35=$BF$63, 3, BF35&lt;$BF$62, 1, BF35&gt;$BF$62, 2, BF35=$BF$62, 2)</f>
        <v>1</v>
      </c>
      <c r="BH35" s="340">
        <f t="shared" si="8"/>
        <v>1</v>
      </c>
    </row>
    <row r="36" spans="1:60">
      <c r="A36" s="39" t="s">
        <v>134</v>
      </c>
      <c r="B36" s="44">
        <v>9156</v>
      </c>
      <c r="C36" s="44">
        <v>6895</v>
      </c>
      <c r="D36" s="44">
        <v>150</v>
      </c>
      <c r="E36" s="44">
        <v>1093</v>
      </c>
      <c r="F36" s="44">
        <v>1666</v>
      </c>
      <c r="G36" s="44">
        <v>62</v>
      </c>
      <c r="H36" s="46">
        <f t="shared" si="2"/>
        <v>19022</v>
      </c>
      <c r="I36" s="46" cm="1">
        <f t="array" ref="I36">_xlfn.IFS(H36&gt;$H$63, 3, H36=$H$63, 3, H36&lt;$H$62, 1, H36&gt;$H$62, 2, H36=$H$62, 2)</f>
        <v>1</v>
      </c>
      <c r="J36" s="44">
        <v>1093</v>
      </c>
      <c r="K36" s="44">
        <v>150</v>
      </c>
      <c r="L36" s="44">
        <v>9156</v>
      </c>
      <c r="M36" s="44">
        <v>6895</v>
      </c>
      <c r="N36" s="44">
        <v>1666</v>
      </c>
      <c r="O36" s="44">
        <v>62</v>
      </c>
      <c r="P36" s="47">
        <f t="shared" si="11"/>
        <v>19022</v>
      </c>
      <c r="Q36" s="47" cm="1">
        <f t="array" ref="Q36">_xlfn.IFS(P36&gt;$P$63, 3, P36=$P$63, 3, P36&lt;$P$62, 1, P36&gt;$P$62, 2, P36=$P$62, 2)</f>
        <v>1</v>
      </c>
      <c r="R36" s="44">
        <v>770</v>
      </c>
      <c r="S36" s="44">
        <v>2900</v>
      </c>
      <c r="T36" s="44" t="s">
        <v>542</v>
      </c>
      <c r="U36" s="44">
        <v>150</v>
      </c>
      <c r="V36" s="45">
        <f t="shared" si="0"/>
        <v>3820</v>
      </c>
      <c r="W36" s="45" cm="1">
        <f t="array" ref="W36">_xlfn.IFS(V36&gt;$V$63, 3,V36=$V$63, 3, V36&lt;$V$62, 1, V36&gt;$V$62, 2, V36=$V$62, 2)</f>
        <v>1</v>
      </c>
      <c r="X36" s="44">
        <v>770</v>
      </c>
      <c r="Y36" s="44">
        <v>2900</v>
      </c>
      <c r="Z36" s="44">
        <v>150</v>
      </c>
      <c r="AA36" s="44">
        <v>9156</v>
      </c>
      <c r="AB36" s="44">
        <v>6895</v>
      </c>
      <c r="AC36" s="44">
        <v>62</v>
      </c>
      <c r="AD36" s="62">
        <f t="shared" si="4"/>
        <v>19933</v>
      </c>
      <c r="AE36" s="46" cm="1">
        <f t="array" ref="AE36">_xlfn.IFS(AD36&gt;$AD$63, 3,AD36=$AD$63, 3, AD36&lt;$AD$62, 1, AD36&gt;$AD$62, 2, AD36=$AD$62, 2)</f>
        <v>1</v>
      </c>
      <c r="AF36" s="44">
        <v>1954</v>
      </c>
      <c r="AG36" s="44">
        <v>770</v>
      </c>
      <c r="AH36" s="44">
        <v>2900</v>
      </c>
      <c r="AI36" s="44">
        <v>150</v>
      </c>
      <c r="AJ36" s="47">
        <f t="shared" si="10"/>
        <v>5774</v>
      </c>
      <c r="AK36" s="47" cm="1">
        <f t="array" ref="AK36">_xlfn.IFS(AJ36&gt;$AJ$63, 3, AJ36=$AJ$63, 3, AJ36&lt;$AJ$62, 1, AJ36&gt;$AJ$62, 2, AJ36=$AJ$62, 2)</f>
        <v>1</v>
      </c>
      <c r="AL36" s="48" t="s">
        <v>542</v>
      </c>
      <c r="AM36" s="44" t="s">
        <v>542</v>
      </c>
      <c r="AN36" s="45">
        <f t="shared" si="1"/>
        <v>0</v>
      </c>
      <c r="AO36" s="45" cm="1">
        <f t="array" ref="AO36">_xlfn.IFS(AN36&gt;$AN$63, 3, AN36=$AN$63, 3, AN36&lt;$AN$62, 1, AN36&gt;$AN$62, 2, AN36=$AN$62, 2)</f>
        <v>1</v>
      </c>
      <c r="AP36" s="44">
        <v>6895</v>
      </c>
      <c r="AQ36" s="44">
        <v>150</v>
      </c>
      <c r="AR36" s="44">
        <v>12568</v>
      </c>
      <c r="AS36" s="44">
        <v>2223</v>
      </c>
      <c r="AT36" s="44">
        <v>7535</v>
      </c>
      <c r="AU36" s="44">
        <v>229</v>
      </c>
      <c r="AV36" s="44">
        <v>1954</v>
      </c>
      <c r="AW36" s="44">
        <v>6</v>
      </c>
      <c r="AX36" s="46">
        <f t="shared" si="9"/>
        <v>31560</v>
      </c>
      <c r="AY36" s="46" cm="1">
        <f t="array" ref="AY36">_xlfn.IFS(AX36&gt;$AX$63, 3, AX36=$AX$63, 3, AX36&lt;$AX$62, 1, AX36&gt;$AX$62, 2, AX36=$AX$62, 2)</f>
        <v>1</v>
      </c>
      <c r="AZ36" s="44">
        <v>1093</v>
      </c>
      <c r="BA36" s="44">
        <v>62</v>
      </c>
      <c r="BB36" s="44">
        <v>150</v>
      </c>
      <c r="BC36" s="44">
        <v>1666</v>
      </c>
      <c r="BD36" s="44">
        <v>9156</v>
      </c>
      <c r="BE36" s="44">
        <v>6895</v>
      </c>
      <c r="BF36" s="47">
        <f t="shared" si="12"/>
        <v>19022</v>
      </c>
      <c r="BG36" s="47" cm="1">
        <f t="array" ref="BG36">_xlfn.IFS(BF36&gt;$BF$63, 3, BF36=$BF$63, 3, BF36&lt;$BF$62, 1, BF36&gt;$BF$62, 2, BF36=$BF$62, 2)</f>
        <v>1</v>
      </c>
      <c r="BH36" s="340">
        <f t="shared" si="8"/>
        <v>1</v>
      </c>
    </row>
    <row r="37" spans="1:60">
      <c r="A37" s="39" t="s">
        <v>135</v>
      </c>
      <c r="B37" s="44">
        <v>2103</v>
      </c>
      <c r="C37" s="44">
        <v>2833</v>
      </c>
      <c r="D37" s="44">
        <v>2427</v>
      </c>
      <c r="E37" s="44">
        <v>4571</v>
      </c>
      <c r="F37" s="44">
        <v>13486</v>
      </c>
      <c r="G37" s="44">
        <v>12</v>
      </c>
      <c r="H37" s="46">
        <f t="shared" si="2"/>
        <v>25432</v>
      </c>
      <c r="I37" s="46" cm="1">
        <f t="array" ref="I37">_xlfn.IFS(H37&gt;$H$63, 3, H37=$H$63, 3, H37&lt;$H$62, 1, H37&gt;$H$62, 2, H37=$H$62, 2)</f>
        <v>1</v>
      </c>
      <c r="J37" s="44">
        <v>4571</v>
      </c>
      <c r="K37" s="44">
        <v>2427</v>
      </c>
      <c r="L37" s="44">
        <v>2103</v>
      </c>
      <c r="M37" s="44">
        <v>2833</v>
      </c>
      <c r="N37" s="44">
        <v>13486</v>
      </c>
      <c r="O37" s="44">
        <v>12</v>
      </c>
      <c r="P37" s="47">
        <f t="shared" si="11"/>
        <v>25432</v>
      </c>
      <c r="Q37" s="47" cm="1">
        <f t="array" ref="Q37">_xlfn.IFS(P37&gt;$P$63, 3, P37=$P$63, 3, P37&lt;$P$62, 1, P37&gt;$P$62, 2, P37=$P$62, 2)</f>
        <v>1</v>
      </c>
      <c r="R37" s="44">
        <v>12024</v>
      </c>
      <c r="S37" s="44">
        <v>4119</v>
      </c>
      <c r="T37" s="44">
        <v>8</v>
      </c>
      <c r="U37" s="44">
        <v>2427</v>
      </c>
      <c r="V37" s="45">
        <f t="shared" si="0"/>
        <v>18578</v>
      </c>
      <c r="W37" s="45" cm="1">
        <f t="array" ref="W37">_xlfn.IFS(V37&gt;$V$63, 3,V37=$V$63, 3, V37&lt;$V$62, 1, V37&gt;$V$62, 2, V37=$V$62, 2)</f>
        <v>2</v>
      </c>
      <c r="X37" s="44">
        <v>12024</v>
      </c>
      <c r="Y37" s="44">
        <v>4119</v>
      </c>
      <c r="Z37" s="44">
        <v>2427</v>
      </c>
      <c r="AA37" s="44">
        <v>2103</v>
      </c>
      <c r="AB37" s="44">
        <v>2833</v>
      </c>
      <c r="AC37" s="44">
        <v>12</v>
      </c>
      <c r="AD37" s="62">
        <f t="shared" si="4"/>
        <v>23518</v>
      </c>
      <c r="AE37" s="46" cm="1">
        <f t="array" ref="AE37">_xlfn.IFS(AD37&gt;$AD$63, 3,AD37=$AD$63, 3, AD37&lt;$AD$62, 1, AD37&gt;$AD$62, 2, AD37=$AD$62, 2)</f>
        <v>1</v>
      </c>
      <c r="AF37" s="44">
        <v>453</v>
      </c>
      <c r="AG37" s="44">
        <v>12024</v>
      </c>
      <c r="AH37" s="44">
        <v>4119</v>
      </c>
      <c r="AI37" s="44">
        <v>2427</v>
      </c>
      <c r="AJ37" s="47">
        <f t="shared" si="10"/>
        <v>19023</v>
      </c>
      <c r="AK37" s="47" cm="1">
        <f t="array" ref="AK37">_xlfn.IFS(AJ37&gt;$AJ$63, 3, AJ37=$AJ$63, 3, AJ37&lt;$AJ$62, 1, AJ37&gt;$AJ$62, 2, AJ37=$AJ$62, 2)</f>
        <v>2</v>
      </c>
      <c r="AL37" s="48" t="s">
        <v>542</v>
      </c>
      <c r="AM37" s="44">
        <v>8</v>
      </c>
      <c r="AN37" s="45">
        <f t="shared" si="1"/>
        <v>8</v>
      </c>
      <c r="AO37" s="45" cm="1">
        <f t="array" ref="AO37">_xlfn.IFS(AN37&gt;$AN$63, 3, AN37=$AN$63, 3, AN37&lt;$AN$62, 1, AN37&gt;$AN$62, 2, AN37=$AN$62, 2)</f>
        <v>1</v>
      </c>
      <c r="AP37" s="44">
        <v>2833</v>
      </c>
      <c r="AQ37" s="44">
        <v>2427</v>
      </c>
      <c r="AR37" s="44">
        <v>18162</v>
      </c>
      <c r="AS37" s="44">
        <v>1759</v>
      </c>
      <c r="AT37" s="44">
        <v>11231</v>
      </c>
      <c r="AU37" s="44">
        <v>639</v>
      </c>
      <c r="AV37" s="44">
        <v>453</v>
      </c>
      <c r="AW37" s="44" t="s">
        <v>542</v>
      </c>
      <c r="AX37" s="46">
        <f t="shared" si="9"/>
        <v>37504</v>
      </c>
      <c r="AY37" s="46" cm="1">
        <f t="array" ref="AY37">_xlfn.IFS(AX37&gt;$AX$63, 3, AX37=$AX$63, 3, AX37&lt;$AX$62, 1, AX37&gt;$AX$62, 2, AX37=$AX$62, 2)</f>
        <v>1</v>
      </c>
      <c r="AZ37" s="44">
        <v>4571</v>
      </c>
      <c r="BA37" s="44">
        <v>12</v>
      </c>
      <c r="BB37" s="44">
        <v>2427</v>
      </c>
      <c r="BC37" s="44">
        <v>13486</v>
      </c>
      <c r="BD37" s="44">
        <v>2103</v>
      </c>
      <c r="BE37" s="44">
        <v>2833</v>
      </c>
      <c r="BF37" s="47">
        <f t="shared" si="12"/>
        <v>25432</v>
      </c>
      <c r="BG37" s="47" cm="1">
        <f t="array" ref="BG37">_xlfn.IFS(BF37&gt;$BF$63, 3, BF37=$BF$63, 3, BF37&lt;$BF$62, 1, BF37&gt;$BF$62, 2, BF37=$BF$62, 2)</f>
        <v>1</v>
      </c>
      <c r="BH37" s="340">
        <f t="shared" si="8"/>
        <v>1.25</v>
      </c>
    </row>
    <row r="38" spans="1:60">
      <c r="A38" s="39" t="s">
        <v>136</v>
      </c>
      <c r="B38" s="44">
        <v>7383</v>
      </c>
      <c r="C38" s="44">
        <v>2812</v>
      </c>
      <c r="D38" s="44" t="s">
        <v>542</v>
      </c>
      <c r="E38" s="44">
        <v>2110</v>
      </c>
      <c r="F38" s="44">
        <v>4430</v>
      </c>
      <c r="G38" s="44" t="s">
        <v>542</v>
      </c>
      <c r="H38" s="46">
        <f t="shared" si="2"/>
        <v>16735</v>
      </c>
      <c r="I38" s="46" cm="1">
        <f t="array" ref="I38">_xlfn.IFS(H38&gt;$H$63, 3, H38=$H$63, 3, H38&lt;$H$62, 1, H38&gt;$H$62, 2, H38=$H$62, 2)</f>
        <v>1</v>
      </c>
      <c r="J38" s="44">
        <v>2110</v>
      </c>
      <c r="K38" s="44" t="s">
        <v>542</v>
      </c>
      <c r="L38" s="44">
        <v>7383</v>
      </c>
      <c r="M38" s="44">
        <v>2812</v>
      </c>
      <c r="N38" s="44">
        <v>4430</v>
      </c>
      <c r="O38" s="44" t="s">
        <v>542</v>
      </c>
      <c r="P38" s="47">
        <f t="shared" si="11"/>
        <v>16735</v>
      </c>
      <c r="Q38" s="47" cm="1">
        <f t="array" ref="Q38">_xlfn.IFS(P38&gt;$P$63, 3, P38=$P$63, 3, P38&lt;$P$62, 1, P38&gt;$P$62, 2, P38=$P$62, 2)</f>
        <v>1</v>
      </c>
      <c r="R38" s="44" t="s">
        <v>542</v>
      </c>
      <c r="S38" s="44">
        <v>1949</v>
      </c>
      <c r="T38" s="44" t="s">
        <v>542</v>
      </c>
      <c r="U38" s="44" t="s">
        <v>542</v>
      </c>
      <c r="V38" s="45">
        <f t="shared" si="0"/>
        <v>1949</v>
      </c>
      <c r="W38" s="45" cm="1">
        <f t="array" ref="W38">_xlfn.IFS(V38&gt;$V$63, 3,V38=$V$63, 3, V38&lt;$V$62, 1, V38&gt;$V$62, 2, V38=$V$62, 2)</f>
        <v>1</v>
      </c>
      <c r="X38" s="44" t="s">
        <v>542</v>
      </c>
      <c r="Y38" s="44">
        <v>1949</v>
      </c>
      <c r="Z38" s="44" t="s">
        <v>542</v>
      </c>
      <c r="AA38" s="44">
        <v>7383</v>
      </c>
      <c r="AB38" s="44">
        <v>2812</v>
      </c>
      <c r="AC38" s="44" t="s">
        <v>542</v>
      </c>
      <c r="AD38" s="62">
        <f t="shared" si="4"/>
        <v>12144</v>
      </c>
      <c r="AE38" s="46" cm="1">
        <f t="array" ref="AE38">_xlfn.IFS(AD38&gt;$AD$63, 3,AD38=$AD$63, 3, AD38&lt;$AD$62, 1, AD38&gt;$AD$62, 2, AD38=$AD$62, 2)</f>
        <v>1</v>
      </c>
      <c r="AF38" s="44" t="s">
        <v>542</v>
      </c>
      <c r="AG38" s="44" t="s">
        <v>542</v>
      </c>
      <c r="AH38" s="44">
        <v>1949</v>
      </c>
      <c r="AI38" s="44" t="s">
        <v>542</v>
      </c>
      <c r="AJ38" s="47">
        <f t="shared" si="10"/>
        <v>1949</v>
      </c>
      <c r="AK38" s="47" cm="1">
        <f t="array" ref="AK38">_xlfn.IFS(AJ38&gt;$AJ$63, 3, AJ38=$AJ$63, 3, AJ38&lt;$AJ$62, 1, AJ38&gt;$AJ$62, 2, AJ38=$AJ$62, 2)</f>
        <v>1</v>
      </c>
      <c r="AL38" s="48">
        <v>7</v>
      </c>
      <c r="AM38" s="44" t="s">
        <v>542</v>
      </c>
      <c r="AN38" s="45">
        <f t="shared" si="1"/>
        <v>7</v>
      </c>
      <c r="AO38" s="45" cm="1">
        <f t="array" ref="AO38">_xlfn.IFS(AN38&gt;$AN$63, 3, AN38=$AN$63, 3, AN38&lt;$AN$62, 1, AN38&gt;$AN$62, 2, AN38=$AN$62, 2)</f>
        <v>1</v>
      </c>
      <c r="AP38" s="44">
        <v>2812</v>
      </c>
      <c r="AQ38" s="44" t="s">
        <v>542</v>
      </c>
      <c r="AR38" s="44">
        <v>6917</v>
      </c>
      <c r="AS38" s="44">
        <v>1660</v>
      </c>
      <c r="AT38" s="44">
        <v>3725</v>
      </c>
      <c r="AU38" s="44" t="s">
        <v>542</v>
      </c>
      <c r="AV38" s="44" t="s">
        <v>542</v>
      </c>
      <c r="AW38" s="44">
        <v>367</v>
      </c>
      <c r="AX38" s="46">
        <f t="shared" si="9"/>
        <v>15481</v>
      </c>
      <c r="AY38" s="46" cm="1">
        <f t="array" ref="AY38">_xlfn.IFS(AX38&gt;$AX$63, 3, AX38=$AX$63, 3, AX38&lt;$AX$62, 1, AX38&gt;$AX$62, 2, AX38=$AX$62, 2)</f>
        <v>1</v>
      </c>
      <c r="AZ38" s="44">
        <v>2110</v>
      </c>
      <c r="BA38" s="44" t="s">
        <v>542</v>
      </c>
      <c r="BB38" s="44" t="s">
        <v>542</v>
      </c>
      <c r="BC38" s="44">
        <v>4430</v>
      </c>
      <c r="BD38" s="44">
        <v>7383</v>
      </c>
      <c r="BE38" s="44">
        <v>2812</v>
      </c>
      <c r="BF38" s="47">
        <f t="shared" si="12"/>
        <v>16735</v>
      </c>
      <c r="BG38" s="47" cm="1">
        <f t="array" ref="BG38">_xlfn.IFS(BF38&gt;$BF$63, 3, BF38=$BF$63, 3, BF38&lt;$BF$62, 1, BF38&gt;$BF$62, 2, BF38=$BF$62, 2)</f>
        <v>1</v>
      </c>
      <c r="BH38" s="340">
        <f t="shared" si="8"/>
        <v>1</v>
      </c>
    </row>
    <row r="39" spans="1:60">
      <c r="A39" s="39" t="s">
        <v>137</v>
      </c>
      <c r="B39" s="44">
        <v>13412</v>
      </c>
      <c r="C39" s="44">
        <v>49742</v>
      </c>
      <c r="D39" s="44">
        <v>147</v>
      </c>
      <c r="E39" s="44">
        <v>14617</v>
      </c>
      <c r="F39" s="44">
        <v>6557</v>
      </c>
      <c r="G39" s="44">
        <v>20</v>
      </c>
      <c r="H39" s="46">
        <f t="shared" si="2"/>
        <v>84495</v>
      </c>
      <c r="I39" s="46" cm="1">
        <f t="array" ref="I39">_xlfn.IFS(H39&gt;$H$63, 3, H39=$H$63, 3, H39&lt;$H$62, 1, H39&gt;$H$62, 2, H39=$H$62, 2)</f>
        <v>3</v>
      </c>
      <c r="J39" s="44">
        <v>14617</v>
      </c>
      <c r="K39" s="44">
        <v>147</v>
      </c>
      <c r="L39" s="44">
        <v>13412</v>
      </c>
      <c r="M39" s="44">
        <v>49742</v>
      </c>
      <c r="N39" s="44">
        <v>6557</v>
      </c>
      <c r="O39" s="44">
        <v>20</v>
      </c>
      <c r="P39" s="47">
        <f t="shared" si="11"/>
        <v>84495</v>
      </c>
      <c r="Q39" s="47" cm="1">
        <f t="array" ref="Q39">_xlfn.IFS(P39&gt;$P$63, 3, P39=$P$63, 3, P39&lt;$P$62, 1, P39&gt;$P$62, 2, P39=$P$62, 2)</f>
        <v>3</v>
      </c>
      <c r="R39" s="44">
        <v>1309</v>
      </c>
      <c r="S39" s="44">
        <v>10229</v>
      </c>
      <c r="T39" s="44">
        <v>908</v>
      </c>
      <c r="U39" s="44">
        <v>147</v>
      </c>
      <c r="V39" s="45">
        <f t="shared" si="0"/>
        <v>12593</v>
      </c>
      <c r="W39" s="45" cm="1">
        <f t="array" ref="W39">_xlfn.IFS(V39&gt;$V$63, 3,V39=$V$63, 3, V39&lt;$V$62, 1, V39&gt;$V$62, 2, V39=$V$62, 2)</f>
        <v>2</v>
      </c>
      <c r="X39" s="44">
        <v>1309</v>
      </c>
      <c r="Y39" s="44">
        <v>10229</v>
      </c>
      <c r="Z39" s="44">
        <v>147</v>
      </c>
      <c r="AA39" s="44">
        <v>13412</v>
      </c>
      <c r="AB39" s="44">
        <v>49742</v>
      </c>
      <c r="AC39" s="44">
        <v>20</v>
      </c>
      <c r="AD39" s="62">
        <f t="shared" si="4"/>
        <v>74859</v>
      </c>
      <c r="AE39" s="46" cm="1">
        <f t="array" ref="AE39">_xlfn.IFS(AD39&gt;$AD$63, 3,AD39=$AD$63, 3, AD39&lt;$AD$62, 1, AD39&gt;$AD$62, 2, AD39=$AD$62, 2)</f>
        <v>3</v>
      </c>
      <c r="AF39" s="44">
        <v>2328</v>
      </c>
      <c r="AG39" s="44">
        <v>1309</v>
      </c>
      <c r="AH39" s="44">
        <v>10229</v>
      </c>
      <c r="AI39" s="44">
        <v>147</v>
      </c>
      <c r="AJ39" s="47">
        <f t="shared" si="10"/>
        <v>14013</v>
      </c>
      <c r="AK39" s="47" cm="1">
        <f t="array" ref="AK39">_xlfn.IFS(AJ39&gt;$AJ$63, 3, AJ39=$AJ$63, 3, AJ39&lt;$AJ$62, 1, AJ39&gt;$AJ$62, 2, AJ39=$AJ$62, 2)</f>
        <v>2</v>
      </c>
      <c r="AL39" s="48">
        <v>34</v>
      </c>
      <c r="AM39" s="44">
        <v>908</v>
      </c>
      <c r="AN39" s="45">
        <f t="shared" si="1"/>
        <v>942</v>
      </c>
      <c r="AO39" s="45" cm="1">
        <f t="array" ref="AO39">_xlfn.IFS(AN39&gt;$AN$63, 3, AN39=$AN$63, 3, AN39&lt;$AN$62, 1, AN39&gt;$AN$62, 2, AN39=$AN$62, 2)</f>
        <v>3</v>
      </c>
      <c r="AP39" s="44">
        <v>49742</v>
      </c>
      <c r="AQ39" s="44">
        <v>147</v>
      </c>
      <c r="AR39" s="44">
        <v>38610</v>
      </c>
      <c r="AS39" s="44">
        <v>2991</v>
      </c>
      <c r="AT39" s="44">
        <v>19290</v>
      </c>
      <c r="AU39" s="44" t="s">
        <v>542</v>
      </c>
      <c r="AV39" s="44">
        <v>2328</v>
      </c>
      <c r="AW39" s="44" t="s">
        <v>542</v>
      </c>
      <c r="AX39" s="46">
        <f t="shared" si="9"/>
        <v>113108</v>
      </c>
      <c r="AY39" s="46" cm="1">
        <f t="array" ref="AY39">_xlfn.IFS(AX39&gt;$AX$63, 3, AX39=$AX$63, 3, AX39&lt;$AX$62, 1, AX39&gt;$AX$62, 2, AX39=$AX$62, 2)</f>
        <v>3</v>
      </c>
      <c r="AZ39" s="44">
        <v>14617</v>
      </c>
      <c r="BA39" s="44">
        <v>20</v>
      </c>
      <c r="BB39" s="44">
        <v>147</v>
      </c>
      <c r="BC39" s="44">
        <v>6557</v>
      </c>
      <c r="BD39" s="44">
        <v>13412</v>
      </c>
      <c r="BE39" s="44">
        <v>49742</v>
      </c>
      <c r="BF39" s="47">
        <f t="shared" si="12"/>
        <v>84495</v>
      </c>
      <c r="BG39" s="47" cm="1">
        <f t="array" ref="BG39">_xlfn.IFS(BF39&gt;$BF$63, 3, BF39=$BF$63, 3, BF39&lt;$BF$62, 1, BF39&gt;$BF$62, 2, BF39=$BF$62, 2)</f>
        <v>3</v>
      </c>
      <c r="BH39" s="340">
        <f t="shared" si="8"/>
        <v>2.75</v>
      </c>
    </row>
    <row r="40" spans="1:60">
      <c r="A40" s="39" t="s">
        <v>138</v>
      </c>
      <c r="B40" s="44">
        <v>1206</v>
      </c>
      <c r="C40" s="44">
        <v>1711</v>
      </c>
      <c r="D40" s="44">
        <v>15603</v>
      </c>
      <c r="E40" s="44">
        <v>4279</v>
      </c>
      <c r="F40" s="44">
        <v>545</v>
      </c>
      <c r="G40" s="44">
        <v>4768</v>
      </c>
      <c r="H40" s="46">
        <f t="shared" si="2"/>
        <v>28112</v>
      </c>
      <c r="I40" s="46" cm="1">
        <f t="array" ref="I40">_xlfn.IFS(H40&gt;$H$63, 3, H40=$H$63, 3, H40&lt;$H$62, 1, H40&gt;$H$62, 2, H40=$H$62, 2)</f>
        <v>1</v>
      </c>
      <c r="J40" s="44">
        <v>4279</v>
      </c>
      <c r="K40" s="44">
        <v>15603</v>
      </c>
      <c r="L40" s="44">
        <v>1206</v>
      </c>
      <c r="M40" s="44">
        <v>1711</v>
      </c>
      <c r="N40" s="44">
        <v>545</v>
      </c>
      <c r="O40" s="44">
        <v>4768</v>
      </c>
      <c r="P40" s="47">
        <f t="shared" si="11"/>
        <v>28112</v>
      </c>
      <c r="Q40" s="47" cm="1">
        <f t="array" ref="Q40">_xlfn.IFS(P40&gt;$P$63, 3, P40=$P$63, 3, P40&lt;$P$62, 1, P40&gt;$P$62, 2, P40=$P$62, 2)</f>
        <v>1</v>
      </c>
      <c r="R40" s="44">
        <v>3165</v>
      </c>
      <c r="S40" s="44">
        <v>1861</v>
      </c>
      <c r="T40" s="44" t="s">
        <v>542</v>
      </c>
      <c r="U40" s="44">
        <v>15603</v>
      </c>
      <c r="V40" s="45">
        <f t="shared" si="0"/>
        <v>20629</v>
      </c>
      <c r="W40" s="45" cm="1">
        <f t="array" ref="W40">_xlfn.IFS(V40&gt;$V$63, 3,V40=$V$63, 3, V40&lt;$V$62, 1, V40&gt;$V$62, 2, V40=$V$62, 2)</f>
        <v>3</v>
      </c>
      <c r="X40" s="44">
        <v>3165</v>
      </c>
      <c r="Y40" s="44">
        <v>1861</v>
      </c>
      <c r="Z40" s="44">
        <v>15603</v>
      </c>
      <c r="AA40" s="44">
        <v>1206</v>
      </c>
      <c r="AB40" s="44">
        <v>1711</v>
      </c>
      <c r="AC40" s="44">
        <v>4768</v>
      </c>
      <c r="AD40" s="62">
        <f t="shared" si="4"/>
        <v>28314</v>
      </c>
      <c r="AE40" s="46" cm="1">
        <f t="array" ref="AE40">_xlfn.IFS(AD40&gt;$AD$63, 3,AD40=$AD$63, 3, AD40&lt;$AD$62, 1, AD40&gt;$AD$62, 2, AD40=$AD$62, 2)</f>
        <v>2</v>
      </c>
      <c r="AF40" s="44">
        <v>1462</v>
      </c>
      <c r="AG40" s="44">
        <v>3165</v>
      </c>
      <c r="AH40" s="44">
        <v>1861</v>
      </c>
      <c r="AI40" s="44">
        <v>15603</v>
      </c>
      <c r="AJ40" s="47">
        <f t="shared" si="10"/>
        <v>22091</v>
      </c>
      <c r="AK40" s="47" cm="1">
        <f t="array" ref="AK40">_xlfn.IFS(AJ40&gt;$AJ$63, 3, AJ40=$AJ$63, 3, AJ40&lt;$AJ$62, 1, AJ40&gt;$AJ$62, 2, AJ40=$AJ$62, 2)</f>
        <v>3</v>
      </c>
      <c r="AL40" s="48" t="s">
        <v>542</v>
      </c>
      <c r="AM40" s="44" t="s">
        <v>542</v>
      </c>
      <c r="AN40" s="45">
        <f t="shared" si="1"/>
        <v>0</v>
      </c>
      <c r="AO40" s="45" cm="1">
        <f t="array" ref="AO40">_xlfn.IFS(AN40&gt;$AN$63, 3, AN40=$AN$63, 3, AN40&lt;$AN$62, 1, AN40&gt;$AN$62, 2, AN40=$AN$62, 2)</f>
        <v>1</v>
      </c>
      <c r="AP40" s="44">
        <v>1711</v>
      </c>
      <c r="AQ40" s="44">
        <v>15603</v>
      </c>
      <c r="AR40" s="44">
        <v>11911</v>
      </c>
      <c r="AS40" s="44">
        <v>939</v>
      </c>
      <c r="AT40" s="44">
        <v>12275</v>
      </c>
      <c r="AU40" s="44" t="s">
        <v>542</v>
      </c>
      <c r="AV40" s="44">
        <v>1462</v>
      </c>
      <c r="AW40" s="44">
        <v>29</v>
      </c>
      <c r="AX40" s="46">
        <f t="shared" si="9"/>
        <v>43930</v>
      </c>
      <c r="AY40" s="46" cm="1">
        <f t="array" ref="AY40">_xlfn.IFS(AX40&gt;$AX$63, 3, AX40=$AX$63, 3, AX40&lt;$AX$62, 1, AX40&gt;$AX$62, 2, AX40=$AX$62, 2)</f>
        <v>2</v>
      </c>
      <c r="AZ40" s="44">
        <v>4279</v>
      </c>
      <c r="BA40" s="44">
        <v>4768</v>
      </c>
      <c r="BB40" s="44">
        <v>15603</v>
      </c>
      <c r="BC40" s="44">
        <v>545</v>
      </c>
      <c r="BD40" s="44">
        <v>1206</v>
      </c>
      <c r="BE40" s="44">
        <v>1711</v>
      </c>
      <c r="BF40" s="47">
        <f t="shared" si="12"/>
        <v>28112</v>
      </c>
      <c r="BG40" s="47" cm="1">
        <f t="array" ref="BG40">_xlfn.IFS(BF40&gt;$BF$63, 3, BF40=$BF$63, 3, BF40&lt;$BF$62, 1, BF40&gt;$BF$62, 2, BF40=$BF$62, 2)</f>
        <v>1</v>
      </c>
      <c r="BH40" s="340">
        <f t="shared" si="8"/>
        <v>1.75</v>
      </c>
    </row>
    <row r="41" spans="1:60">
      <c r="A41" s="39" t="s">
        <v>139</v>
      </c>
      <c r="B41" s="44">
        <v>34359</v>
      </c>
      <c r="C41" s="44">
        <v>40185</v>
      </c>
      <c r="D41" s="44">
        <v>368</v>
      </c>
      <c r="E41" s="44">
        <v>39304</v>
      </c>
      <c r="F41" s="44">
        <v>15140</v>
      </c>
      <c r="G41" s="44">
        <v>189</v>
      </c>
      <c r="H41" s="46">
        <f t="shared" si="2"/>
        <v>129545</v>
      </c>
      <c r="I41" s="46" cm="1">
        <f t="array" ref="I41">_xlfn.IFS(H41&gt;$H$63, 3, H41=$H$63, 3, H41&lt;$H$62, 1, H41&gt;$H$62, 2, H41=$H$62, 2)</f>
        <v>3</v>
      </c>
      <c r="J41" s="44">
        <v>39304</v>
      </c>
      <c r="K41" s="44">
        <v>368</v>
      </c>
      <c r="L41" s="44">
        <v>34359</v>
      </c>
      <c r="M41" s="44">
        <v>40185</v>
      </c>
      <c r="N41" s="44">
        <v>15140</v>
      </c>
      <c r="O41" s="44">
        <v>189</v>
      </c>
      <c r="P41" s="47">
        <f t="shared" si="11"/>
        <v>129545</v>
      </c>
      <c r="Q41" s="47" cm="1">
        <f t="array" ref="Q41">_xlfn.IFS(P41&gt;$P$63, 3, P41=$P$63, 3, P41&lt;$P$62, 1, P41&gt;$P$62, 2, P41=$P$62, 2)</f>
        <v>3</v>
      </c>
      <c r="R41" s="44">
        <v>4201</v>
      </c>
      <c r="S41" s="44">
        <v>15207</v>
      </c>
      <c r="T41" s="44">
        <v>2874</v>
      </c>
      <c r="U41" s="44">
        <v>368</v>
      </c>
      <c r="V41" s="45">
        <f t="shared" ref="V41:V59" si="13">SUM(R41:U41)</f>
        <v>22650</v>
      </c>
      <c r="W41" s="45" cm="1">
        <f t="array" ref="W41">_xlfn.IFS(V41&gt;$V$63, 3,V41=$V$63, 3, V41&lt;$V$62, 1, V41&gt;$V$62, 2, V41=$V$62, 2)</f>
        <v>3</v>
      </c>
      <c r="X41" s="44">
        <v>4201</v>
      </c>
      <c r="Y41" s="44">
        <v>15207</v>
      </c>
      <c r="Z41" s="44">
        <v>368</v>
      </c>
      <c r="AA41" s="44">
        <v>34359</v>
      </c>
      <c r="AB41" s="44">
        <v>40185</v>
      </c>
      <c r="AC41" s="44">
        <v>189</v>
      </c>
      <c r="AD41" s="62">
        <f t="shared" si="4"/>
        <v>94509</v>
      </c>
      <c r="AE41" s="46" cm="1">
        <f t="array" ref="AE41">_xlfn.IFS(AD41&gt;$AD$63, 3,AD41=$AD$63, 3, AD41&lt;$AD$62, 1, AD41&gt;$AD$62, 2, AD41=$AD$62, 2)</f>
        <v>3</v>
      </c>
      <c r="AF41" s="44">
        <v>2740</v>
      </c>
      <c r="AG41" s="44">
        <v>4201</v>
      </c>
      <c r="AH41" s="44">
        <v>15207</v>
      </c>
      <c r="AI41" s="44">
        <v>368</v>
      </c>
      <c r="AJ41" s="47">
        <f t="shared" si="10"/>
        <v>22516</v>
      </c>
      <c r="AK41" s="47" cm="1">
        <f t="array" ref="AK41">_xlfn.IFS(AJ41&gt;$AJ$63, 3, AJ41=$AJ$63, 3, AJ41&lt;$AJ$62, 1, AJ41&gt;$AJ$62, 2, AJ41=$AJ$62, 2)</f>
        <v>3</v>
      </c>
      <c r="AL41" s="48">
        <v>118</v>
      </c>
      <c r="AM41" s="44">
        <v>2874</v>
      </c>
      <c r="AN41" s="45">
        <f t="shared" ref="AN41:AN59" si="14">SUM(AL41:AM41)</f>
        <v>2992</v>
      </c>
      <c r="AO41" s="45" cm="1">
        <f t="array" ref="AO41">_xlfn.IFS(AN41&gt;$AN$63, 3, AN41=$AN$63, 3, AN41&lt;$AN$62, 1, AN41&gt;$AN$62, 2, AN41=$AN$62, 2)</f>
        <v>3</v>
      </c>
      <c r="AP41" s="44">
        <v>40185</v>
      </c>
      <c r="AQ41" s="44">
        <v>368</v>
      </c>
      <c r="AR41" s="44">
        <v>103544</v>
      </c>
      <c r="AS41" s="44">
        <v>7386</v>
      </c>
      <c r="AT41" s="44">
        <v>32197</v>
      </c>
      <c r="AU41" s="44">
        <v>585</v>
      </c>
      <c r="AV41" s="44">
        <v>2740</v>
      </c>
      <c r="AW41" s="44">
        <v>559</v>
      </c>
      <c r="AX41" s="46">
        <f t="shared" si="9"/>
        <v>187564</v>
      </c>
      <c r="AY41" s="46" cm="1">
        <f t="array" ref="AY41">_xlfn.IFS(AX41&gt;$AX$63, 3, AX41=$AX$63, 3, AX41&lt;$AX$62, 1, AX41&gt;$AX$62, 2, AX41=$AX$62, 2)</f>
        <v>3</v>
      </c>
      <c r="AZ41" s="44">
        <v>39304</v>
      </c>
      <c r="BA41" s="44">
        <v>189</v>
      </c>
      <c r="BB41" s="44">
        <v>368</v>
      </c>
      <c r="BC41" s="44">
        <v>15140</v>
      </c>
      <c r="BD41" s="44">
        <v>34359</v>
      </c>
      <c r="BE41" s="44">
        <v>40185</v>
      </c>
      <c r="BF41" s="47">
        <f t="shared" si="12"/>
        <v>129545</v>
      </c>
      <c r="BG41" s="47" cm="1">
        <f t="array" ref="BG41">_xlfn.IFS(BF41&gt;$BF$63, 3, BF41=$BF$63, 3, BF41&lt;$BF$62, 1, BF41&gt;$BF$62, 2, BF41=$BF$62, 2)</f>
        <v>3</v>
      </c>
      <c r="BH41" s="340">
        <f t="shared" si="8"/>
        <v>3</v>
      </c>
    </row>
    <row r="42" spans="1:60">
      <c r="A42" s="39" t="s">
        <v>140</v>
      </c>
      <c r="B42" s="44">
        <v>38283</v>
      </c>
      <c r="C42" s="44">
        <v>46903</v>
      </c>
      <c r="D42" s="44">
        <v>422</v>
      </c>
      <c r="E42" s="44">
        <v>15724</v>
      </c>
      <c r="F42" s="44">
        <v>21540</v>
      </c>
      <c r="G42" s="44">
        <v>4</v>
      </c>
      <c r="H42" s="46">
        <f t="shared" si="2"/>
        <v>122876</v>
      </c>
      <c r="I42" s="46" cm="1">
        <f t="array" ref="I42">_xlfn.IFS(H42&gt;$H$63, 3, H42=$H$63, 3, H42&lt;$H$62, 1, H42&gt;$H$62, 2, H42=$H$62, 2)</f>
        <v>3</v>
      </c>
      <c r="J42" s="44">
        <v>15724</v>
      </c>
      <c r="K42" s="44">
        <v>422</v>
      </c>
      <c r="L42" s="44">
        <v>38283</v>
      </c>
      <c r="M42" s="44">
        <v>46903</v>
      </c>
      <c r="N42" s="44">
        <v>21540</v>
      </c>
      <c r="O42" s="44">
        <v>4</v>
      </c>
      <c r="P42" s="47">
        <f t="shared" si="11"/>
        <v>122876</v>
      </c>
      <c r="Q42" s="47" cm="1">
        <f t="array" ref="Q42">_xlfn.IFS(P42&gt;$P$63, 3, P42=$P$63, 3, P42&lt;$P$62, 1, P42&gt;$P$62, 2, P42=$P$62, 2)</f>
        <v>3</v>
      </c>
      <c r="R42" s="44">
        <v>3195</v>
      </c>
      <c r="S42" s="44">
        <v>16139</v>
      </c>
      <c r="T42" s="44">
        <v>496</v>
      </c>
      <c r="U42" s="44">
        <v>422</v>
      </c>
      <c r="V42" s="45">
        <f t="shared" si="13"/>
        <v>20252</v>
      </c>
      <c r="W42" s="45" cm="1">
        <f t="array" ref="W42">_xlfn.IFS(V42&gt;$V$63, 3,V42=$V$63, 3, V42&lt;$V$62, 1, V42&gt;$V$62, 2, V42=$V$62, 2)</f>
        <v>3</v>
      </c>
      <c r="X42" s="44">
        <v>3195</v>
      </c>
      <c r="Y42" s="44">
        <v>16139</v>
      </c>
      <c r="Z42" s="44">
        <v>422</v>
      </c>
      <c r="AA42" s="44">
        <v>38283</v>
      </c>
      <c r="AB42" s="44">
        <v>46903</v>
      </c>
      <c r="AC42" s="44">
        <v>4</v>
      </c>
      <c r="AD42" s="62">
        <f t="shared" si="4"/>
        <v>104946</v>
      </c>
      <c r="AE42" s="46" cm="1">
        <f t="array" ref="AE42">_xlfn.IFS(AD42&gt;$AD$63, 3,AD42=$AD$63, 3, AD42&lt;$AD$62, 1, AD42&gt;$AD$62, 2, AD42=$AD$62, 2)</f>
        <v>3</v>
      </c>
      <c r="AF42" s="44">
        <v>4573</v>
      </c>
      <c r="AG42" s="44">
        <v>3195</v>
      </c>
      <c r="AH42" s="44">
        <v>16139</v>
      </c>
      <c r="AI42" s="44">
        <v>422</v>
      </c>
      <c r="AJ42" s="47">
        <f t="shared" si="10"/>
        <v>24329</v>
      </c>
      <c r="AK42" s="47" cm="1">
        <f t="array" ref="AK42">_xlfn.IFS(AJ42&gt;$AJ$63, 3, AJ42=$AJ$63, 3, AJ42&lt;$AJ$62, 1, AJ42&gt;$AJ$62, 2, AJ42=$AJ$62, 2)</f>
        <v>3</v>
      </c>
      <c r="AL42" s="48">
        <v>193</v>
      </c>
      <c r="AM42" s="44">
        <v>496</v>
      </c>
      <c r="AN42" s="45">
        <f t="shared" si="14"/>
        <v>689</v>
      </c>
      <c r="AO42" s="45" cm="1">
        <f t="array" ref="AO42">_xlfn.IFS(AN42&gt;$AN$63, 3, AN42=$AN$63, 3, AN42&lt;$AN$62, 1, AN42&gt;$AN$62, 2, AN42=$AN$62, 2)</f>
        <v>2</v>
      </c>
      <c r="AP42" s="44">
        <v>46903</v>
      </c>
      <c r="AQ42" s="44">
        <v>422</v>
      </c>
      <c r="AR42" s="44">
        <v>62562</v>
      </c>
      <c r="AS42" s="44">
        <v>18434</v>
      </c>
      <c r="AT42" s="44">
        <v>41079</v>
      </c>
      <c r="AU42" s="44">
        <v>222</v>
      </c>
      <c r="AV42" s="44">
        <v>4573</v>
      </c>
      <c r="AW42" s="44">
        <v>2427</v>
      </c>
      <c r="AX42" s="46">
        <f t="shared" si="9"/>
        <v>176622</v>
      </c>
      <c r="AY42" s="46" cm="1">
        <f t="array" ref="AY42">_xlfn.IFS(AX42&gt;$AX$63, 3, AX42=$AX$63, 3, AX42&lt;$AX$62, 1, AX42&gt;$AX$62, 2, AX42=$AX$62, 2)</f>
        <v>3</v>
      </c>
      <c r="AZ42" s="44">
        <v>15724</v>
      </c>
      <c r="BA42" s="44">
        <v>4</v>
      </c>
      <c r="BB42" s="44">
        <v>422</v>
      </c>
      <c r="BC42" s="44">
        <v>21540</v>
      </c>
      <c r="BD42" s="44">
        <v>38283</v>
      </c>
      <c r="BE42" s="44">
        <v>46903</v>
      </c>
      <c r="BF42" s="47">
        <f t="shared" si="12"/>
        <v>122876</v>
      </c>
      <c r="BG42" s="47" cm="1">
        <f t="array" ref="BG42">_xlfn.IFS(BF42&gt;$BF$63, 3, BF42=$BF$63, 3, BF42&lt;$BF$62, 1, BF42&gt;$BF$62, 2, BF42=$BF$62, 2)</f>
        <v>3</v>
      </c>
      <c r="BH42" s="340">
        <f t="shared" si="8"/>
        <v>2.875</v>
      </c>
    </row>
    <row r="43" spans="1:60">
      <c r="A43" s="39" t="s">
        <v>141</v>
      </c>
      <c r="B43" s="44">
        <v>6561</v>
      </c>
      <c r="C43" s="44">
        <v>1028</v>
      </c>
      <c r="D43" s="44">
        <v>13690</v>
      </c>
      <c r="E43" s="44">
        <v>3264</v>
      </c>
      <c r="F43" s="44">
        <v>105</v>
      </c>
      <c r="G43" s="44">
        <v>2647</v>
      </c>
      <c r="H43" s="46">
        <f t="shared" si="2"/>
        <v>27295</v>
      </c>
      <c r="I43" s="46" cm="1">
        <f t="array" ref="I43">_xlfn.IFS(H43&gt;$H$63, 3, H43=$H$63, 3, H43&lt;$H$62, 1, H43&gt;$H$62, 2, H43=$H$62, 2)</f>
        <v>1</v>
      </c>
      <c r="J43" s="44">
        <v>3264</v>
      </c>
      <c r="K43" s="44">
        <v>13690</v>
      </c>
      <c r="L43" s="44">
        <v>6561</v>
      </c>
      <c r="M43" s="44">
        <v>1028</v>
      </c>
      <c r="N43" s="44">
        <v>105</v>
      </c>
      <c r="O43" s="44">
        <v>2647</v>
      </c>
      <c r="P43" s="47">
        <f>SUM(J43:O43)</f>
        <v>27295</v>
      </c>
      <c r="Q43" s="47" cm="1">
        <f t="array" ref="Q43">_xlfn.IFS(P43&gt;$P$63, 3, P43=$P$63, 3, P43&lt;$P$62, 1, P43&gt;$P$62, 2, P43=$P$62, 2)</f>
        <v>1</v>
      </c>
      <c r="R43" s="44">
        <v>1911</v>
      </c>
      <c r="S43" s="44">
        <v>1289</v>
      </c>
      <c r="T43" s="44" t="s">
        <v>542</v>
      </c>
      <c r="U43" s="44">
        <v>13690</v>
      </c>
      <c r="V43" s="45">
        <f t="shared" si="13"/>
        <v>16890</v>
      </c>
      <c r="W43" s="45" cm="1">
        <f t="array" ref="W43">_xlfn.IFS(V43&gt;$V$63, 3,V43=$V$63, 3, V43&lt;$V$62, 1, V43&gt;$V$62, 2, V43=$V$62, 2)</f>
        <v>2</v>
      </c>
      <c r="X43" s="44">
        <v>1911</v>
      </c>
      <c r="Y43" s="44">
        <v>1289</v>
      </c>
      <c r="Z43" s="44">
        <v>13690</v>
      </c>
      <c r="AA43" s="44">
        <v>6561</v>
      </c>
      <c r="AB43" s="44">
        <v>1028</v>
      </c>
      <c r="AC43" s="44">
        <v>2647</v>
      </c>
      <c r="AD43" s="62">
        <f t="shared" si="4"/>
        <v>27126</v>
      </c>
      <c r="AE43" s="46" cm="1">
        <f t="array" ref="AE43">_xlfn.IFS(AD43&gt;$AD$63, 3,AD43=$AD$63, 3, AD43&lt;$AD$62, 1, AD43&gt;$AD$62, 2, AD43=$AD$62, 2)</f>
        <v>2</v>
      </c>
      <c r="AF43" s="44" t="s">
        <v>542</v>
      </c>
      <c r="AG43" s="44">
        <v>1911</v>
      </c>
      <c r="AH43" s="44">
        <v>1289</v>
      </c>
      <c r="AI43" s="44">
        <v>13690</v>
      </c>
      <c r="AJ43" s="47">
        <f t="shared" si="10"/>
        <v>16890</v>
      </c>
      <c r="AK43" s="47" cm="1">
        <f t="array" ref="AK43">_xlfn.IFS(AJ43&gt;$AJ$63, 3, AJ43=$AJ$63, 3, AJ43&lt;$AJ$62, 1, AJ43&gt;$AJ$62, 2, AJ43=$AJ$62, 2)</f>
        <v>2</v>
      </c>
      <c r="AL43" s="48" t="s">
        <v>542</v>
      </c>
      <c r="AM43" s="44" t="s">
        <v>542</v>
      </c>
      <c r="AN43" s="45">
        <f t="shared" si="14"/>
        <v>0</v>
      </c>
      <c r="AO43" s="45" cm="1">
        <f t="array" ref="AO43">_xlfn.IFS(AN43&gt;$AN$63, 3, AN43=$AN$63, 3, AN43&lt;$AN$62, 1, AN43&gt;$AN$62, 2, AN43=$AN$62, 2)</f>
        <v>1</v>
      </c>
      <c r="AP43" s="44">
        <v>1028</v>
      </c>
      <c r="AQ43" s="44">
        <v>13690</v>
      </c>
      <c r="AR43" s="44">
        <v>5098</v>
      </c>
      <c r="AS43" s="44">
        <v>2633</v>
      </c>
      <c r="AT43" s="44">
        <v>5037</v>
      </c>
      <c r="AU43" s="44">
        <v>138</v>
      </c>
      <c r="AV43" s="44" t="s">
        <v>542</v>
      </c>
      <c r="AW43" s="44" t="s">
        <v>542</v>
      </c>
      <c r="AX43" s="46">
        <f t="shared" si="9"/>
        <v>27624</v>
      </c>
      <c r="AY43" s="46" cm="1">
        <f t="array" ref="AY43">_xlfn.IFS(AX43&gt;$AX$63, 3, AX43=$AX$63, 3, AX43&lt;$AX$62, 1, AX43&gt;$AX$62, 2, AX43=$AX$62, 2)</f>
        <v>1</v>
      </c>
      <c r="AZ43" s="44">
        <v>3264</v>
      </c>
      <c r="BA43" s="44">
        <v>2647</v>
      </c>
      <c r="BB43" s="44">
        <v>13690</v>
      </c>
      <c r="BC43" s="44">
        <v>105</v>
      </c>
      <c r="BD43" s="44">
        <v>6561</v>
      </c>
      <c r="BE43" s="44">
        <v>1028</v>
      </c>
      <c r="BF43" s="47">
        <f t="shared" si="12"/>
        <v>27295</v>
      </c>
      <c r="BG43" s="47" cm="1">
        <f t="array" ref="BG43">_xlfn.IFS(BF43&gt;$BF$63, 3, BF43=$BF$63, 3, BF43&lt;$BF$62, 1, BF43&gt;$BF$62, 2, BF43=$BF$62, 2)</f>
        <v>1</v>
      </c>
      <c r="BH43" s="340">
        <f t="shared" si="8"/>
        <v>1.375</v>
      </c>
    </row>
    <row r="44" spans="1:60">
      <c r="A44" s="39" t="s">
        <v>142</v>
      </c>
      <c r="B44" s="44">
        <v>78205</v>
      </c>
      <c r="C44" s="44">
        <v>48152</v>
      </c>
      <c r="D44" s="44">
        <v>3755</v>
      </c>
      <c r="E44" s="44">
        <v>18415</v>
      </c>
      <c r="F44" s="44">
        <v>27267</v>
      </c>
      <c r="G44" s="44">
        <v>1272</v>
      </c>
      <c r="H44" s="46">
        <f t="shared" si="2"/>
        <v>177066</v>
      </c>
      <c r="I44" s="46" cm="1">
        <f t="array" ref="I44">_xlfn.IFS(H44&gt;$H$63, 3, H44=$H$63, 3, H44&lt;$H$62, 1, H44&gt;$H$62, 2, H44=$H$62, 2)</f>
        <v>3</v>
      </c>
      <c r="J44" s="44">
        <v>18415</v>
      </c>
      <c r="K44" s="44">
        <v>3755</v>
      </c>
      <c r="L44" s="44">
        <v>78205</v>
      </c>
      <c r="M44" s="44">
        <v>48152</v>
      </c>
      <c r="N44" s="44">
        <v>27267</v>
      </c>
      <c r="O44" s="44">
        <v>1272</v>
      </c>
      <c r="P44" s="47">
        <f t="shared" ref="P44:P55" si="15">SUM(J44:O44)</f>
        <v>177066</v>
      </c>
      <c r="Q44" s="47" cm="1">
        <f t="array" ref="Q44">_xlfn.IFS(P44&gt;$P$63, 3, P44=$P$63, 3, P44&lt;$P$62, 1, P44&gt;$P$62, 2, P44=$P$62, 2)</f>
        <v>3</v>
      </c>
      <c r="R44" s="44">
        <v>3787</v>
      </c>
      <c r="S44" s="44">
        <v>26369</v>
      </c>
      <c r="T44" s="44">
        <v>510</v>
      </c>
      <c r="U44" s="44">
        <v>3755</v>
      </c>
      <c r="V44" s="45">
        <f t="shared" si="13"/>
        <v>34421</v>
      </c>
      <c r="W44" s="45" cm="1">
        <f t="array" ref="W44">_xlfn.IFS(V44&gt;$V$63, 3,V44=$V$63, 3, V44&lt;$V$62, 1, V44&gt;$V$62, 2, V44=$V$62, 2)</f>
        <v>3</v>
      </c>
      <c r="X44" s="44">
        <v>3787</v>
      </c>
      <c r="Y44" s="44">
        <v>26369</v>
      </c>
      <c r="Z44" s="44">
        <v>3755</v>
      </c>
      <c r="AA44" s="44">
        <v>78205</v>
      </c>
      <c r="AB44" s="44">
        <v>48152</v>
      </c>
      <c r="AC44" s="44">
        <v>1272</v>
      </c>
      <c r="AD44" s="62">
        <f t="shared" si="4"/>
        <v>161540</v>
      </c>
      <c r="AE44" s="46" cm="1">
        <f t="array" ref="AE44">_xlfn.IFS(AD44&gt;$AD$63, 3,AD44=$AD$63, 3, AD44&lt;$AD$62, 1, AD44&gt;$AD$62, 2, AD44=$AD$62, 2)</f>
        <v>3</v>
      </c>
      <c r="AF44" s="44">
        <v>2708</v>
      </c>
      <c r="AG44" s="44">
        <v>3787</v>
      </c>
      <c r="AH44" s="44">
        <v>26369</v>
      </c>
      <c r="AI44" s="44">
        <v>3755</v>
      </c>
      <c r="AJ44" s="47">
        <f t="shared" si="10"/>
        <v>36619</v>
      </c>
      <c r="AK44" s="47" cm="1">
        <f t="array" ref="AK44">_xlfn.IFS(AJ44&gt;$AJ$63, 3, AJ44=$AJ$63, 3, AJ44&lt;$AJ$62, 1, AJ44&gt;$AJ$62, 2, AJ44=$AJ$62, 2)</f>
        <v>3</v>
      </c>
      <c r="AL44" s="48" t="s">
        <v>542</v>
      </c>
      <c r="AM44" s="44">
        <v>510</v>
      </c>
      <c r="AN44" s="45">
        <f t="shared" si="14"/>
        <v>510</v>
      </c>
      <c r="AO44" s="45" cm="1">
        <f t="array" ref="AO44">_xlfn.IFS(AN44&gt;$AN$63, 3, AN44=$AN$63, 3, AN44&lt;$AN$62, 1, AN44&gt;$AN$62, 2, AN44=$AN$62, 2)</f>
        <v>2</v>
      </c>
      <c r="AP44" s="44">
        <v>48152</v>
      </c>
      <c r="AQ44" s="44">
        <v>3755</v>
      </c>
      <c r="AR44" s="44">
        <v>53478</v>
      </c>
      <c r="AS44" s="44">
        <v>13943</v>
      </c>
      <c r="AT44" s="44">
        <v>29041</v>
      </c>
      <c r="AU44" s="44">
        <v>2360</v>
      </c>
      <c r="AV44" s="44">
        <v>2708</v>
      </c>
      <c r="AW44" s="44">
        <v>385</v>
      </c>
      <c r="AX44" s="46">
        <f t="shared" si="9"/>
        <v>153822</v>
      </c>
      <c r="AY44" s="46" cm="1">
        <f t="array" ref="AY44">_xlfn.IFS(AX44&gt;$AX$63, 3, AX44=$AX$63, 3, AX44&lt;$AX$62, 1, AX44&gt;$AX$62, 2, AX44=$AX$62, 2)</f>
        <v>3</v>
      </c>
      <c r="AZ44" s="44">
        <v>18415</v>
      </c>
      <c r="BA44" s="44">
        <v>1272</v>
      </c>
      <c r="BB44" s="44">
        <v>3755</v>
      </c>
      <c r="BC44" s="44">
        <v>27267</v>
      </c>
      <c r="BD44" s="44">
        <v>78205</v>
      </c>
      <c r="BE44" s="44">
        <v>48152</v>
      </c>
      <c r="BF44" s="47">
        <f t="shared" si="12"/>
        <v>177066</v>
      </c>
      <c r="BG44" s="47" cm="1">
        <f t="array" ref="BG44">_xlfn.IFS(BF44&gt;$BF$63, 3, BF44=$BF$63, 3, BF44&lt;$BF$62, 1, BF44&gt;$BF$62, 2, BF44=$BF$62, 2)</f>
        <v>3</v>
      </c>
      <c r="BH44" s="340">
        <f t="shared" si="8"/>
        <v>2.875</v>
      </c>
    </row>
    <row r="45" spans="1:60">
      <c r="A45" s="39" t="s">
        <v>143</v>
      </c>
      <c r="B45" s="44">
        <v>25004</v>
      </c>
      <c r="C45" s="44">
        <v>4618</v>
      </c>
      <c r="D45" s="44">
        <v>16345</v>
      </c>
      <c r="E45" s="44">
        <v>10494</v>
      </c>
      <c r="F45" s="44">
        <v>3920</v>
      </c>
      <c r="G45" s="44">
        <v>12380</v>
      </c>
      <c r="H45" s="46">
        <f t="shared" si="2"/>
        <v>72761</v>
      </c>
      <c r="I45" s="46" cm="1">
        <f t="array" ref="I45">_xlfn.IFS(H45&gt;$H$63, 3, H45=$H$63, 3, H45&lt;$H$62, 1, H45&gt;$H$62, 2, H45=$H$62, 2)</f>
        <v>2</v>
      </c>
      <c r="J45" s="44">
        <v>10494</v>
      </c>
      <c r="K45" s="44">
        <v>16345</v>
      </c>
      <c r="L45" s="44">
        <v>25004</v>
      </c>
      <c r="M45" s="44">
        <v>4618</v>
      </c>
      <c r="N45" s="44">
        <v>3920</v>
      </c>
      <c r="O45" s="44">
        <v>12380</v>
      </c>
      <c r="P45" s="47">
        <f t="shared" si="15"/>
        <v>72761</v>
      </c>
      <c r="Q45" s="47" cm="1">
        <f t="array" ref="Q45">_xlfn.IFS(P45&gt;$P$63, 3, P45=$P$63, 3, P45&lt;$P$62, 1, P45&gt;$P$62, 2, P45=$P$62, 2)</f>
        <v>2</v>
      </c>
      <c r="R45" s="44">
        <v>2211</v>
      </c>
      <c r="S45" s="44">
        <v>7012</v>
      </c>
      <c r="T45" s="44" t="s">
        <v>542</v>
      </c>
      <c r="U45" s="44">
        <v>16345</v>
      </c>
      <c r="V45" s="45">
        <f t="shared" si="13"/>
        <v>25568</v>
      </c>
      <c r="W45" s="45" cm="1">
        <f t="array" ref="W45">_xlfn.IFS(V45&gt;$V$63, 3,V45=$V$63, 3, V45&lt;$V$62, 1, V45&gt;$V$62, 2, V45=$V$62, 2)</f>
        <v>3</v>
      </c>
      <c r="X45" s="44">
        <v>2211</v>
      </c>
      <c r="Y45" s="44">
        <v>7012</v>
      </c>
      <c r="Z45" s="44">
        <v>16345</v>
      </c>
      <c r="AA45" s="44">
        <v>25004</v>
      </c>
      <c r="AB45" s="44">
        <v>4618</v>
      </c>
      <c r="AC45" s="44">
        <v>12380</v>
      </c>
      <c r="AD45" s="62">
        <f t="shared" si="4"/>
        <v>67570</v>
      </c>
      <c r="AE45" s="46" cm="1">
        <f t="array" ref="AE45">_xlfn.IFS(AD45&gt;$AD$63, 3,AD45=$AD$63, 3, AD45&lt;$AD$62, 1, AD45&gt;$AD$62, 2, AD45=$AD$62, 2)</f>
        <v>3</v>
      </c>
      <c r="AF45" s="44">
        <v>1489</v>
      </c>
      <c r="AG45" s="44">
        <v>2211</v>
      </c>
      <c r="AH45" s="44">
        <v>7012</v>
      </c>
      <c r="AI45" s="44">
        <v>16345</v>
      </c>
      <c r="AJ45" s="47">
        <f t="shared" si="10"/>
        <v>27057</v>
      </c>
      <c r="AK45" s="47" cm="1">
        <f t="array" ref="AK45">_xlfn.IFS(AJ45&gt;$AJ$63, 3, AJ45=$AJ$63, 3, AJ45&lt;$AJ$62, 1, AJ45&gt;$AJ$62, 2, AJ45=$AJ$62, 2)</f>
        <v>3</v>
      </c>
      <c r="AL45" s="48">
        <v>15</v>
      </c>
      <c r="AM45" s="44" t="s">
        <v>542</v>
      </c>
      <c r="AN45" s="45">
        <f t="shared" si="14"/>
        <v>15</v>
      </c>
      <c r="AO45" s="45" cm="1">
        <f t="array" ref="AO45">_xlfn.IFS(AN45&gt;$AN$63, 3, AN45=$AN$63, 3, AN45&lt;$AN$62, 1, AN45&gt;$AN$62, 2, AN45=$AN$62, 2)</f>
        <v>1</v>
      </c>
      <c r="AP45" s="44">
        <v>4618</v>
      </c>
      <c r="AQ45" s="44">
        <v>16345</v>
      </c>
      <c r="AR45" s="44">
        <v>15350</v>
      </c>
      <c r="AS45" s="44">
        <v>2401</v>
      </c>
      <c r="AT45" s="44">
        <v>16456</v>
      </c>
      <c r="AU45" s="44">
        <v>776</v>
      </c>
      <c r="AV45" s="44">
        <v>1489</v>
      </c>
      <c r="AW45" s="44" t="s">
        <v>542</v>
      </c>
      <c r="AX45" s="46">
        <f t="shared" si="9"/>
        <v>57435</v>
      </c>
      <c r="AY45" s="46" cm="1">
        <f t="array" ref="AY45">_xlfn.IFS(AX45&gt;$AX$63, 3, AX45=$AX$63, 3, AX45&lt;$AX$62, 1, AX45&gt;$AX$62, 2, AX45=$AX$62, 2)</f>
        <v>2</v>
      </c>
      <c r="AZ45" s="44">
        <v>10494</v>
      </c>
      <c r="BA45" s="44">
        <v>12380</v>
      </c>
      <c r="BB45" s="44">
        <v>16345</v>
      </c>
      <c r="BC45" s="44">
        <v>3920</v>
      </c>
      <c r="BD45" s="44">
        <v>25004</v>
      </c>
      <c r="BE45" s="44">
        <v>4618</v>
      </c>
      <c r="BF45" s="47">
        <f t="shared" si="12"/>
        <v>72761</v>
      </c>
      <c r="BG45" s="47" cm="1">
        <f t="array" ref="BG45">_xlfn.IFS(BF45&gt;$BF$63, 3, BF45=$BF$63, 3, BF45&lt;$BF$62, 1, BF45&gt;$BF$62, 2, BF45=$BF$62, 2)</f>
        <v>2</v>
      </c>
      <c r="BH45" s="340">
        <f t="shared" si="8"/>
        <v>2.25</v>
      </c>
    </row>
    <row r="46" spans="1:60">
      <c r="A46" s="39" t="s">
        <v>144</v>
      </c>
      <c r="B46" s="44">
        <v>13792</v>
      </c>
      <c r="C46" s="44">
        <v>5074</v>
      </c>
      <c r="D46" s="44">
        <v>117</v>
      </c>
      <c r="E46" s="44">
        <v>5088</v>
      </c>
      <c r="F46" s="44">
        <v>2495</v>
      </c>
      <c r="G46" s="44" t="s">
        <v>542</v>
      </c>
      <c r="H46" s="46">
        <f t="shared" si="2"/>
        <v>26566</v>
      </c>
      <c r="I46" s="46" cm="1">
        <f t="array" ref="I46">_xlfn.IFS(H46&gt;$H$63, 3, H46=$H$63, 3, H46&lt;$H$62, 1, H46&gt;$H$62, 2, H46=$H$62, 2)</f>
        <v>1</v>
      </c>
      <c r="J46" s="44">
        <v>5088</v>
      </c>
      <c r="K46" s="44">
        <v>117</v>
      </c>
      <c r="L46" s="44">
        <v>13792</v>
      </c>
      <c r="M46" s="44">
        <v>5074</v>
      </c>
      <c r="N46" s="44">
        <v>2495</v>
      </c>
      <c r="O46" s="44" t="s">
        <v>542</v>
      </c>
      <c r="P46" s="47">
        <f t="shared" si="15"/>
        <v>26566</v>
      </c>
      <c r="Q46" s="47" cm="1">
        <f t="array" ref="Q46">_xlfn.IFS(P46&gt;$P$63, 3, P46=$P$63, 3, P46&lt;$P$62, 1, P46&gt;$P$62, 2, P46=$P$62, 2)</f>
        <v>1</v>
      </c>
      <c r="R46" s="44">
        <v>1602</v>
      </c>
      <c r="S46" s="44">
        <v>4700</v>
      </c>
      <c r="T46" s="44">
        <v>289</v>
      </c>
      <c r="U46" s="44">
        <v>117</v>
      </c>
      <c r="V46" s="45">
        <f t="shared" si="13"/>
        <v>6708</v>
      </c>
      <c r="W46" s="45" cm="1">
        <f t="array" ref="W46">_xlfn.IFS(V46&gt;$V$63, 3,V46=$V$63, 3, V46&lt;$V$62, 1, V46&gt;$V$62, 2, V46=$V$62, 2)</f>
        <v>1</v>
      </c>
      <c r="X46" s="44">
        <v>1602</v>
      </c>
      <c r="Y46" s="44">
        <v>4700</v>
      </c>
      <c r="Z46" s="44">
        <v>117</v>
      </c>
      <c r="AA46" s="44">
        <v>13792</v>
      </c>
      <c r="AB46" s="44">
        <v>5074</v>
      </c>
      <c r="AC46" s="44" t="s">
        <v>542</v>
      </c>
      <c r="AD46" s="62">
        <f t="shared" si="4"/>
        <v>25285</v>
      </c>
      <c r="AE46" s="46" cm="1">
        <f t="array" ref="AE46">_xlfn.IFS(AD46&gt;$AD$63, 3,AD46=$AD$63, 3, AD46&lt;$AD$62, 1, AD46&gt;$AD$62, 2, AD46=$AD$62, 2)</f>
        <v>1</v>
      </c>
      <c r="AF46" s="44">
        <v>12399</v>
      </c>
      <c r="AG46" s="44">
        <v>1602</v>
      </c>
      <c r="AH46" s="44">
        <v>4700</v>
      </c>
      <c r="AI46" s="44">
        <v>117</v>
      </c>
      <c r="AJ46" s="47">
        <f t="shared" si="10"/>
        <v>18818</v>
      </c>
      <c r="AK46" s="47" cm="1">
        <f t="array" ref="AK46">_xlfn.IFS(AJ46&gt;$AJ$63, 3, AJ46=$AJ$63, 3, AJ46&lt;$AJ$62, 1, AJ46&gt;$AJ$62, 2, AJ46=$AJ$62, 2)</f>
        <v>2</v>
      </c>
      <c r="AL46" s="48" t="s">
        <v>542</v>
      </c>
      <c r="AM46" s="44">
        <v>289</v>
      </c>
      <c r="AN46" s="45">
        <f t="shared" si="14"/>
        <v>289</v>
      </c>
      <c r="AO46" s="45" cm="1">
        <f t="array" ref="AO46">_xlfn.IFS(AN46&gt;$AN$63, 3, AN46=$AN$63, 3, AN46&lt;$AN$62, 1, AN46&gt;$AN$62, 2, AN46=$AN$62, 2)</f>
        <v>2</v>
      </c>
      <c r="AP46" s="44">
        <v>5074</v>
      </c>
      <c r="AQ46" s="44">
        <v>117</v>
      </c>
      <c r="AR46" s="44">
        <v>32611</v>
      </c>
      <c r="AS46" s="44">
        <v>22500</v>
      </c>
      <c r="AT46" s="44">
        <v>10685</v>
      </c>
      <c r="AU46" s="44">
        <v>721</v>
      </c>
      <c r="AV46" s="44">
        <v>12399</v>
      </c>
      <c r="AW46" s="44">
        <v>4823</v>
      </c>
      <c r="AX46" s="46">
        <f>SUM(AP46:AW46)</f>
        <v>88930</v>
      </c>
      <c r="AY46" s="46" cm="1">
        <f t="array" ref="AY46">_xlfn.IFS(AX46&gt;$AX$63, 3, AX46=$AX$63, 3, AX46&lt;$AX$62, 1, AX46&gt;$AX$62, 2, AX46=$AX$62, 2)</f>
        <v>2</v>
      </c>
      <c r="AZ46" s="44">
        <v>5088</v>
      </c>
      <c r="BA46" s="44" t="s">
        <v>542</v>
      </c>
      <c r="BB46" s="44">
        <v>117</v>
      </c>
      <c r="BC46" s="44">
        <v>2495</v>
      </c>
      <c r="BD46" s="44">
        <v>13792</v>
      </c>
      <c r="BE46" s="44">
        <v>5074</v>
      </c>
      <c r="BF46" s="47">
        <f t="shared" si="12"/>
        <v>26566</v>
      </c>
      <c r="BG46" s="47" cm="1">
        <f t="array" ref="BG46">_xlfn.IFS(BF46&gt;$BF$63, 3, BF46=$BF$63, 3, BF46&lt;$BF$62, 1, BF46&gt;$BF$62, 2, BF46=$BF$62, 2)</f>
        <v>1</v>
      </c>
      <c r="BH46" s="340">
        <f t="shared" si="8"/>
        <v>1.375</v>
      </c>
    </row>
    <row r="47" spans="1:60">
      <c r="A47" s="39" t="s">
        <v>145</v>
      </c>
      <c r="B47" s="44">
        <v>44912</v>
      </c>
      <c r="C47" s="44">
        <v>43482</v>
      </c>
      <c r="D47" s="44">
        <v>9093</v>
      </c>
      <c r="E47" s="44">
        <v>22856</v>
      </c>
      <c r="F47" s="44">
        <v>25536</v>
      </c>
      <c r="G47" s="44">
        <v>3273</v>
      </c>
      <c r="H47" s="46">
        <f t="shared" si="2"/>
        <v>149152</v>
      </c>
      <c r="I47" s="46" cm="1">
        <f t="array" ref="I47">_xlfn.IFS(H47&gt;$H$63, 3, H47=$H$63, 3, H47&lt;$H$62, 1, H47&gt;$H$62, 2, H47=$H$62, 2)</f>
        <v>3</v>
      </c>
      <c r="J47" s="44">
        <v>22856</v>
      </c>
      <c r="K47" s="44">
        <v>9093</v>
      </c>
      <c r="L47" s="44">
        <v>44912</v>
      </c>
      <c r="M47" s="44">
        <v>43482</v>
      </c>
      <c r="N47" s="44">
        <v>25536</v>
      </c>
      <c r="O47" s="44">
        <v>3273</v>
      </c>
      <c r="P47" s="47">
        <f t="shared" si="15"/>
        <v>149152</v>
      </c>
      <c r="Q47" s="47" cm="1">
        <f t="array" ref="Q47">_xlfn.IFS(P47&gt;$P$63, 3, P47=$P$63, 3, P47&lt;$P$62, 1, P47&gt;$P$62, 2, P47=$P$62, 2)</f>
        <v>3</v>
      </c>
      <c r="R47" s="44">
        <v>9302</v>
      </c>
      <c r="S47" s="44">
        <v>19298</v>
      </c>
      <c r="T47" s="44">
        <v>975</v>
      </c>
      <c r="U47" s="44">
        <v>9093</v>
      </c>
      <c r="V47" s="45">
        <f t="shared" si="13"/>
        <v>38668</v>
      </c>
      <c r="W47" s="45" cm="1">
        <f t="array" ref="W47">_xlfn.IFS(V47&gt;$V$63, 3,V47=$V$63, 3, V47&lt;$V$62, 1, V47&gt;$V$62, 2, V47=$V$62, 2)</f>
        <v>3</v>
      </c>
      <c r="X47" s="44">
        <v>9302</v>
      </c>
      <c r="Y47" s="44">
        <v>19298</v>
      </c>
      <c r="Z47" s="44">
        <v>9093</v>
      </c>
      <c r="AA47" s="44">
        <v>44912</v>
      </c>
      <c r="AB47" s="44">
        <v>43482</v>
      </c>
      <c r="AC47" s="44">
        <v>3273</v>
      </c>
      <c r="AD47" s="62">
        <f t="shared" si="4"/>
        <v>129360</v>
      </c>
      <c r="AE47" s="46" cm="1">
        <f t="array" ref="AE47">_xlfn.IFS(AD47&gt;$AD$63, 3,AD47=$AD$63, 3, AD47&lt;$AD$62, 1, AD47&gt;$AD$62, 2, AD47=$AD$62, 2)</f>
        <v>3</v>
      </c>
      <c r="AF47" s="44">
        <v>3397</v>
      </c>
      <c r="AG47" s="44">
        <v>9302</v>
      </c>
      <c r="AH47" s="44">
        <v>19298</v>
      </c>
      <c r="AI47" s="44">
        <v>9093</v>
      </c>
      <c r="AJ47" s="47">
        <f>SUM(AF47:AI47)</f>
        <v>41090</v>
      </c>
      <c r="AK47" s="47" cm="1">
        <f t="array" ref="AK47">_xlfn.IFS(AJ47&gt;$AJ$63, 3, AJ47=$AJ$63, 3, AJ47&lt;$AJ$62, 1, AJ47&gt;$AJ$62, 2, AJ47=$AJ$62, 2)</f>
        <v>3</v>
      </c>
      <c r="AL47" s="48">
        <v>75</v>
      </c>
      <c r="AM47" s="44">
        <v>975</v>
      </c>
      <c r="AN47" s="45">
        <f t="shared" si="14"/>
        <v>1050</v>
      </c>
      <c r="AO47" s="45" cm="1">
        <f t="array" ref="AO47">_xlfn.IFS(AN47&gt;$AN$63, 3, AN47=$AN$63, 3, AN47&lt;$AN$62, 1, AN47&gt;$AN$62, 2, AN47=$AN$62, 2)</f>
        <v>3</v>
      </c>
      <c r="AP47" s="44">
        <v>43482</v>
      </c>
      <c r="AQ47" s="44">
        <v>9093</v>
      </c>
      <c r="AR47" s="44">
        <v>63522</v>
      </c>
      <c r="AS47" s="44">
        <v>22300</v>
      </c>
      <c r="AT47" s="44">
        <v>30538</v>
      </c>
      <c r="AU47" s="44">
        <v>1611</v>
      </c>
      <c r="AV47" s="44">
        <v>3397</v>
      </c>
      <c r="AW47" s="44">
        <v>850</v>
      </c>
      <c r="AX47" s="46">
        <f t="shared" ref="AX47:AX59" si="16">SUM(AP47:AW47)</f>
        <v>174793</v>
      </c>
      <c r="AY47" s="46" cm="1">
        <f t="array" ref="AY47">_xlfn.IFS(AX47&gt;$AX$63, 3, AX47=$AX$63, 3, AX47&lt;$AX$62, 1, AX47&gt;$AX$62, 2, AX47=$AX$62, 2)</f>
        <v>3</v>
      </c>
      <c r="AZ47" s="44">
        <v>22856</v>
      </c>
      <c r="BA47" s="44">
        <v>3273</v>
      </c>
      <c r="BB47" s="44">
        <v>9093</v>
      </c>
      <c r="BC47" s="44">
        <v>25536</v>
      </c>
      <c r="BD47" s="44">
        <v>44912</v>
      </c>
      <c r="BE47" s="44">
        <v>43482</v>
      </c>
      <c r="BF47" s="47">
        <f t="shared" si="12"/>
        <v>149152</v>
      </c>
      <c r="BG47" s="47" cm="1">
        <f t="array" ref="BG47">_xlfn.IFS(BF47&gt;$BF$63, 3, BF47=$BF$63, 3, BF47&lt;$BF$62, 1, BF47&gt;$BF$62, 2, BF47=$BF$62, 2)</f>
        <v>3</v>
      </c>
      <c r="BH47" s="340">
        <f t="shared" si="8"/>
        <v>3</v>
      </c>
    </row>
    <row r="48" spans="1:60">
      <c r="A48" s="39" t="s">
        <v>146</v>
      </c>
      <c r="B48" s="44">
        <v>1974</v>
      </c>
      <c r="C48" s="44">
        <v>2584</v>
      </c>
      <c r="D48" s="44" t="s">
        <v>542</v>
      </c>
      <c r="E48" s="44">
        <v>1669</v>
      </c>
      <c r="F48" s="44">
        <v>963</v>
      </c>
      <c r="G48" s="44" t="s">
        <v>542</v>
      </c>
      <c r="H48" s="46">
        <f t="shared" si="2"/>
        <v>7190</v>
      </c>
      <c r="I48" s="46" cm="1">
        <f t="array" ref="I48">_xlfn.IFS(H48&gt;$H$63, 3, H48=$H$63, 3, H48&lt;$H$62, 1, H48&gt;$H$62, 2, H48=$H$62, 2)</f>
        <v>1</v>
      </c>
      <c r="J48" s="44">
        <v>1669</v>
      </c>
      <c r="K48" s="44" t="s">
        <v>542</v>
      </c>
      <c r="L48" s="44">
        <v>1974</v>
      </c>
      <c r="M48" s="44">
        <v>2584</v>
      </c>
      <c r="N48" s="44">
        <v>963</v>
      </c>
      <c r="O48" s="44" t="s">
        <v>542</v>
      </c>
      <c r="P48" s="47">
        <f t="shared" si="15"/>
        <v>7190</v>
      </c>
      <c r="Q48" s="47" cm="1">
        <f t="array" ref="Q48">_xlfn.IFS(P48&gt;$P$63, 3, P48=$P$63, 3, P48&lt;$P$62, 1, P48&gt;$P$62, 2, P48=$P$62, 2)</f>
        <v>1</v>
      </c>
      <c r="R48" s="44" t="s">
        <v>542</v>
      </c>
      <c r="S48" s="44">
        <v>731</v>
      </c>
      <c r="T48" s="44">
        <v>131</v>
      </c>
      <c r="U48" s="44" t="s">
        <v>542</v>
      </c>
      <c r="V48" s="45">
        <f t="shared" si="13"/>
        <v>862</v>
      </c>
      <c r="W48" s="45" cm="1">
        <f t="array" ref="W48">_xlfn.IFS(V48&gt;$V$63, 3,V48=$V$63, 3, V48&lt;$V$62, 1, V48&gt;$V$62, 2, V48=$V$62, 2)</f>
        <v>1</v>
      </c>
      <c r="X48" s="44" t="s">
        <v>542</v>
      </c>
      <c r="Y48" s="44">
        <v>731</v>
      </c>
      <c r="Z48" s="44" t="s">
        <v>542</v>
      </c>
      <c r="AA48" s="44">
        <v>1974</v>
      </c>
      <c r="AB48" s="44">
        <v>2584</v>
      </c>
      <c r="AC48" s="44" t="s">
        <v>542</v>
      </c>
      <c r="AD48" s="62">
        <f t="shared" si="4"/>
        <v>5289</v>
      </c>
      <c r="AE48" s="46" cm="1">
        <f t="array" ref="AE48">_xlfn.IFS(AD48&gt;$AD$63, 3,AD48=$AD$63, 3, AD48&lt;$AD$62, 1, AD48&gt;$AD$62, 2, AD48=$AD$62, 2)</f>
        <v>1</v>
      </c>
      <c r="AF48" s="44"/>
      <c r="AG48" s="44" t="s">
        <v>542</v>
      </c>
      <c r="AH48" s="44">
        <v>731</v>
      </c>
      <c r="AI48" s="44" t="s">
        <v>542</v>
      </c>
      <c r="AJ48" s="47">
        <f t="shared" ref="AJ48:AJ59" si="17">SUM(AF48:AI48)</f>
        <v>731</v>
      </c>
      <c r="AK48" s="47" cm="1">
        <f t="array" ref="AK48">_xlfn.IFS(AJ48&gt;$AJ$63, 3, AJ48=$AJ$63, 3, AJ48&lt;$AJ$62, 1, AJ48&gt;$AJ$62, 2, AJ48=$AJ$62, 2)</f>
        <v>1</v>
      </c>
      <c r="AL48" s="48">
        <v>63</v>
      </c>
      <c r="AM48" s="44">
        <v>131</v>
      </c>
      <c r="AN48" s="45">
        <f t="shared" si="14"/>
        <v>194</v>
      </c>
      <c r="AO48" s="45" cm="1">
        <f t="array" ref="AO48">_xlfn.IFS(AN48&gt;$AN$63, 3, AN48=$AN$63, 3, AN48&lt;$AN$62, 1, AN48&gt;$AN$62, 2, AN48=$AN$62, 2)</f>
        <v>2</v>
      </c>
      <c r="AP48" s="44">
        <v>2584</v>
      </c>
      <c r="AQ48" s="44" t="s">
        <v>542</v>
      </c>
      <c r="AR48" s="44">
        <v>5178</v>
      </c>
      <c r="AS48" s="44" t="s">
        <v>542</v>
      </c>
      <c r="AT48" s="44">
        <v>1748</v>
      </c>
      <c r="AU48" s="44" t="s">
        <v>542</v>
      </c>
      <c r="AV48" s="44" t="s">
        <v>542</v>
      </c>
      <c r="AW48" s="44" t="s">
        <v>542</v>
      </c>
      <c r="AX48" s="46">
        <f t="shared" si="16"/>
        <v>9510</v>
      </c>
      <c r="AY48" s="46" cm="1">
        <f t="array" ref="AY48">_xlfn.IFS(AX48&gt;$AX$63, 3, AX48=$AX$63, 3, AX48&lt;$AX$62, 1, AX48&gt;$AX$62, 2, AX48=$AX$62, 2)</f>
        <v>1</v>
      </c>
      <c r="AZ48" s="44">
        <v>1669</v>
      </c>
      <c r="BA48" s="44" t="s">
        <v>542</v>
      </c>
      <c r="BB48" s="44" t="s">
        <v>542</v>
      </c>
      <c r="BC48" s="44">
        <v>963</v>
      </c>
      <c r="BD48" s="44">
        <v>1974</v>
      </c>
      <c r="BE48" s="44">
        <v>2584</v>
      </c>
      <c r="BF48" s="47">
        <f t="shared" si="12"/>
        <v>7190</v>
      </c>
      <c r="BG48" s="47" cm="1">
        <f t="array" ref="BG48">_xlfn.IFS(BF48&gt;$BF$63, 3, BF48=$BF$63, 3, BF48&lt;$BF$62, 1, BF48&gt;$BF$62, 2, BF48=$BF$62, 2)</f>
        <v>1</v>
      </c>
      <c r="BH48" s="340">
        <f t="shared" si="8"/>
        <v>1.125</v>
      </c>
    </row>
    <row r="49" spans="1:60">
      <c r="A49" s="39" t="s">
        <v>147</v>
      </c>
      <c r="B49" s="44">
        <v>24723</v>
      </c>
      <c r="C49" s="44">
        <v>23452</v>
      </c>
      <c r="D49" s="44">
        <v>119</v>
      </c>
      <c r="E49" s="44">
        <v>10822</v>
      </c>
      <c r="F49" s="44">
        <v>16703</v>
      </c>
      <c r="G49" s="44">
        <v>33</v>
      </c>
      <c r="H49" s="46">
        <f t="shared" si="2"/>
        <v>75852</v>
      </c>
      <c r="I49" s="46" cm="1">
        <f t="array" ref="I49">_xlfn.IFS(H49&gt;$H$63, 3, H49=$H$63, 3, H49&lt;$H$62, 1, H49&gt;$H$62, 2, H49=$H$62, 2)</f>
        <v>3</v>
      </c>
      <c r="J49" s="44">
        <v>10822</v>
      </c>
      <c r="K49" s="44">
        <v>119</v>
      </c>
      <c r="L49" s="44">
        <v>24723</v>
      </c>
      <c r="M49" s="44">
        <v>23452</v>
      </c>
      <c r="N49" s="44">
        <v>16703</v>
      </c>
      <c r="O49" s="44">
        <v>33</v>
      </c>
      <c r="P49" s="47">
        <f t="shared" si="15"/>
        <v>75852</v>
      </c>
      <c r="Q49" s="47" cm="1">
        <f t="array" ref="Q49">_xlfn.IFS(P49&gt;$P$63, 3, P49=$P$63, 3, P49&lt;$P$62, 1, P49&gt;$P$62, 2, P49=$P$62, 2)</f>
        <v>3</v>
      </c>
      <c r="R49" s="44">
        <v>2075</v>
      </c>
      <c r="S49" s="44">
        <v>7247</v>
      </c>
      <c r="T49" s="44">
        <v>482</v>
      </c>
      <c r="U49" s="44">
        <v>119</v>
      </c>
      <c r="V49" s="45">
        <f t="shared" si="13"/>
        <v>9923</v>
      </c>
      <c r="W49" s="45" cm="1">
        <f t="array" ref="W49">_xlfn.IFS(V49&gt;$V$63, 3,V49=$V$63, 3, V49&lt;$V$62, 1, V49&gt;$V$62, 2, V49=$V$62, 2)</f>
        <v>2</v>
      </c>
      <c r="X49" s="44">
        <v>2075</v>
      </c>
      <c r="Y49" s="44">
        <v>7247</v>
      </c>
      <c r="Z49" s="44">
        <v>119</v>
      </c>
      <c r="AA49" s="44">
        <v>24723</v>
      </c>
      <c r="AB49" s="44">
        <v>23452</v>
      </c>
      <c r="AC49" s="44">
        <v>33</v>
      </c>
      <c r="AD49" s="62">
        <f t="shared" si="4"/>
        <v>57649</v>
      </c>
      <c r="AE49" s="46" cm="1">
        <f t="array" ref="AE49">_xlfn.IFS(AD49&gt;$AD$63, 3,AD49=$AD$63, 3, AD49&lt;$AD$62, 1, AD49&gt;$AD$62, 2, AD49=$AD$62, 2)</f>
        <v>2</v>
      </c>
      <c r="AF49" s="44">
        <v>2318</v>
      </c>
      <c r="AG49" s="44">
        <v>2075</v>
      </c>
      <c r="AH49" s="44">
        <v>7247</v>
      </c>
      <c r="AI49" s="44">
        <v>119</v>
      </c>
      <c r="AJ49" s="47">
        <f t="shared" si="17"/>
        <v>11759</v>
      </c>
      <c r="AK49" s="47" cm="1">
        <f t="array" ref="AK49">_xlfn.IFS(AJ49&gt;$AJ$63, 3, AJ49=$AJ$63, 3, AJ49&lt;$AJ$62, 1, AJ49&gt;$AJ$62, 2, AJ49=$AJ$62, 2)</f>
        <v>2</v>
      </c>
      <c r="AL49" s="48">
        <v>21</v>
      </c>
      <c r="AM49" s="44">
        <v>482</v>
      </c>
      <c r="AN49" s="45">
        <f t="shared" si="14"/>
        <v>503</v>
      </c>
      <c r="AO49" s="45" cm="1">
        <f t="array" ref="AO49">_xlfn.IFS(AN49&gt;$AN$63, 3, AN49=$AN$63, 3, AN49&lt;$AN$62, 1, AN49&gt;$AN$62, 2, AN49=$AN$62, 2)</f>
        <v>2</v>
      </c>
      <c r="AP49" s="44">
        <v>23452</v>
      </c>
      <c r="AQ49" s="44">
        <v>119</v>
      </c>
      <c r="AR49" s="44">
        <v>27835</v>
      </c>
      <c r="AS49" s="44">
        <v>9668</v>
      </c>
      <c r="AT49" s="44">
        <v>18081</v>
      </c>
      <c r="AU49" s="44">
        <v>339</v>
      </c>
      <c r="AV49" s="44">
        <v>2318</v>
      </c>
      <c r="AW49" s="44">
        <v>2675</v>
      </c>
      <c r="AX49" s="46">
        <f t="shared" si="16"/>
        <v>84487</v>
      </c>
      <c r="AY49" s="46" cm="1">
        <f t="array" ref="AY49">_xlfn.IFS(AX49&gt;$AX$63, 3, AX49=$AX$63, 3, AX49&lt;$AX$62, 1, AX49&gt;$AX$62, 2, AX49=$AX$62, 2)</f>
        <v>2</v>
      </c>
      <c r="AZ49" s="44">
        <v>10822</v>
      </c>
      <c r="BA49" s="44">
        <v>33</v>
      </c>
      <c r="BB49" s="44">
        <v>119</v>
      </c>
      <c r="BC49" s="44">
        <v>16703</v>
      </c>
      <c r="BD49" s="44">
        <v>24723</v>
      </c>
      <c r="BE49" s="44">
        <v>23452</v>
      </c>
      <c r="BF49" s="47">
        <f t="shared" si="12"/>
        <v>75852</v>
      </c>
      <c r="BG49" s="47" cm="1">
        <f t="array" ref="BG49">_xlfn.IFS(BF49&gt;$BF$63, 3, BF49=$BF$63, 3, BF49&lt;$BF$62, 1, BF49&gt;$BF$62, 2, BF49=$BF$62, 2)</f>
        <v>3</v>
      </c>
      <c r="BH49" s="340">
        <f t="shared" si="8"/>
        <v>2.375</v>
      </c>
    </row>
    <row r="50" spans="1:60">
      <c r="A50" s="39" t="s">
        <v>148</v>
      </c>
      <c r="B50" s="44">
        <v>6289</v>
      </c>
      <c r="C50" s="44">
        <v>1224</v>
      </c>
      <c r="D50" s="44" t="s">
        <v>542</v>
      </c>
      <c r="E50" s="44">
        <v>2020</v>
      </c>
      <c r="F50" s="44">
        <v>474</v>
      </c>
      <c r="G50" s="44" t="s">
        <v>542</v>
      </c>
      <c r="H50" s="46">
        <f t="shared" si="2"/>
        <v>10007</v>
      </c>
      <c r="I50" s="46" cm="1">
        <f t="array" ref="I50">_xlfn.IFS(H50&gt;$H$63, 3, H50=$H$63, 3, H50&lt;$H$62, 1, H50&gt;$H$62, 2, H50=$H$62, 2)</f>
        <v>1</v>
      </c>
      <c r="J50" s="44">
        <v>2020</v>
      </c>
      <c r="K50" s="44" t="s">
        <v>542</v>
      </c>
      <c r="L50" s="44">
        <v>6289</v>
      </c>
      <c r="M50" s="44">
        <v>1224</v>
      </c>
      <c r="N50" s="44">
        <v>474</v>
      </c>
      <c r="O50" s="44" t="s">
        <v>542</v>
      </c>
      <c r="P50" s="47">
        <f t="shared" si="15"/>
        <v>10007</v>
      </c>
      <c r="Q50" s="47" cm="1">
        <f t="array" ref="Q50">_xlfn.IFS(P50&gt;$P$63, 3, P50=$P$63, 3, P50&lt;$P$62, 1, P50&gt;$P$62, 2, P50=$P$62, 2)</f>
        <v>1</v>
      </c>
      <c r="R50" s="44">
        <v>853</v>
      </c>
      <c r="S50" s="44">
        <v>1724</v>
      </c>
      <c r="T50" s="44" t="s">
        <v>542</v>
      </c>
      <c r="U50" s="44" t="s">
        <v>542</v>
      </c>
      <c r="V50" s="45">
        <f t="shared" si="13"/>
        <v>2577</v>
      </c>
      <c r="W50" s="45" cm="1">
        <f t="array" ref="W50">_xlfn.IFS(V50&gt;$V$63, 3,V50=$V$63, 3, V50&lt;$V$62, 1, V50&gt;$V$62, 2, V50=$V$62, 2)</f>
        <v>1</v>
      </c>
      <c r="X50" s="44">
        <v>853</v>
      </c>
      <c r="Y50" s="44">
        <v>1724</v>
      </c>
      <c r="Z50" s="44" t="s">
        <v>542</v>
      </c>
      <c r="AA50" s="44">
        <v>6289</v>
      </c>
      <c r="AB50" s="44">
        <v>1224</v>
      </c>
      <c r="AC50" s="44" t="s">
        <v>542</v>
      </c>
      <c r="AD50" s="62">
        <f t="shared" si="4"/>
        <v>10090</v>
      </c>
      <c r="AE50" s="46" cm="1">
        <f t="array" ref="AE50">_xlfn.IFS(AD50&gt;$AD$63, 3,AD50=$AD$63, 3, AD50&lt;$AD$62, 1, AD50&gt;$AD$62, 2, AD50=$AD$62, 2)</f>
        <v>1</v>
      </c>
      <c r="AF50" s="44">
        <v>766</v>
      </c>
      <c r="AG50" s="44">
        <v>853</v>
      </c>
      <c r="AH50" s="44">
        <v>1724</v>
      </c>
      <c r="AI50" s="44" t="s">
        <v>542</v>
      </c>
      <c r="AJ50" s="47">
        <f t="shared" si="17"/>
        <v>3343</v>
      </c>
      <c r="AK50" s="47" cm="1">
        <f t="array" ref="AK50">_xlfn.IFS(AJ50&gt;$AJ$63, 3, AJ50=$AJ$63, 3, AJ50&lt;$AJ$62, 1, AJ50&gt;$AJ$62, 2, AJ50=$AJ$62, 2)</f>
        <v>1</v>
      </c>
      <c r="AL50" s="48" t="s">
        <v>542</v>
      </c>
      <c r="AM50" s="44" t="s">
        <v>542</v>
      </c>
      <c r="AN50" s="45">
        <f t="shared" si="14"/>
        <v>0</v>
      </c>
      <c r="AO50" s="45" cm="1">
        <f t="array" ref="AO50">_xlfn.IFS(AN50&gt;$AN$63, 3, AN50=$AN$63, 3, AN50&lt;$AN$62, 1, AN50&gt;$AN$62, 2, AN50=$AN$62, 2)</f>
        <v>1</v>
      </c>
      <c r="AP50" s="44">
        <v>1224</v>
      </c>
      <c r="AQ50" s="44" t="s">
        <v>542</v>
      </c>
      <c r="AR50" s="44">
        <v>7061</v>
      </c>
      <c r="AS50" s="44">
        <v>2059</v>
      </c>
      <c r="AT50" s="44">
        <v>4175</v>
      </c>
      <c r="AU50" s="44" t="s">
        <v>542</v>
      </c>
      <c r="AV50" s="44">
        <v>766</v>
      </c>
      <c r="AW50" s="44" t="s">
        <v>542</v>
      </c>
      <c r="AX50" s="46">
        <f t="shared" si="16"/>
        <v>15285</v>
      </c>
      <c r="AY50" s="46" cm="1">
        <f t="array" ref="AY50">_xlfn.IFS(AX50&gt;$AX$63, 3, AX50=$AX$63, 3, AX50&lt;$AX$62, 1, AX50&gt;$AX$62, 2, AX50=$AX$62, 2)</f>
        <v>1</v>
      </c>
      <c r="AZ50" s="44">
        <v>2020</v>
      </c>
      <c r="BA50" s="44" t="s">
        <v>542</v>
      </c>
      <c r="BB50" s="44" t="s">
        <v>542</v>
      </c>
      <c r="BC50" s="44">
        <v>474</v>
      </c>
      <c r="BD50" s="44">
        <v>6289</v>
      </c>
      <c r="BE50" s="44">
        <v>1224</v>
      </c>
      <c r="BF50" s="47">
        <f t="shared" si="12"/>
        <v>10007</v>
      </c>
      <c r="BG50" s="47" cm="1">
        <f t="array" ref="BG50">_xlfn.IFS(BF50&gt;$BF$63, 3, BF50=$BF$63, 3, BF50&lt;$BF$62, 1, BF50&gt;$BF$62, 2, BF50=$BF$62, 2)</f>
        <v>1</v>
      </c>
      <c r="BH50" s="340">
        <f t="shared" si="8"/>
        <v>1</v>
      </c>
    </row>
    <row r="51" spans="1:60">
      <c r="A51" s="39" t="s">
        <v>149</v>
      </c>
      <c r="B51" s="44">
        <v>25126</v>
      </c>
      <c r="C51" s="44">
        <v>26844</v>
      </c>
      <c r="D51" s="44">
        <v>372</v>
      </c>
      <c r="E51" s="44">
        <v>4515</v>
      </c>
      <c r="F51" s="44">
        <v>19255</v>
      </c>
      <c r="G51" s="44">
        <v>57</v>
      </c>
      <c r="H51" s="46">
        <f>SUM(B51:G51)</f>
        <v>76169</v>
      </c>
      <c r="I51" s="46" cm="1">
        <f t="array" ref="I51">_xlfn.IFS(H51&gt;$H$63, 3, H51=$H$63, 3, H51&lt;$H$62, 1, H51&gt;$H$62, 2, H51=$H$62, 2)</f>
        <v>3</v>
      </c>
      <c r="J51" s="44">
        <v>4515</v>
      </c>
      <c r="K51" s="44">
        <v>372</v>
      </c>
      <c r="L51" s="44">
        <v>25126</v>
      </c>
      <c r="M51" s="44">
        <v>26844</v>
      </c>
      <c r="N51" s="44">
        <v>19255</v>
      </c>
      <c r="O51" s="44">
        <v>57</v>
      </c>
      <c r="P51" s="47">
        <f t="shared" si="15"/>
        <v>76169</v>
      </c>
      <c r="Q51" s="47" cm="1">
        <f t="array" ref="Q51">_xlfn.IFS(P51&gt;$P$63, 3, P51=$P$63, 3, P51&lt;$P$62, 1, P51&gt;$P$62, 2, P51=$P$62, 2)</f>
        <v>3</v>
      </c>
      <c r="R51" s="44">
        <v>3521</v>
      </c>
      <c r="S51" s="44">
        <v>15315</v>
      </c>
      <c r="T51" s="44">
        <v>2136</v>
      </c>
      <c r="U51" s="44">
        <v>372</v>
      </c>
      <c r="V51" s="45">
        <f t="shared" si="13"/>
        <v>21344</v>
      </c>
      <c r="W51" s="45" cm="1">
        <f t="array" ref="W51">_xlfn.IFS(V51&gt;$V$63, 3,V51=$V$63, 3, V51&lt;$V$62, 1, V51&gt;$V$62, 2, V51=$V$62, 2)</f>
        <v>3</v>
      </c>
      <c r="X51" s="44">
        <v>3521</v>
      </c>
      <c r="Y51" s="44">
        <v>15315</v>
      </c>
      <c r="Z51" s="44">
        <v>372</v>
      </c>
      <c r="AA51" s="44">
        <v>25126</v>
      </c>
      <c r="AB51" s="44">
        <v>26844</v>
      </c>
      <c r="AC51" s="44">
        <v>57</v>
      </c>
      <c r="AD51" s="62">
        <f t="shared" si="4"/>
        <v>71235</v>
      </c>
      <c r="AE51" s="46" cm="1">
        <f t="array" ref="AE51">_xlfn.IFS(AD51&gt;$AD$63, 3,AD51=$AD$63, 3, AD51&lt;$AD$62, 1, AD51&gt;$AD$62, 2, AD51=$AD$62, 2)</f>
        <v>3</v>
      </c>
      <c r="AF51" s="44">
        <v>1088</v>
      </c>
      <c r="AG51" s="44">
        <v>3521</v>
      </c>
      <c r="AH51" s="44">
        <v>15315</v>
      </c>
      <c r="AI51" s="44">
        <v>372</v>
      </c>
      <c r="AJ51" s="47">
        <f t="shared" si="17"/>
        <v>20296</v>
      </c>
      <c r="AK51" s="47" cm="1">
        <f t="array" ref="AK51">_xlfn.IFS(AJ51&gt;$AJ$63, 3, AJ51=$AJ$63, 3, AJ51&lt;$AJ$62, 1, AJ51&gt;$AJ$62, 2, AJ51=$AJ$62, 2)</f>
        <v>2</v>
      </c>
      <c r="AL51" s="48">
        <v>41</v>
      </c>
      <c r="AM51" s="44">
        <v>2136</v>
      </c>
      <c r="AN51" s="45">
        <f t="shared" si="14"/>
        <v>2177</v>
      </c>
      <c r="AO51" s="45" cm="1">
        <f t="array" ref="AO51">_xlfn.IFS(AN51&gt;$AN$63, 3, AN51=$AN$63, 3, AN51&lt;$AN$62, 1, AN51&gt;$AN$62, 2, AN51=$AN$62, 2)</f>
        <v>3</v>
      </c>
      <c r="AP51" s="44">
        <v>26844</v>
      </c>
      <c r="AQ51" s="44">
        <v>372</v>
      </c>
      <c r="AR51" s="44">
        <v>32961</v>
      </c>
      <c r="AS51" s="44">
        <v>13592</v>
      </c>
      <c r="AT51" s="44">
        <v>20905</v>
      </c>
      <c r="AU51" s="44">
        <v>805</v>
      </c>
      <c r="AV51" s="44">
        <v>1088</v>
      </c>
      <c r="AW51" s="44">
        <v>711</v>
      </c>
      <c r="AX51" s="46">
        <f t="shared" si="16"/>
        <v>97278</v>
      </c>
      <c r="AY51" s="46" cm="1">
        <f t="array" ref="AY51">_xlfn.IFS(AX51&gt;$AX$63, 3, AX51=$AX$63, 3, AX51&lt;$AX$62, 1, AX51&gt;$AX$62, 2, AX51=$AX$62, 2)</f>
        <v>3</v>
      </c>
      <c r="AZ51" s="44">
        <v>4515</v>
      </c>
      <c r="BA51" s="44">
        <v>57</v>
      </c>
      <c r="BB51" s="44">
        <v>372</v>
      </c>
      <c r="BC51" s="44">
        <v>19255</v>
      </c>
      <c r="BD51" s="44">
        <v>25126</v>
      </c>
      <c r="BE51" s="44">
        <v>26844</v>
      </c>
      <c r="BF51" s="47">
        <f>SUM(AZ51:BE51)</f>
        <v>76169</v>
      </c>
      <c r="BG51" s="47" cm="1">
        <f t="array" ref="BG51">_xlfn.IFS(BF51&gt;$BF$63, 3, BF51=$BF$63, 3, BF51&lt;$BF$62, 1, BF51&gt;$BF$62, 2, BF51=$BF$62, 2)</f>
        <v>3</v>
      </c>
      <c r="BH51" s="340">
        <f t="shared" si="8"/>
        <v>2.875</v>
      </c>
    </row>
    <row r="52" spans="1:60">
      <c r="A52" s="39" t="s">
        <v>150</v>
      </c>
      <c r="B52" s="44">
        <v>96500</v>
      </c>
      <c r="C52" s="44">
        <v>86736</v>
      </c>
      <c r="D52" s="44">
        <v>133854</v>
      </c>
      <c r="E52" s="44">
        <v>62871</v>
      </c>
      <c r="F52" s="44">
        <v>23254</v>
      </c>
      <c r="G52" s="44">
        <v>62923</v>
      </c>
      <c r="H52" s="46">
        <f t="shared" ref="H52:H59" si="18">SUM(B52:G52)</f>
        <v>466138</v>
      </c>
      <c r="I52" s="46" cm="1">
        <f t="array" ref="I52">_xlfn.IFS(H52&gt;$H$63, 3, H52=$H$63, 3, H52&lt;$H$62, 1, H52&gt;$H$62, 2, H52=$H$62, 2)</f>
        <v>3</v>
      </c>
      <c r="J52" s="44">
        <v>62871</v>
      </c>
      <c r="K52" s="44">
        <v>133854</v>
      </c>
      <c r="L52" s="44">
        <v>96500</v>
      </c>
      <c r="M52" s="44">
        <v>86736</v>
      </c>
      <c r="N52" s="44">
        <v>23254</v>
      </c>
      <c r="O52" s="44">
        <v>62923</v>
      </c>
      <c r="P52" s="47">
        <f t="shared" si="15"/>
        <v>466138</v>
      </c>
      <c r="Q52" s="47" cm="1">
        <f t="array" ref="Q52">_xlfn.IFS(P52&gt;$P$63, 3, P52=$P$63, 3, P52&lt;$P$62, 1, P52&gt;$P$62, 2, P52=$P$62, 2)</f>
        <v>3</v>
      </c>
      <c r="R52" s="44">
        <v>14484</v>
      </c>
      <c r="S52" s="44">
        <v>41508</v>
      </c>
      <c r="T52" s="44">
        <v>3948</v>
      </c>
      <c r="U52" s="44">
        <v>133854</v>
      </c>
      <c r="V52" s="45">
        <f t="shared" si="13"/>
        <v>193794</v>
      </c>
      <c r="W52" s="45" cm="1">
        <f t="array" ref="W52">_xlfn.IFS(V52&gt;$V$63, 3,V52=$V$63, 3, V52&lt;$V$62, 1, V52&gt;$V$62, 2, V52=$V$62, 2)</f>
        <v>3</v>
      </c>
      <c r="X52" s="44">
        <v>14484</v>
      </c>
      <c r="Y52" s="44">
        <v>41508</v>
      </c>
      <c r="Z52" s="44">
        <v>133854</v>
      </c>
      <c r="AA52" s="44">
        <v>96500</v>
      </c>
      <c r="AB52" s="44">
        <v>86736</v>
      </c>
      <c r="AC52" s="44">
        <v>62923</v>
      </c>
      <c r="AD52" s="62">
        <f t="shared" si="4"/>
        <v>436005</v>
      </c>
      <c r="AE52" s="46" cm="1">
        <f t="array" ref="AE52">_xlfn.IFS(AD52&gt;$AD$63, 3,AD52=$AD$63, 3, AD52&lt;$AD$62, 1, AD52&gt;$AD$62, 2, AD52=$AD$62, 2)</f>
        <v>3</v>
      </c>
      <c r="AF52" s="44">
        <v>10557</v>
      </c>
      <c r="AG52" s="44">
        <v>14484</v>
      </c>
      <c r="AH52" s="44">
        <v>41508</v>
      </c>
      <c r="AI52" s="44">
        <v>133854</v>
      </c>
      <c r="AJ52" s="47">
        <f t="shared" si="17"/>
        <v>200403</v>
      </c>
      <c r="AK52" s="47" cm="1">
        <f t="array" ref="AK52">_xlfn.IFS(AJ52&gt;$AJ$63, 3, AJ52=$AJ$63, 3, AJ52&lt;$AJ$62, 1, AJ52&gt;$AJ$62, 2, AJ52=$AJ$62, 2)</f>
        <v>3</v>
      </c>
      <c r="AL52" s="48">
        <v>416</v>
      </c>
      <c r="AM52" s="44">
        <v>3948</v>
      </c>
      <c r="AN52" s="45">
        <f t="shared" si="14"/>
        <v>4364</v>
      </c>
      <c r="AO52" s="45" cm="1">
        <f t="array" ref="AO52">_xlfn.IFS(AN52&gt;$AN$63, 3, AN52=$AN$63, 3, AN52&lt;$AN$62, 1, AN52&gt;$AN$62, 2, AN52=$AN$62, 2)</f>
        <v>3</v>
      </c>
      <c r="AP52" s="44">
        <v>86736</v>
      </c>
      <c r="AQ52" s="44">
        <v>133854</v>
      </c>
      <c r="AR52" s="44">
        <v>192288</v>
      </c>
      <c r="AS52" s="44">
        <v>26496</v>
      </c>
      <c r="AT52" s="44">
        <v>175509</v>
      </c>
      <c r="AU52" s="44">
        <v>8116</v>
      </c>
      <c r="AV52" s="44">
        <v>10557</v>
      </c>
      <c r="AW52" s="44">
        <v>1671</v>
      </c>
      <c r="AX52" s="46">
        <f t="shared" si="16"/>
        <v>635227</v>
      </c>
      <c r="AY52" s="46" cm="1">
        <f t="array" ref="AY52">_xlfn.IFS(AX52&gt;$AX$63, 3, AX52=$AX$63, 3, AX52&lt;$AX$62, 1, AX52&gt;$AX$62, 2, AX52=$AX$62, 2)</f>
        <v>3</v>
      </c>
      <c r="AZ52" s="44">
        <v>62871</v>
      </c>
      <c r="BA52" s="44">
        <v>62923</v>
      </c>
      <c r="BB52" s="44">
        <v>133854</v>
      </c>
      <c r="BC52" s="44">
        <v>23254</v>
      </c>
      <c r="BD52" s="44">
        <v>96500</v>
      </c>
      <c r="BE52" s="44">
        <v>86736</v>
      </c>
      <c r="BF52" s="47">
        <f t="shared" ref="BF52:BF59" si="19">SUM(AZ52:BE52)</f>
        <v>466138</v>
      </c>
      <c r="BG52" s="47" cm="1">
        <f t="array" ref="BG52">_xlfn.IFS(BF52&gt;$BF$63, 3, BF52=$BF$63, 3, BF52&lt;$BF$62, 1, BF52&gt;$BF$62, 2, BF52=$BF$62, 2)</f>
        <v>3</v>
      </c>
      <c r="BH52" s="340">
        <f t="shared" si="8"/>
        <v>3</v>
      </c>
    </row>
    <row r="53" spans="1:60">
      <c r="A53" s="39" t="s">
        <v>151</v>
      </c>
      <c r="B53" s="44">
        <v>6922</v>
      </c>
      <c r="C53" s="44">
        <v>10343</v>
      </c>
      <c r="D53" s="44">
        <v>4441</v>
      </c>
      <c r="E53" s="44">
        <v>3984</v>
      </c>
      <c r="F53" s="44">
        <v>2933</v>
      </c>
      <c r="G53" s="44">
        <v>1155</v>
      </c>
      <c r="H53" s="46">
        <f t="shared" si="18"/>
        <v>29778</v>
      </c>
      <c r="I53" s="46" cm="1">
        <f t="array" ref="I53">_xlfn.IFS(H53&gt;$H$63, 3, H53=$H$63, 3, H53&lt;$H$62, 1, H53&gt;$H$62, 2, H53=$H$62, 2)</f>
        <v>2</v>
      </c>
      <c r="J53" s="44">
        <v>3984</v>
      </c>
      <c r="K53" s="44">
        <v>4441</v>
      </c>
      <c r="L53" s="44">
        <v>6922</v>
      </c>
      <c r="M53" s="44">
        <v>10343</v>
      </c>
      <c r="N53" s="44">
        <v>2933</v>
      </c>
      <c r="O53" s="44">
        <v>1155</v>
      </c>
      <c r="P53" s="47">
        <f t="shared" si="15"/>
        <v>29778</v>
      </c>
      <c r="Q53" s="47" cm="1">
        <f t="array" ref="Q53">_xlfn.IFS(P53&gt;$P$63, 3, P53=$P$63, 3, P53&lt;$P$62, 1, P53&gt;$P$62, 2, P53=$P$62, 2)</f>
        <v>2</v>
      </c>
      <c r="R53" s="44">
        <v>5621</v>
      </c>
      <c r="S53" s="44">
        <v>6319</v>
      </c>
      <c r="T53" s="44" t="s">
        <v>542</v>
      </c>
      <c r="U53" s="44">
        <v>4441</v>
      </c>
      <c r="V53" s="45">
        <f t="shared" si="13"/>
        <v>16381</v>
      </c>
      <c r="W53" s="45" cm="1">
        <f t="array" ref="W53">_xlfn.IFS(V53&gt;$V$63, 3,V53=$V$63, 3, V53&lt;$V$62, 1, V53&gt;$V$62, 2, V53=$V$62, 2)</f>
        <v>2</v>
      </c>
      <c r="X53" s="44">
        <v>5621</v>
      </c>
      <c r="Y53" s="44">
        <v>6319</v>
      </c>
      <c r="Z53" s="44">
        <v>4441</v>
      </c>
      <c r="AA53" s="44">
        <v>6922</v>
      </c>
      <c r="AB53" s="44">
        <v>10343</v>
      </c>
      <c r="AC53" s="44">
        <v>1155</v>
      </c>
      <c r="AD53" s="62">
        <f t="shared" si="4"/>
        <v>34801</v>
      </c>
      <c r="AE53" s="46" cm="1">
        <f t="array" ref="AE53">_xlfn.IFS(AD53&gt;$AD$63, 3,AD53=$AD$63, 3, AD53&lt;$AD$62, 1, AD53&gt;$AD$62, 2, AD53=$AD$62, 2)</f>
        <v>2</v>
      </c>
      <c r="AF53" s="44">
        <v>976</v>
      </c>
      <c r="AG53" s="44">
        <v>5621</v>
      </c>
      <c r="AH53" s="44">
        <v>6319</v>
      </c>
      <c r="AI53" s="44">
        <v>4441</v>
      </c>
      <c r="AJ53" s="47">
        <f t="shared" si="17"/>
        <v>17357</v>
      </c>
      <c r="AK53" s="47" cm="1">
        <f t="array" ref="AK53">_xlfn.IFS(AJ53&gt;$AJ$63, 3, AJ53=$AJ$63, 3, AJ53&lt;$AJ$62, 1, AJ53&gt;$AJ$62, 2, AJ53=$AJ$62, 2)</f>
        <v>2</v>
      </c>
      <c r="AL53" s="48" t="s">
        <v>542</v>
      </c>
      <c r="AM53" s="44" t="s">
        <v>542</v>
      </c>
      <c r="AN53" s="45">
        <f t="shared" si="14"/>
        <v>0</v>
      </c>
      <c r="AO53" s="45" cm="1">
        <f t="array" ref="AO53">_xlfn.IFS(AN53&gt;$AN$63, 3, AN53=$AN$63, 3, AN53&lt;$AN$62, 1, AN53&gt;$AN$62, 2, AN53=$AN$62, 2)</f>
        <v>1</v>
      </c>
      <c r="AP53" s="44">
        <v>10343</v>
      </c>
      <c r="AQ53" s="44">
        <v>4441</v>
      </c>
      <c r="AR53" s="44">
        <v>29995</v>
      </c>
      <c r="AS53" s="44">
        <v>3060</v>
      </c>
      <c r="AT53" s="44">
        <v>12760</v>
      </c>
      <c r="AU53" s="44">
        <v>97</v>
      </c>
      <c r="AV53" s="44">
        <v>976</v>
      </c>
      <c r="AW53" s="44" t="s">
        <v>542</v>
      </c>
      <c r="AX53" s="46">
        <f t="shared" si="16"/>
        <v>61672</v>
      </c>
      <c r="AY53" s="46" cm="1">
        <f t="array" ref="AY53">_xlfn.IFS(AX53&gt;$AX$63, 3, AX53=$AX$63, 3, AX53&lt;$AX$62, 1, AX53&gt;$AX$62, 2, AX53=$AX$62, 2)</f>
        <v>2</v>
      </c>
      <c r="AZ53" s="44">
        <v>3984</v>
      </c>
      <c r="BA53" s="44">
        <v>1155</v>
      </c>
      <c r="BB53" s="44">
        <v>4441</v>
      </c>
      <c r="BC53" s="44">
        <v>2933</v>
      </c>
      <c r="BD53" s="44">
        <v>6922</v>
      </c>
      <c r="BE53" s="44">
        <v>10343</v>
      </c>
      <c r="BF53" s="47">
        <f t="shared" si="19"/>
        <v>29778</v>
      </c>
      <c r="BG53" s="47" cm="1">
        <f t="array" ref="BG53">_xlfn.IFS(BF53&gt;$BF$63, 3, BF53=$BF$63, 3, BF53&lt;$BF$62, 1, BF53&gt;$BF$62, 2, BF53=$BF$62, 2)</f>
        <v>2</v>
      </c>
      <c r="BH53" s="340">
        <f t="shared" si="8"/>
        <v>1.875</v>
      </c>
    </row>
    <row r="54" spans="1:60">
      <c r="A54" s="39" t="s">
        <v>152</v>
      </c>
      <c r="B54" s="44">
        <v>2523</v>
      </c>
      <c r="C54" s="44">
        <v>1395</v>
      </c>
      <c r="D54" s="44" t="s">
        <v>542</v>
      </c>
      <c r="E54" s="44">
        <v>1178</v>
      </c>
      <c r="F54" s="44">
        <v>889</v>
      </c>
      <c r="G54" s="44" t="s">
        <v>542</v>
      </c>
      <c r="H54" s="46">
        <f t="shared" si="18"/>
        <v>5985</v>
      </c>
      <c r="I54" s="46" cm="1">
        <f t="array" ref="I54">_xlfn.IFS(H54&gt;$H$63, 3, H54=$H$63, 3, H54&lt;$H$62, 1, H54&gt;$H$62, 2, H54=$H$62, 2)</f>
        <v>1</v>
      </c>
      <c r="J54" s="44">
        <v>1178</v>
      </c>
      <c r="K54" s="44" t="s">
        <v>542</v>
      </c>
      <c r="L54" s="44">
        <v>2523</v>
      </c>
      <c r="M54" s="44">
        <v>1395</v>
      </c>
      <c r="N54" s="44">
        <v>889</v>
      </c>
      <c r="O54" s="44" t="s">
        <v>542</v>
      </c>
      <c r="P54" s="47">
        <f t="shared" si="15"/>
        <v>5985</v>
      </c>
      <c r="Q54" s="47" cm="1">
        <f t="array" ref="Q54">_xlfn.IFS(P54&gt;$P$63, 3, P54=$P$63, 3, P54&lt;$P$62, 1, P54&gt;$P$62, 2, P54=$P$62, 2)</f>
        <v>1</v>
      </c>
      <c r="R54" s="44" t="s">
        <v>542</v>
      </c>
      <c r="S54" s="44">
        <v>1461</v>
      </c>
      <c r="T54" s="44" t="s">
        <v>542</v>
      </c>
      <c r="U54" s="44" t="s">
        <v>542</v>
      </c>
      <c r="V54" s="45">
        <f t="shared" si="13"/>
        <v>1461</v>
      </c>
      <c r="W54" s="45" cm="1">
        <f t="array" ref="W54">_xlfn.IFS(V54&gt;$V$63, 3,V54=$V$63, 3, V54&lt;$V$62, 1, V54&gt;$V$62, 2, V54=$V$62, 2)</f>
        <v>1</v>
      </c>
      <c r="X54" s="44" t="s">
        <v>542</v>
      </c>
      <c r="Y54" s="44">
        <v>1461</v>
      </c>
      <c r="Z54" s="44" t="s">
        <v>542</v>
      </c>
      <c r="AA54" s="44">
        <v>2523</v>
      </c>
      <c r="AB54" s="44">
        <v>1395</v>
      </c>
      <c r="AC54" s="44" t="s">
        <v>542</v>
      </c>
      <c r="AD54" s="62">
        <f t="shared" si="4"/>
        <v>5379</v>
      </c>
      <c r="AE54" s="46" cm="1">
        <f t="array" ref="AE54">_xlfn.IFS(AD54&gt;$AD$63, 3,AD54=$AD$63, 3, AD54&lt;$AD$62, 1, AD54&gt;$AD$62, 2, AD54=$AD$62, 2)</f>
        <v>1</v>
      </c>
      <c r="AF54" s="44">
        <v>277</v>
      </c>
      <c r="AG54" s="44" t="s">
        <v>542</v>
      </c>
      <c r="AH54" s="44">
        <v>1461</v>
      </c>
      <c r="AI54" s="44" t="s">
        <v>542</v>
      </c>
      <c r="AJ54" s="47">
        <f t="shared" si="17"/>
        <v>1738</v>
      </c>
      <c r="AK54" s="47" cm="1">
        <f t="array" ref="AK54">_xlfn.IFS(AJ54&gt;$AJ$63, 3, AJ54=$AJ$63, 3, AJ54&lt;$AJ$62, 1, AJ54&gt;$AJ$62, 2, AJ54=$AJ$62, 2)</f>
        <v>1</v>
      </c>
      <c r="AL54" s="48" t="s">
        <v>542</v>
      </c>
      <c r="AM54" s="44" t="s">
        <v>542</v>
      </c>
      <c r="AN54" s="45">
        <f t="shared" si="14"/>
        <v>0</v>
      </c>
      <c r="AO54" s="45" cm="1">
        <f t="array" ref="AO54">_xlfn.IFS(AN54&gt;$AN$63, 3, AN54=$AN$63, 3, AN54&lt;$AN$62, 1, AN54&gt;$AN$62, 2, AN54=$AN$62, 2)</f>
        <v>1</v>
      </c>
      <c r="AP54" s="44">
        <v>1395</v>
      </c>
      <c r="AQ54" s="44" t="s">
        <v>542</v>
      </c>
      <c r="AR54" s="44">
        <v>4617</v>
      </c>
      <c r="AS54" s="44">
        <v>1329</v>
      </c>
      <c r="AT54" s="44">
        <v>1425</v>
      </c>
      <c r="AU54" s="44" t="s">
        <v>542</v>
      </c>
      <c r="AV54" s="44">
        <v>277</v>
      </c>
      <c r="AW54" s="44">
        <v>180</v>
      </c>
      <c r="AX54" s="46">
        <f t="shared" si="16"/>
        <v>9223</v>
      </c>
      <c r="AY54" s="46" cm="1">
        <f t="array" ref="AY54">_xlfn.IFS(AX54&gt;$AX$63, 3, AX54=$AX$63, 3, AX54&lt;$AX$62, 1, AX54&gt;$AX$62, 2, AX54=$AX$62, 2)</f>
        <v>1</v>
      </c>
      <c r="AZ54" s="44">
        <v>1178</v>
      </c>
      <c r="BA54" s="44" t="s">
        <v>542</v>
      </c>
      <c r="BB54" s="44" t="s">
        <v>542</v>
      </c>
      <c r="BC54" s="44">
        <v>889</v>
      </c>
      <c r="BD54" s="44">
        <v>2523</v>
      </c>
      <c r="BE54" s="44">
        <v>1395</v>
      </c>
      <c r="BF54" s="47">
        <f t="shared" si="19"/>
        <v>5985</v>
      </c>
      <c r="BG54" s="47" cm="1">
        <f t="array" ref="BG54">_xlfn.IFS(BF54&gt;$BF$63, 3, BF54=$BF$63, 3, BF54&lt;$BF$62, 1, BF54&gt;$BF$62, 2, BF54=$BF$62, 2)</f>
        <v>1</v>
      </c>
      <c r="BH54" s="340">
        <f t="shared" si="8"/>
        <v>1</v>
      </c>
    </row>
    <row r="55" spans="1:60">
      <c r="A55" s="39" t="s">
        <v>153</v>
      </c>
      <c r="B55" s="44">
        <v>15064</v>
      </c>
      <c r="C55" s="44">
        <v>14497</v>
      </c>
      <c r="D55" s="44">
        <v>716</v>
      </c>
      <c r="E55" s="44">
        <v>10899</v>
      </c>
      <c r="F55" s="44">
        <v>8462</v>
      </c>
      <c r="G55" s="44">
        <v>195</v>
      </c>
      <c r="H55" s="46">
        <f t="shared" si="18"/>
        <v>49833</v>
      </c>
      <c r="I55" s="46" cm="1">
        <f t="array" ref="I55">_xlfn.IFS(H55&gt;$H$63, 3, H55=$H$63, 3, H55&lt;$H$62, 1, H55&gt;$H$62, 2, H55=$H$62, 2)</f>
        <v>2</v>
      </c>
      <c r="J55" s="44">
        <v>10899</v>
      </c>
      <c r="K55" s="44">
        <v>716</v>
      </c>
      <c r="L55" s="44">
        <v>15064</v>
      </c>
      <c r="M55" s="44">
        <v>14497</v>
      </c>
      <c r="N55" s="44">
        <v>8462</v>
      </c>
      <c r="O55" s="44">
        <v>195</v>
      </c>
      <c r="P55" s="47">
        <f t="shared" si="15"/>
        <v>49833</v>
      </c>
      <c r="Q55" s="47" cm="1">
        <f t="array" ref="Q55">_xlfn.IFS(P55&gt;$P$63, 3, P55=$P$63, 3, P55&lt;$P$62, 1, P55&gt;$P$62, 2, P55=$P$62, 2)</f>
        <v>2</v>
      </c>
      <c r="R55" s="44">
        <v>4673</v>
      </c>
      <c r="S55" s="44">
        <v>9332</v>
      </c>
      <c r="T55" s="44">
        <v>1190</v>
      </c>
      <c r="U55" s="44">
        <v>716</v>
      </c>
      <c r="V55" s="45">
        <f t="shared" si="13"/>
        <v>15911</v>
      </c>
      <c r="W55" s="45" cm="1">
        <f t="array" ref="W55">_xlfn.IFS(V55&gt;$V$63, 3,V55=$V$63, 3, V55&lt;$V$62, 1, V55&gt;$V$62, 2, V55=$V$62, 2)</f>
        <v>2</v>
      </c>
      <c r="X55" s="44">
        <v>4673</v>
      </c>
      <c r="Y55" s="44">
        <v>9332</v>
      </c>
      <c r="Z55" s="44">
        <v>716</v>
      </c>
      <c r="AA55" s="44">
        <v>15064</v>
      </c>
      <c r="AB55" s="44">
        <v>14497</v>
      </c>
      <c r="AC55" s="44">
        <v>195</v>
      </c>
      <c r="AD55" s="62">
        <f t="shared" si="4"/>
        <v>44477</v>
      </c>
      <c r="AE55" s="46" cm="1">
        <f t="array" ref="AE55">_xlfn.IFS(AD55&gt;$AD$63, 3,AD55=$AD$63, 3, AD55&lt;$AD$62, 1, AD55&gt;$AD$62, 2, AD55=$AD$62, 2)</f>
        <v>2</v>
      </c>
      <c r="AF55" s="44">
        <v>2052</v>
      </c>
      <c r="AG55" s="44">
        <v>4673</v>
      </c>
      <c r="AH55" s="44">
        <v>9332</v>
      </c>
      <c r="AI55" s="44">
        <v>716</v>
      </c>
      <c r="AJ55" s="47">
        <f t="shared" si="17"/>
        <v>16773</v>
      </c>
      <c r="AK55" s="47" cm="1">
        <f t="array" ref="AK55">_xlfn.IFS(AJ55&gt;$AJ$63, 3, AJ55=$AJ$63, 3, AJ55&lt;$AJ$62, 1, AJ55&gt;$AJ$62, 2, AJ55=$AJ$62, 2)</f>
        <v>2</v>
      </c>
      <c r="AL55" s="48">
        <v>446</v>
      </c>
      <c r="AM55" s="44">
        <v>1190</v>
      </c>
      <c r="AN55" s="45">
        <f t="shared" si="14"/>
        <v>1636</v>
      </c>
      <c r="AO55" s="45" cm="1">
        <f t="array" ref="AO55">_xlfn.IFS(AN55&gt;$AN$63, 3, AN55=$AN$63, 3, AN55&lt;$AN$62, 1, AN55&gt;$AN$62, 2, AN55=$AN$62, 2)</f>
        <v>3</v>
      </c>
      <c r="AP55" s="44">
        <v>14497</v>
      </c>
      <c r="AQ55" s="44">
        <v>716</v>
      </c>
      <c r="AR55" s="44">
        <v>47353</v>
      </c>
      <c r="AS55" s="44">
        <v>14179</v>
      </c>
      <c r="AT55" s="44">
        <v>34321</v>
      </c>
      <c r="AU55" s="44">
        <v>858</v>
      </c>
      <c r="AV55" s="44">
        <v>2052</v>
      </c>
      <c r="AW55" s="44">
        <v>1849</v>
      </c>
      <c r="AX55" s="46">
        <f t="shared" si="16"/>
        <v>115825</v>
      </c>
      <c r="AY55" s="46" cm="1">
        <f t="array" ref="AY55">_xlfn.IFS(AX55&gt;$AX$63, 3, AX55=$AX$63, 3, AX55&lt;$AX$62, 1, AX55&gt;$AX$62, 2, AX55=$AX$62, 2)</f>
        <v>3</v>
      </c>
      <c r="AZ55" s="44">
        <v>10899</v>
      </c>
      <c r="BA55" s="44">
        <v>195</v>
      </c>
      <c r="BB55" s="44">
        <v>716</v>
      </c>
      <c r="BC55" s="44">
        <v>8462</v>
      </c>
      <c r="BD55" s="44">
        <v>15064</v>
      </c>
      <c r="BE55" s="44">
        <v>14497</v>
      </c>
      <c r="BF55" s="47">
        <f t="shared" si="19"/>
        <v>49833</v>
      </c>
      <c r="BG55" s="47" cm="1">
        <f t="array" ref="BG55">_xlfn.IFS(BF55&gt;$BF$63, 3, BF55=$BF$63, 3, BF55&lt;$BF$62, 1, BF55&gt;$BF$62, 2, BF55=$BF$62, 2)</f>
        <v>2</v>
      </c>
      <c r="BH55" s="340">
        <f t="shared" si="8"/>
        <v>2.25</v>
      </c>
    </row>
    <row r="56" spans="1:60">
      <c r="A56" s="39" t="s">
        <v>154</v>
      </c>
      <c r="B56" s="44">
        <v>14467</v>
      </c>
      <c r="C56" s="44">
        <v>7752</v>
      </c>
      <c r="D56" s="44" t="s">
        <v>542</v>
      </c>
      <c r="E56" s="44">
        <v>5960</v>
      </c>
      <c r="F56" s="44">
        <v>5422</v>
      </c>
      <c r="G56" s="44" t="s">
        <v>542</v>
      </c>
      <c r="H56" s="46">
        <f t="shared" si="18"/>
        <v>33601</v>
      </c>
      <c r="I56" s="46" cm="1">
        <f t="array" ref="I56">_xlfn.IFS(H56&gt;$H$63, 3, H56=$H$63, 3, H56&lt;$H$62, 1, H56&gt;$H$62, 2, H56=$H$62, 2)</f>
        <v>2</v>
      </c>
      <c r="J56" s="44">
        <v>5960</v>
      </c>
      <c r="K56" s="44" t="s">
        <v>542</v>
      </c>
      <c r="L56" s="44">
        <v>14467</v>
      </c>
      <c r="M56" s="44">
        <v>7752</v>
      </c>
      <c r="N56" s="44">
        <v>5422</v>
      </c>
      <c r="O56" s="44" t="s">
        <v>542</v>
      </c>
      <c r="P56" s="47">
        <f>SUM(J56:O56)</f>
        <v>33601</v>
      </c>
      <c r="Q56" s="47" cm="1">
        <f t="array" ref="Q56">_xlfn.IFS(P56&gt;$P$63, 3, P56=$P$63, 3, P56&lt;$P$62, 1, P56&gt;$P$62, 2, P56=$P$62, 2)</f>
        <v>2</v>
      </c>
      <c r="R56" s="44">
        <v>1967</v>
      </c>
      <c r="S56" s="44">
        <v>8565</v>
      </c>
      <c r="T56" s="44">
        <v>2990</v>
      </c>
      <c r="U56" s="44" t="s">
        <v>542</v>
      </c>
      <c r="V56" s="45">
        <f t="shared" si="13"/>
        <v>13522</v>
      </c>
      <c r="W56" s="45" cm="1">
        <f t="array" ref="W56">_xlfn.IFS(V56&gt;$V$63, 3,V56=$V$63, 3, V56&lt;$V$62, 1, V56&gt;$V$62, 2, V56=$V$62, 2)</f>
        <v>2</v>
      </c>
      <c r="X56" s="44">
        <v>1967</v>
      </c>
      <c r="Y56" s="44">
        <v>8565</v>
      </c>
      <c r="Z56" s="44" t="s">
        <v>542</v>
      </c>
      <c r="AA56" s="44">
        <v>14467</v>
      </c>
      <c r="AB56" s="44">
        <v>7752</v>
      </c>
      <c r="AC56" s="44" t="s">
        <v>542</v>
      </c>
      <c r="AD56" s="62">
        <f t="shared" si="4"/>
        <v>32751</v>
      </c>
      <c r="AE56" s="46" cm="1">
        <f t="array" ref="AE56">_xlfn.IFS(AD56&gt;$AD$63, 3,AD56=$AD$63, 3, AD56&lt;$AD$62, 1, AD56&gt;$AD$62, 2, AD56=$AD$62, 2)</f>
        <v>2</v>
      </c>
      <c r="AF56" s="44">
        <v>24022</v>
      </c>
      <c r="AG56" s="44">
        <v>1967</v>
      </c>
      <c r="AH56" s="44">
        <v>8565</v>
      </c>
      <c r="AI56" s="44" t="s">
        <v>542</v>
      </c>
      <c r="AJ56" s="47">
        <f t="shared" si="17"/>
        <v>34554</v>
      </c>
      <c r="AK56" s="47" cm="1">
        <f t="array" ref="AK56">_xlfn.IFS(AJ56&gt;$AJ$63, 3, AJ56=$AJ$63, 3, AJ56&lt;$AJ$62, 1, AJ56&gt;$AJ$62, 2, AJ56=$AJ$62, 2)</f>
        <v>3</v>
      </c>
      <c r="AL56" s="48">
        <v>755</v>
      </c>
      <c r="AM56" s="44">
        <v>2990</v>
      </c>
      <c r="AN56" s="45">
        <f t="shared" si="14"/>
        <v>3745</v>
      </c>
      <c r="AO56" s="45" cm="1">
        <f t="array" ref="AO56">_xlfn.IFS(AN56&gt;$AN$63, 3, AN56=$AN$63, 3, AN56&lt;$AN$62, 1, AN56&gt;$AN$62, 2, AN56=$AN$62, 2)</f>
        <v>3</v>
      </c>
      <c r="AP56" s="44">
        <v>7752</v>
      </c>
      <c r="AQ56" s="44" t="s">
        <v>542</v>
      </c>
      <c r="AR56" s="44">
        <v>58000</v>
      </c>
      <c r="AS56" s="44">
        <v>13534</v>
      </c>
      <c r="AT56" s="44">
        <v>18985</v>
      </c>
      <c r="AU56" s="44">
        <v>1405</v>
      </c>
      <c r="AV56" s="44">
        <v>24022</v>
      </c>
      <c r="AW56" s="44">
        <v>3151</v>
      </c>
      <c r="AX56" s="46">
        <f t="shared" si="16"/>
        <v>126849</v>
      </c>
      <c r="AY56" s="46" cm="1">
        <f t="array" ref="AY56">_xlfn.IFS(AX56&gt;$AX$63, 3, AX56=$AX$63, 3, AX56&lt;$AX$62, 1, AX56&gt;$AX$62, 2, AX56=$AX$62, 2)</f>
        <v>3</v>
      </c>
      <c r="AZ56" s="44">
        <v>5960</v>
      </c>
      <c r="BA56" s="44" t="s">
        <v>542</v>
      </c>
      <c r="BB56" s="44" t="s">
        <v>542</v>
      </c>
      <c r="BC56" s="44">
        <v>5422</v>
      </c>
      <c r="BD56" s="44">
        <v>14467</v>
      </c>
      <c r="BE56" s="44">
        <v>7752</v>
      </c>
      <c r="BF56" s="47">
        <f t="shared" si="19"/>
        <v>33601</v>
      </c>
      <c r="BG56" s="47" cm="1">
        <f t="array" ref="BG56">_xlfn.IFS(BF56&gt;$BF$63, 3, BF56=$BF$63, 3, BF56&lt;$BF$62, 1, BF56&gt;$BF$62, 2, BF56=$BF$62, 2)</f>
        <v>2</v>
      </c>
      <c r="BH56" s="340">
        <f t="shared" si="8"/>
        <v>2.375</v>
      </c>
    </row>
    <row r="57" spans="1:60">
      <c r="A57" s="39" t="s">
        <v>155</v>
      </c>
      <c r="B57" s="44">
        <v>2184</v>
      </c>
      <c r="C57" s="44">
        <v>7640</v>
      </c>
      <c r="D57" s="44">
        <v>4207</v>
      </c>
      <c r="E57" s="44">
        <v>5532</v>
      </c>
      <c r="F57" s="44">
        <v>519</v>
      </c>
      <c r="G57" s="44">
        <v>1937</v>
      </c>
      <c r="H57" s="46">
        <f t="shared" si="18"/>
        <v>22019</v>
      </c>
      <c r="I57" s="46" cm="1">
        <f t="array" ref="I57">_xlfn.IFS(H57&gt;$H$63, 3, H57=$H$63, 3, H57&lt;$H$62, 1, H57&gt;$H$62, 2, H57=$H$62, 2)</f>
        <v>1</v>
      </c>
      <c r="J57" s="44">
        <v>5532</v>
      </c>
      <c r="K57" s="44">
        <v>4207</v>
      </c>
      <c r="L57" s="44">
        <v>2184</v>
      </c>
      <c r="M57" s="44">
        <v>7640</v>
      </c>
      <c r="N57" s="44">
        <v>519</v>
      </c>
      <c r="O57" s="44">
        <v>1937</v>
      </c>
      <c r="P57" s="47">
        <f>SUM(J57:O57)</f>
        <v>22019</v>
      </c>
      <c r="Q57" s="47" cm="1">
        <f t="array" ref="Q57">_xlfn.IFS(P57&gt;$P$63, 3, P57=$P$63, 3, P57&lt;$P$62, 1, P57&gt;$P$62, 2, P57=$P$62, 2)</f>
        <v>1</v>
      </c>
      <c r="R57" s="44">
        <v>14476</v>
      </c>
      <c r="S57" s="44">
        <v>2427</v>
      </c>
      <c r="T57" s="44">
        <v>245</v>
      </c>
      <c r="U57" s="44">
        <v>4207</v>
      </c>
      <c r="V57" s="45">
        <f t="shared" si="13"/>
        <v>21355</v>
      </c>
      <c r="W57" s="45" cm="1">
        <f t="array" ref="W57">_xlfn.IFS(V57&gt;$V$63, 3,V57=$V$63, 3, V57&lt;$V$62, 1, V57&gt;$V$62, 2, V57=$V$62, 2)</f>
        <v>3</v>
      </c>
      <c r="X57" s="44">
        <v>14476</v>
      </c>
      <c r="Y57" s="44">
        <v>2427</v>
      </c>
      <c r="Z57" s="44">
        <v>4207</v>
      </c>
      <c r="AA57" s="44">
        <v>2184</v>
      </c>
      <c r="AB57" s="44">
        <v>7640</v>
      </c>
      <c r="AC57" s="44">
        <v>1937</v>
      </c>
      <c r="AD57" s="62">
        <f t="shared" si="4"/>
        <v>32871</v>
      </c>
      <c r="AE57" s="46" cm="1">
        <f t="array" ref="AE57">_xlfn.IFS(AD57&gt;$AD$63, 3,AD57=$AD$63, 3, AD57&lt;$AD$62, 1, AD57&gt;$AD$62, 2, AD57=$AD$62, 2)</f>
        <v>2</v>
      </c>
      <c r="AF57" s="44">
        <v>157</v>
      </c>
      <c r="AG57" s="44">
        <v>14476</v>
      </c>
      <c r="AH57" s="44">
        <v>2427</v>
      </c>
      <c r="AI57" s="44">
        <v>4207</v>
      </c>
      <c r="AJ57" s="47">
        <f t="shared" si="17"/>
        <v>21267</v>
      </c>
      <c r="AK57" s="47" cm="1">
        <f t="array" ref="AK57">_xlfn.IFS(AJ57&gt;$AJ$63, 3, AJ57=$AJ$63, 3, AJ57&lt;$AJ$62, 1, AJ57&gt;$AJ$62, 2, AJ57=$AJ$62, 2)</f>
        <v>3</v>
      </c>
      <c r="AL57" s="48" t="s">
        <v>542</v>
      </c>
      <c r="AM57" s="44">
        <v>245</v>
      </c>
      <c r="AN57" s="45">
        <f t="shared" si="14"/>
        <v>245</v>
      </c>
      <c r="AO57" s="45" cm="1">
        <f t="array" ref="AO57">_xlfn.IFS(AN57&gt;$AN$63, 3, AN57=$AN$63, 3, AN57&lt;$AN$62, 1, AN57&gt;$AN$62, 2, AN57=$AN$62, 2)</f>
        <v>2</v>
      </c>
      <c r="AP57" s="44">
        <v>7640</v>
      </c>
      <c r="AQ57" s="44">
        <v>4207</v>
      </c>
      <c r="AR57" s="44">
        <v>8214</v>
      </c>
      <c r="AS57" s="44">
        <v>4418</v>
      </c>
      <c r="AT57" s="44">
        <v>8612</v>
      </c>
      <c r="AU57" s="44">
        <v>339</v>
      </c>
      <c r="AV57" s="44">
        <v>157</v>
      </c>
      <c r="AW57" s="44">
        <v>611</v>
      </c>
      <c r="AX57" s="46">
        <f t="shared" si="16"/>
        <v>34198</v>
      </c>
      <c r="AY57" s="46" cm="1">
        <f t="array" ref="AY57">_xlfn.IFS(AX57&gt;$AX$63, 3, AX57=$AX$63, 3, AX57&lt;$AX$62, 1, AX57&gt;$AX$62, 2, AX57=$AX$62, 2)</f>
        <v>1</v>
      </c>
      <c r="AZ57" s="44">
        <v>5532</v>
      </c>
      <c r="BA57" s="44">
        <v>1937</v>
      </c>
      <c r="BB57" s="44">
        <v>4207</v>
      </c>
      <c r="BC57" s="44">
        <v>519</v>
      </c>
      <c r="BD57" s="44">
        <v>2184</v>
      </c>
      <c r="BE57" s="44">
        <v>7640</v>
      </c>
      <c r="BF57" s="47">
        <f t="shared" si="19"/>
        <v>22019</v>
      </c>
      <c r="BG57" s="47" cm="1">
        <f t="array" ref="BG57">_xlfn.IFS(BF57&gt;$BF$63, 3, BF57=$BF$63, 3, BF57&lt;$BF$62, 1, BF57&gt;$BF$62, 2, BF57=$BF$62, 2)</f>
        <v>1</v>
      </c>
      <c r="BH57" s="340">
        <f t="shared" si="8"/>
        <v>1.75</v>
      </c>
    </row>
    <row r="58" spans="1:60">
      <c r="A58" s="39" t="s">
        <v>156</v>
      </c>
      <c r="B58" s="44">
        <v>66783</v>
      </c>
      <c r="C58" s="44">
        <v>20460</v>
      </c>
      <c r="D58" s="44" t="s">
        <v>542</v>
      </c>
      <c r="E58" s="44">
        <v>8363</v>
      </c>
      <c r="F58" s="44">
        <v>23710</v>
      </c>
      <c r="G58" s="44" t="s">
        <v>542</v>
      </c>
      <c r="H58" s="46">
        <f t="shared" si="18"/>
        <v>119316</v>
      </c>
      <c r="I58" s="46" cm="1">
        <f t="array" ref="I58">_xlfn.IFS(H58&gt;$H$63, 3, H58=$H$63, 3, H58&lt;$H$62, 1, H58&gt;$H$62, 2, H58=$H$62, 2)</f>
        <v>3</v>
      </c>
      <c r="J58" s="44">
        <v>8363</v>
      </c>
      <c r="K58" s="44" t="s">
        <v>542</v>
      </c>
      <c r="L58" s="44">
        <v>66783</v>
      </c>
      <c r="M58" s="44">
        <v>20460</v>
      </c>
      <c r="N58" s="44">
        <v>23710</v>
      </c>
      <c r="O58" s="44" t="s">
        <v>542</v>
      </c>
      <c r="P58" s="47">
        <f>SUM(J58:O58)</f>
        <v>119316</v>
      </c>
      <c r="Q58" s="47" cm="1">
        <f t="array" ref="Q58">_xlfn.IFS(P58&gt;$P$63, 3, P58=$P$63, 3, P58&lt;$P$62, 1, P58&gt;$P$62, 2, P58=$P$62, 2)</f>
        <v>3</v>
      </c>
      <c r="R58" s="44">
        <v>3052</v>
      </c>
      <c r="S58" s="44">
        <v>9653</v>
      </c>
      <c r="T58" s="44" t="s">
        <v>542</v>
      </c>
      <c r="U58" s="44" t="s">
        <v>542</v>
      </c>
      <c r="V58" s="45">
        <f t="shared" si="13"/>
        <v>12705</v>
      </c>
      <c r="W58" s="45" cm="1">
        <f t="array" ref="W58">_xlfn.IFS(V58&gt;$V$63, 3,V58=$V$63, 3, V58&lt;$V$62, 1, V58&gt;$V$62, 2, V58=$V$62, 2)</f>
        <v>2</v>
      </c>
      <c r="X58" s="44">
        <v>3052</v>
      </c>
      <c r="Y58" s="44">
        <v>9653</v>
      </c>
      <c r="Z58" s="44" t="s">
        <v>542</v>
      </c>
      <c r="AA58" s="44">
        <v>66783</v>
      </c>
      <c r="AB58" s="44">
        <v>20460</v>
      </c>
      <c r="AC58" s="44" t="s">
        <v>542</v>
      </c>
      <c r="AD58" s="62">
        <f t="shared" si="4"/>
        <v>99948</v>
      </c>
      <c r="AE58" s="46" cm="1">
        <f t="array" ref="AE58">_xlfn.IFS(AD58&gt;$AD$63, 3,AD58=$AD$63, 3, AD58&lt;$AD$62, 1, AD58&gt;$AD$62, 2, AD58=$AD$62, 2)</f>
        <v>3</v>
      </c>
      <c r="AF58" s="44">
        <v>3762</v>
      </c>
      <c r="AG58" s="44">
        <v>3052</v>
      </c>
      <c r="AH58" s="44">
        <v>9653</v>
      </c>
      <c r="AI58" s="44" t="s">
        <v>542</v>
      </c>
      <c r="AJ58" s="47">
        <f t="shared" si="17"/>
        <v>16467</v>
      </c>
      <c r="AK58" s="47" cm="1">
        <f t="array" ref="AK58">_xlfn.IFS(AJ58&gt;$AJ$63, 3, AJ58=$AJ$63, 3, AJ58&lt;$AJ$62, 1, AJ58&gt;$AJ$62, 2, AJ58=$AJ$62, 2)</f>
        <v>2</v>
      </c>
      <c r="AL58" s="48">
        <v>195</v>
      </c>
      <c r="AM58" s="44" t="s">
        <v>542</v>
      </c>
      <c r="AN58" s="45">
        <f t="shared" si="14"/>
        <v>195</v>
      </c>
      <c r="AO58" s="45" cm="1">
        <f t="array" ref="AO58">_xlfn.IFS(AN58&gt;$AN$63, 3, AN58=$AN$63, 3, AN58&lt;$AN$62, 1, AN58&gt;$AN$62, 2, AN58=$AN$62, 2)</f>
        <v>2</v>
      </c>
      <c r="AP58" s="44">
        <v>20460</v>
      </c>
      <c r="AQ58" s="44" t="s">
        <v>542</v>
      </c>
      <c r="AR58" s="44">
        <v>32371</v>
      </c>
      <c r="AS58" s="44">
        <v>16857</v>
      </c>
      <c r="AT58" s="44">
        <v>16074</v>
      </c>
      <c r="AU58" s="44" t="s">
        <v>542</v>
      </c>
      <c r="AV58" s="44">
        <v>3762</v>
      </c>
      <c r="AW58" s="44">
        <v>721</v>
      </c>
      <c r="AX58" s="46">
        <f t="shared" si="16"/>
        <v>90245</v>
      </c>
      <c r="AY58" s="46" cm="1">
        <f t="array" ref="AY58">_xlfn.IFS(AX58&gt;$AX$63, 3, AX58=$AX$63, 3, AX58&lt;$AX$62, 1, AX58&gt;$AX$62, 2, AX58=$AX$62, 2)</f>
        <v>2</v>
      </c>
      <c r="AZ58" s="44">
        <v>8363</v>
      </c>
      <c r="BA58" s="44" t="s">
        <v>542</v>
      </c>
      <c r="BB58" s="44" t="s">
        <v>542</v>
      </c>
      <c r="BC58" s="44">
        <v>23710</v>
      </c>
      <c r="BD58" s="44">
        <v>66783</v>
      </c>
      <c r="BE58" s="44">
        <v>20460</v>
      </c>
      <c r="BF58" s="47">
        <f t="shared" si="19"/>
        <v>119316</v>
      </c>
      <c r="BG58" s="47" cm="1">
        <f t="array" ref="BG58">_xlfn.IFS(BF58&gt;$BF$63, 3, BF58=$BF$63, 3, BF58&lt;$BF$62, 1, BF58&gt;$BF$62, 2, BF58=$BF$62, 2)</f>
        <v>3</v>
      </c>
      <c r="BH58" s="340">
        <f t="shared" si="8"/>
        <v>2.5</v>
      </c>
    </row>
    <row r="59" spans="1:60">
      <c r="A59" s="39" t="s">
        <v>157</v>
      </c>
      <c r="B59" s="44">
        <v>731</v>
      </c>
      <c r="C59" s="44">
        <v>1847</v>
      </c>
      <c r="D59" s="44">
        <v>7124</v>
      </c>
      <c r="E59" s="44">
        <v>2357</v>
      </c>
      <c r="F59" s="44">
        <v>490</v>
      </c>
      <c r="G59" s="44">
        <v>2348</v>
      </c>
      <c r="H59" s="46">
        <f t="shared" si="18"/>
        <v>14897</v>
      </c>
      <c r="I59" s="46" cm="1">
        <f t="array" ref="I59">_xlfn.IFS(H59&gt;$H$63, 3, H59=$H$63, 3, H59&lt;$H$62, 1, H59&gt;$H$62, 2, H59=$H$62, 2)</f>
        <v>1</v>
      </c>
      <c r="J59" s="44">
        <v>2357</v>
      </c>
      <c r="K59" s="44">
        <v>7124</v>
      </c>
      <c r="L59" s="44">
        <v>731</v>
      </c>
      <c r="M59" s="44">
        <v>1847</v>
      </c>
      <c r="N59" s="44">
        <v>490</v>
      </c>
      <c r="O59" s="44">
        <v>2348</v>
      </c>
      <c r="P59" s="47">
        <f>SUM(J59:O59)</f>
        <v>14897</v>
      </c>
      <c r="Q59" s="47" cm="1">
        <f t="array" ref="Q59">_xlfn.IFS(P59&gt;$P$63, 3, P59=$P$63, 3, P59&lt;$P$62, 1, P59&gt;$P$62, 2, P59=$P$62, 2)</f>
        <v>1</v>
      </c>
      <c r="R59" s="44">
        <v>7631</v>
      </c>
      <c r="S59" s="44">
        <v>848</v>
      </c>
      <c r="T59" s="44" t="s">
        <v>542</v>
      </c>
      <c r="U59" s="44">
        <v>7124</v>
      </c>
      <c r="V59" s="45">
        <f t="shared" si="13"/>
        <v>15603</v>
      </c>
      <c r="W59" s="45" cm="1">
        <f t="array" ref="W59">_xlfn.IFS(V59&gt;$V$63, 3,V59=$V$63, 3, V59&lt;$V$62, 1, V59&gt;$V$62, 2, V59=$V$62, 2)</f>
        <v>2</v>
      </c>
      <c r="X59" s="44">
        <v>7631</v>
      </c>
      <c r="Y59" s="44">
        <v>848</v>
      </c>
      <c r="Z59" s="44">
        <v>7124</v>
      </c>
      <c r="AA59" s="44">
        <v>731</v>
      </c>
      <c r="AB59" s="44">
        <v>1847</v>
      </c>
      <c r="AC59" s="44">
        <v>2348</v>
      </c>
      <c r="AD59" s="62">
        <f t="shared" si="4"/>
        <v>20529</v>
      </c>
      <c r="AE59" s="46" cm="1">
        <f t="array" ref="AE59">_xlfn.IFS(AD59&gt;$AD$63, 3,AD59=$AD$63, 3, AD59&lt;$AD$62, 1, AD59&gt;$AD$62, 2, AD59=$AD$62, 2)</f>
        <v>1</v>
      </c>
      <c r="AF59" s="44">
        <v>124</v>
      </c>
      <c r="AG59" s="44">
        <v>7631</v>
      </c>
      <c r="AH59" s="44">
        <v>848</v>
      </c>
      <c r="AI59" s="44">
        <v>7124</v>
      </c>
      <c r="AJ59" s="47">
        <f t="shared" si="17"/>
        <v>15727</v>
      </c>
      <c r="AK59" s="47" cm="1">
        <f t="array" ref="AK59">_xlfn.IFS(AJ59&gt;$AJ$63, 3, AJ59=$AJ$63, 3, AJ59&lt;$AJ$62, 1, AJ59&gt;$AJ$62, 2, AJ59=$AJ$62, 2)</f>
        <v>2</v>
      </c>
      <c r="AL59" s="48" t="s">
        <v>542</v>
      </c>
      <c r="AM59" s="44" t="s">
        <v>542</v>
      </c>
      <c r="AN59" s="45">
        <f t="shared" si="14"/>
        <v>0</v>
      </c>
      <c r="AO59" s="45" cm="1">
        <f t="array" ref="AO59">_xlfn.IFS(AN59&gt;$AN$63, 3, AN59=$AN$63, 3, AN59&lt;$AN$62, 1, AN59&gt;$AN$62, 2, AN59=$AN$62, 2)</f>
        <v>1</v>
      </c>
      <c r="AP59" s="44">
        <v>1847</v>
      </c>
      <c r="AQ59" s="44">
        <v>7124</v>
      </c>
      <c r="AR59" s="44">
        <v>4606</v>
      </c>
      <c r="AS59" s="44">
        <v>500</v>
      </c>
      <c r="AT59" s="44">
        <v>6043</v>
      </c>
      <c r="AU59" s="44">
        <v>65</v>
      </c>
      <c r="AV59" s="44">
        <v>124</v>
      </c>
      <c r="AW59" s="44">
        <v>49</v>
      </c>
      <c r="AX59" s="46">
        <f t="shared" si="16"/>
        <v>20358</v>
      </c>
      <c r="AY59" s="46" cm="1">
        <f t="array" ref="AY59">_xlfn.IFS(AX59&gt;$AX$63, 3, AX59=$AX$63, 3, AX59&lt;$AX$62, 1, AX59&gt;$AX$62, 2, AX59=$AX$62, 2)</f>
        <v>1</v>
      </c>
      <c r="AZ59" s="44">
        <v>2357</v>
      </c>
      <c r="BA59" s="44">
        <v>2348</v>
      </c>
      <c r="BB59" s="44">
        <v>7124</v>
      </c>
      <c r="BC59" s="44">
        <v>490</v>
      </c>
      <c r="BD59" s="44">
        <v>731</v>
      </c>
      <c r="BE59" s="44">
        <v>1847</v>
      </c>
      <c r="BF59" s="47">
        <f t="shared" si="19"/>
        <v>14897</v>
      </c>
      <c r="BG59" s="47" cm="1">
        <f t="array" ref="BG59">_xlfn.IFS(BF59&gt;$BF$63, 3, BF59=$BF$63, 3, BF59&lt;$BF$62, 1, BF59&gt;$BF$62, 2, BF59=$BF$62, 2)</f>
        <v>1</v>
      </c>
      <c r="BH59" s="340">
        <f t="shared" si="8"/>
        <v>1.25</v>
      </c>
    </row>
    <row r="60" spans="1:60">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42"/>
      <c r="BF60" s="42"/>
      <c r="BG60" s="42"/>
      <c r="BH60" s="6"/>
    </row>
    <row r="61" spans="1:60">
      <c r="A61" s="54" t="s">
        <v>672</v>
      </c>
      <c r="B61" s="55"/>
      <c r="C61" s="55"/>
      <c r="D61" s="55"/>
      <c r="E61" s="55"/>
      <c r="F61" s="55"/>
      <c r="G61" s="55"/>
      <c r="H61" s="55"/>
      <c r="I61" s="55"/>
      <c r="J61" s="55"/>
      <c r="K61" s="55"/>
      <c r="L61" s="55"/>
      <c r="M61" s="55"/>
      <c r="N61" s="55"/>
      <c r="O61" s="55"/>
      <c r="P61" s="55"/>
      <c r="Q61" s="55"/>
      <c r="R61" s="55"/>
      <c r="S61" s="55"/>
      <c r="T61" s="55"/>
      <c r="U61" s="55"/>
      <c r="V61" s="55"/>
      <c r="W61" s="55"/>
      <c r="X61" s="55"/>
      <c r="Y61" s="55"/>
      <c r="Z61" s="55"/>
      <c r="AA61" s="55"/>
      <c r="AB61" s="55"/>
      <c r="AC61" s="55"/>
      <c r="AD61" s="55"/>
      <c r="AE61" s="55"/>
      <c r="AF61" s="55"/>
      <c r="AG61" s="55"/>
      <c r="AH61" s="55"/>
      <c r="AI61" s="55"/>
      <c r="AJ61" s="55"/>
      <c r="AK61" s="55"/>
      <c r="AL61" s="55"/>
      <c r="AM61" s="55"/>
      <c r="AN61" s="55"/>
      <c r="AO61" s="55"/>
      <c r="AP61" s="55"/>
      <c r="AQ61" s="55"/>
      <c r="AR61" s="55"/>
      <c r="AS61" s="55"/>
      <c r="AT61" s="55"/>
      <c r="AU61" s="55"/>
      <c r="AV61" s="55"/>
      <c r="AW61" s="55"/>
      <c r="AX61" s="55"/>
      <c r="AY61" s="55"/>
      <c r="AZ61" s="55"/>
      <c r="BA61" s="55"/>
      <c r="BB61" s="55"/>
      <c r="BC61" s="55"/>
      <c r="BD61" s="55"/>
      <c r="BE61" s="56"/>
      <c r="BF61" s="56"/>
      <c r="BG61" s="56"/>
      <c r="BH61" s="6"/>
    </row>
    <row r="62" spans="1:60">
      <c r="A62" s="55" t="s">
        <v>673</v>
      </c>
      <c r="B62" s="55"/>
      <c r="C62" s="55"/>
      <c r="D62" s="55"/>
      <c r="E62" s="55"/>
      <c r="F62" s="55"/>
      <c r="G62" s="55"/>
      <c r="H62" s="55">
        <f>PERCENTILE(H10:H59, 1/3)</f>
        <v>28667.333333333332</v>
      </c>
      <c r="I62" s="55"/>
      <c r="J62" s="55"/>
      <c r="K62" s="55"/>
      <c r="L62" s="55"/>
      <c r="M62" s="55"/>
      <c r="N62" s="55"/>
      <c r="O62" s="55"/>
      <c r="P62" s="55">
        <f>PERCENTILE(P10:P59, 1/3)</f>
        <v>28667.333333333332</v>
      </c>
      <c r="Q62" s="55"/>
      <c r="R62" s="55"/>
      <c r="S62" s="55"/>
      <c r="T62" s="55"/>
      <c r="U62" s="55"/>
      <c r="V62" s="55">
        <f>PERCENTILE(V10:V59, 1/3)</f>
        <v>8429.9999999999982</v>
      </c>
      <c r="W62" s="55"/>
      <c r="X62" s="55"/>
      <c r="Y62" s="55"/>
      <c r="Z62" s="55"/>
      <c r="AA62" s="55"/>
      <c r="AB62" s="55"/>
      <c r="AC62" s="55"/>
      <c r="AD62" s="55">
        <f>PERCENTILE(AD10:AD59, 1/3)</f>
        <v>25943.999999999996</v>
      </c>
      <c r="AE62" s="55"/>
      <c r="AF62" s="55"/>
      <c r="AG62" s="55"/>
      <c r="AH62" s="55"/>
      <c r="AI62" s="55"/>
      <c r="AJ62" s="55">
        <f>PERCENTILE(AJ10:AJ59, 1/3)</f>
        <v>11099.999999999998</v>
      </c>
      <c r="AK62" s="55"/>
      <c r="AL62" s="55"/>
      <c r="AM62" s="55"/>
      <c r="AN62" s="55">
        <f>PERCENTILE(AN10:AN59, 1/3)</f>
        <v>161.33333333333329</v>
      </c>
      <c r="AO62" s="55"/>
      <c r="AP62" s="55"/>
      <c r="AQ62" s="55"/>
      <c r="AR62" s="55"/>
      <c r="AS62" s="55"/>
      <c r="AT62" s="55"/>
      <c r="AU62" s="55"/>
      <c r="AV62" s="55"/>
      <c r="AW62" s="55"/>
      <c r="AX62" s="55">
        <f>PERCENTILE(AX10:AX59, 1/3)</f>
        <v>41575.999999999993</v>
      </c>
      <c r="AY62" s="55"/>
      <c r="AZ62" s="55"/>
      <c r="BA62" s="55"/>
      <c r="BB62" s="55"/>
      <c r="BC62" s="55"/>
      <c r="BD62" s="55"/>
      <c r="BE62" s="55"/>
      <c r="BF62" s="55">
        <f>PERCENTILE(BF10:BF59, 1/3)</f>
        <v>28667.333333333332</v>
      </c>
      <c r="BG62" s="55"/>
      <c r="BH62" s="6"/>
    </row>
    <row r="63" spans="1:60">
      <c r="A63" s="55" t="s">
        <v>674</v>
      </c>
      <c r="B63" s="55"/>
      <c r="C63" s="55"/>
      <c r="D63" s="55"/>
      <c r="E63" s="55"/>
      <c r="F63" s="55"/>
      <c r="G63" s="55"/>
      <c r="H63" s="55">
        <f>PERCENTILE(H10:H59, 2/3)</f>
        <v>74715</v>
      </c>
      <c r="I63" s="55"/>
      <c r="J63" s="55"/>
      <c r="K63" s="55"/>
      <c r="L63" s="55"/>
      <c r="M63" s="55"/>
      <c r="N63" s="55"/>
      <c r="O63" s="55"/>
      <c r="P63" s="55">
        <f>PERCENTILE(P10:P59, 2/3)</f>
        <v>74715</v>
      </c>
      <c r="Q63" s="55"/>
      <c r="R63" s="55"/>
      <c r="S63" s="55"/>
      <c r="T63" s="55"/>
      <c r="U63" s="55"/>
      <c r="V63" s="55">
        <f>PERCENTILE(V10:V59, 2/3)</f>
        <v>18801.333333333332</v>
      </c>
      <c r="W63" s="55"/>
      <c r="X63" s="55"/>
      <c r="Y63" s="55"/>
      <c r="Z63" s="55"/>
      <c r="AA63" s="55"/>
      <c r="AB63" s="55"/>
      <c r="AC63" s="55"/>
      <c r="AD63" s="55">
        <f>PERCENTILE(AD10:AD59, 2/3)</f>
        <v>64405.333333333336</v>
      </c>
      <c r="AE63" s="55"/>
      <c r="AF63" s="55"/>
      <c r="AG63" s="55"/>
      <c r="AH63" s="55"/>
      <c r="AI63" s="55"/>
      <c r="AJ63" s="55">
        <f>PERCENTILE(AJ10:AJ59, 2/3)</f>
        <v>20757.333333333332</v>
      </c>
      <c r="AK63" s="55"/>
      <c r="AL63" s="55"/>
      <c r="AM63" s="55"/>
      <c r="AN63" s="55">
        <f>PERCENTILE(AN10:AN59, 2/3)</f>
        <v>839.99999999999977</v>
      </c>
      <c r="AO63" s="55"/>
      <c r="AP63" s="55"/>
      <c r="AQ63" s="55"/>
      <c r="AR63" s="55"/>
      <c r="AS63" s="55"/>
      <c r="AT63" s="55"/>
      <c r="AU63" s="55"/>
      <c r="AV63" s="55"/>
      <c r="AW63" s="55"/>
      <c r="AX63" s="55">
        <f>PERCENTILE(AX10:AX59, 2/3)</f>
        <v>95364.999999999985</v>
      </c>
      <c r="AY63" s="55"/>
      <c r="AZ63" s="55"/>
      <c r="BA63" s="55"/>
      <c r="BB63" s="55"/>
      <c r="BC63" s="55"/>
      <c r="BD63" s="55"/>
      <c r="BE63" s="55"/>
      <c r="BF63" s="55">
        <f>PERCENTILE(BF10:BF59, 2/3)</f>
        <v>74715</v>
      </c>
      <c r="BG63" s="55"/>
      <c r="BH63" s="6"/>
    </row>
  </sheetData>
  <mergeCells count="7">
    <mergeCell ref="AZ7:BG7"/>
    <mergeCell ref="B7:I7"/>
    <mergeCell ref="J7:Q7"/>
    <mergeCell ref="R7:W7"/>
    <mergeCell ref="X7:AE7"/>
    <mergeCell ref="AF7:AK7"/>
    <mergeCell ref="AP7:AY7"/>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E9437-6A21-42AE-9903-4C395D131FC3}">
  <sheetPr>
    <tabColor rgb="FF0989B1"/>
  </sheetPr>
  <dimension ref="A1:S59"/>
  <sheetViews>
    <sheetView showGridLines="0" zoomScale="70" zoomScaleNormal="70" workbookViewId="0">
      <selection activeCell="D1" sqref="D1"/>
    </sheetView>
  </sheetViews>
  <sheetFormatPr defaultColWidth="0" defaultRowHeight="14.45"/>
  <cols>
    <col min="1" max="1" width="19" customWidth="1"/>
    <col min="2" max="18" width="15.7109375" customWidth="1"/>
    <col min="19" max="19" width="13.140625" customWidth="1"/>
  </cols>
  <sheetData>
    <row r="1" spans="1:19" ht="23.25" customHeight="1">
      <c r="A1" s="4"/>
      <c r="B1" s="4"/>
      <c r="C1" s="2" t="s">
        <v>0</v>
      </c>
      <c r="D1" s="2"/>
      <c r="E1" s="4"/>
      <c r="F1" s="4"/>
      <c r="G1" s="4"/>
      <c r="H1" s="4"/>
      <c r="I1" s="4"/>
      <c r="J1" s="4"/>
      <c r="K1" s="4"/>
      <c r="L1" s="4"/>
      <c r="M1" s="4"/>
      <c r="N1" s="4"/>
      <c r="O1" s="4"/>
      <c r="P1" s="4"/>
      <c r="Q1" s="4"/>
      <c r="R1" s="4"/>
      <c r="S1" s="4"/>
    </row>
    <row r="2" spans="1:19" ht="28.5" customHeight="1" thickBot="1">
      <c r="A2" s="5"/>
      <c r="B2" s="5"/>
      <c r="C2" s="3" t="s">
        <v>675</v>
      </c>
      <c r="D2" s="3"/>
      <c r="E2" s="5"/>
      <c r="F2" s="5"/>
      <c r="G2" s="5"/>
      <c r="H2" s="5"/>
      <c r="I2" s="5"/>
      <c r="J2" s="5"/>
      <c r="K2" s="5"/>
      <c r="L2" s="5"/>
      <c r="M2" s="5"/>
      <c r="N2" s="5"/>
      <c r="O2" s="5"/>
      <c r="P2" s="5"/>
      <c r="Q2" s="5"/>
      <c r="R2" s="5"/>
      <c r="S2" s="5"/>
    </row>
    <row r="3" spans="1:19" ht="23.45" thickTop="1">
      <c r="A3" s="6"/>
      <c r="B3" s="7"/>
      <c r="C3" s="6"/>
      <c r="D3" s="6"/>
      <c r="E3" s="8"/>
      <c r="F3" s="6"/>
      <c r="G3" s="6"/>
      <c r="H3" s="6"/>
      <c r="I3" s="6"/>
      <c r="J3" s="6"/>
      <c r="K3" s="6"/>
      <c r="L3" s="6"/>
      <c r="M3" s="6"/>
      <c r="N3" s="6"/>
      <c r="O3" s="6"/>
      <c r="P3" s="6"/>
      <c r="Q3" s="6"/>
      <c r="R3" s="6"/>
      <c r="S3" s="6"/>
    </row>
    <row r="4" spans="1:19">
      <c r="A4" s="308" t="s">
        <v>634</v>
      </c>
      <c r="B4" s="17" t="s">
        <v>395</v>
      </c>
      <c r="C4" s="6"/>
      <c r="D4" s="6"/>
      <c r="E4" s="8"/>
      <c r="F4" s="6"/>
      <c r="G4" s="6"/>
      <c r="H4" s="6"/>
      <c r="I4" s="6"/>
      <c r="J4" s="6"/>
      <c r="K4" s="6"/>
      <c r="L4" s="6"/>
      <c r="M4" s="6"/>
      <c r="N4" s="6"/>
      <c r="O4" s="6"/>
      <c r="P4" s="6"/>
      <c r="Q4" s="6"/>
      <c r="R4" s="6"/>
      <c r="S4" s="6"/>
    </row>
    <row r="5" spans="1:19">
      <c r="A5" s="6"/>
      <c r="B5" s="6" t="s">
        <v>676</v>
      </c>
      <c r="C5" s="6"/>
      <c r="D5" s="6"/>
      <c r="E5" s="8"/>
      <c r="F5" s="6"/>
      <c r="G5" s="6"/>
      <c r="H5" s="6"/>
      <c r="I5" s="6"/>
      <c r="J5" s="6"/>
      <c r="K5" s="6"/>
      <c r="L5" s="6"/>
      <c r="M5" s="6"/>
      <c r="N5" s="6"/>
      <c r="O5" s="6"/>
      <c r="P5" s="6"/>
      <c r="Q5" s="6"/>
      <c r="R5" s="6"/>
      <c r="S5" s="6"/>
    </row>
    <row r="6" spans="1:19">
      <c r="A6" s="6"/>
      <c r="B6" s="6" t="s">
        <v>677</v>
      </c>
      <c r="C6" s="6"/>
      <c r="D6" s="6"/>
      <c r="E6" s="8"/>
      <c r="F6" s="6"/>
      <c r="G6" s="6"/>
      <c r="H6" s="6"/>
      <c r="I6" s="6"/>
      <c r="J6" s="6"/>
      <c r="K6" s="6"/>
      <c r="L6" s="6"/>
      <c r="M6" s="6"/>
      <c r="N6" s="6"/>
      <c r="O6" s="6"/>
      <c r="P6" s="6"/>
      <c r="Q6" s="6"/>
      <c r="R6" s="6"/>
      <c r="S6" s="6"/>
    </row>
    <row r="7" spans="1:19" ht="30.95" customHeight="1">
      <c r="A7" s="6"/>
      <c r="B7" s="575" t="s">
        <v>14</v>
      </c>
      <c r="C7" s="575"/>
      <c r="D7" s="575" t="s">
        <v>15</v>
      </c>
      <c r="E7" s="575"/>
      <c r="F7" s="575" t="s">
        <v>678</v>
      </c>
      <c r="G7" s="575"/>
      <c r="H7" s="575" t="s">
        <v>679</v>
      </c>
      <c r="I7" s="575"/>
      <c r="J7" s="575" t="s">
        <v>18</v>
      </c>
      <c r="K7" s="575"/>
      <c r="L7" s="575" t="s">
        <v>680</v>
      </c>
      <c r="M7" s="575"/>
      <c r="N7" s="575" t="s">
        <v>20</v>
      </c>
      <c r="O7" s="575"/>
      <c r="P7" s="575" t="s">
        <v>21</v>
      </c>
      <c r="Q7" s="575"/>
      <c r="R7" s="309"/>
      <c r="S7" s="6"/>
    </row>
    <row r="8" spans="1:19" ht="72.95" thickBot="1">
      <c r="A8" s="343" t="s">
        <v>75</v>
      </c>
      <c r="B8" s="344" t="s">
        <v>681</v>
      </c>
      <c r="C8" s="344" t="s">
        <v>682</v>
      </c>
      <c r="D8" s="345" t="s">
        <v>683</v>
      </c>
      <c r="E8" s="345" t="s">
        <v>684</v>
      </c>
      <c r="F8" s="344" t="s">
        <v>685</v>
      </c>
      <c r="G8" s="344" t="s">
        <v>686</v>
      </c>
      <c r="H8" s="345" t="s">
        <v>687</v>
      </c>
      <c r="I8" s="345" t="s">
        <v>688</v>
      </c>
      <c r="J8" s="344" t="s">
        <v>689</v>
      </c>
      <c r="K8" s="344" t="s">
        <v>690</v>
      </c>
      <c r="L8" s="345" t="s">
        <v>691</v>
      </c>
      <c r="M8" s="345" t="s">
        <v>692</v>
      </c>
      <c r="N8" s="344" t="s">
        <v>693</v>
      </c>
      <c r="O8" s="344" t="s">
        <v>694</v>
      </c>
      <c r="P8" s="345" t="s">
        <v>695</v>
      </c>
      <c r="Q8" s="345" t="s">
        <v>696</v>
      </c>
      <c r="R8" s="346" t="s">
        <v>697</v>
      </c>
    </row>
    <row r="9" spans="1:19">
      <c r="A9" s="65" t="s">
        <v>81</v>
      </c>
      <c r="B9" s="341">
        <v>3</v>
      </c>
      <c r="C9" s="341" cm="1">
        <f t="array" ref="C9">_xlfn.IFS(B9&gt;0, 3, B9=0, 1)</f>
        <v>3</v>
      </c>
      <c r="D9" s="341">
        <v>0</v>
      </c>
      <c r="E9" s="342" cm="1">
        <f t="array" ref="E9">_xlfn.IFS(D9&gt;0, 3, D9=0, 1)</f>
        <v>1</v>
      </c>
      <c r="F9" s="341">
        <v>0</v>
      </c>
      <c r="G9" s="342" cm="1">
        <f t="array" ref="G9">_xlfn.IFS(F9&gt;0, 3, F9=0, 1)</f>
        <v>1</v>
      </c>
      <c r="H9" s="341">
        <v>0</v>
      </c>
      <c r="I9" s="342" cm="1">
        <f t="array" ref="I9">_xlfn.IFS(H9&gt;0, 3, H9=0, 1)</f>
        <v>1</v>
      </c>
      <c r="J9" s="341">
        <v>0</v>
      </c>
      <c r="K9" s="342" cm="1">
        <f t="array" ref="K9">_xlfn.IFS(J9&gt;0, 3, J9=0, 1)</f>
        <v>1</v>
      </c>
      <c r="L9" s="341">
        <v>0</v>
      </c>
      <c r="M9" s="342" cm="1">
        <f t="array" ref="M9">_xlfn.IFS(L9&gt;0, 3, L9=0, 1)</f>
        <v>1</v>
      </c>
      <c r="N9" s="341">
        <v>0</v>
      </c>
      <c r="O9" s="342" cm="1">
        <f t="array" ref="O9">_xlfn.IFS(N9&gt;0, 3, N9=0, 1)</f>
        <v>1</v>
      </c>
      <c r="P9" s="341">
        <v>0</v>
      </c>
      <c r="Q9" s="342" cm="1">
        <f t="array" ref="Q9">_xlfn.IFS(P9&gt;0, 3, P9=0, 1)</f>
        <v>1</v>
      </c>
      <c r="R9" s="342">
        <f>AVERAGE(C9,E9,G9,I9,K9,M9,O9,Q9)</f>
        <v>1.25</v>
      </c>
      <c r="S9" s="6"/>
    </row>
    <row r="10" spans="1:19">
      <c r="A10" s="39" t="s">
        <v>83</v>
      </c>
      <c r="B10" s="310">
        <v>0</v>
      </c>
      <c r="C10" s="310" cm="1">
        <f t="array" ref="C10">_xlfn.IFS(B10&gt;0, 3, B10=0, 1)</f>
        <v>1</v>
      </c>
      <c r="D10" s="310">
        <v>0</v>
      </c>
      <c r="E10" s="311" cm="1">
        <f t="array" ref="E10">_xlfn.IFS(D10&gt;0, 3, D10=0, 1)</f>
        <v>1</v>
      </c>
      <c r="F10" s="310">
        <v>0</v>
      </c>
      <c r="G10" s="311" cm="1">
        <f t="array" ref="G10">_xlfn.IFS(F10&gt;0, 3, F10=0, 1)</f>
        <v>1</v>
      </c>
      <c r="H10" s="310">
        <v>0</v>
      </c>
      <c r="I10" s="311" cm="1">
        <f t="array" ref="I10">_xlfn.IFS(H10&gt;0, 3, H10=0, 1)</f>
        <v>1</v>
      </c>
      <c r="J10" s="310">
        <v>0</v>
      </c>
      <c r="K10" s="311" cm="1">
        <f t="array" ref="K10">_xlfn.IFS(J10&gt;0, 3, J10=0, 1)</f>
        <v>1</v>
      </c>
      <c r="L10" s="310">
        <v>0</v>
      </c>
      <c r="M10" s="311" cm="1">
        <f t="array" ref="M10">_xlfn.IFS(L10&gt;0, 3, L10=0, 1)</f>
        <v>1</v>
      </c>
      <c r="N10" s="310">
        <v>0</v>
      </c>
      <c r="O10" s="311" cm="1">
        <f t="array" ref="O10">_xlfn.IFS(N10&gt;0, 3, N10=0, 1)</f>
        <v>1</v>
      </c>
      <c r="P10" s="310">
        <v>0</v>
      </c>
      <c r="Q10" s="311" cm="1">
        <f t="array" ref="Q10">_xlfn.IFS(P10&gt;0, 3, P10=0, 1)</f>
        <v>1</v>
      </c>
      <c r="R10" s="342">
        <f t="shared" ref="R10:R58" si="0">AVERAGE(C10,E10,G10,I10,K10,M10,O10,Q10)</f>
        <v>1</v>
      </c>
      <c r="S10" s="6"/>
    </row>
    <row r="11" spans="1:19">
      <c r="A11" s="39" t="s">
        <v>74</v>
      </c>
      <c r="B11" s="310">
        <v>2</v>
      </c>
      <c r="C11" s="310" cm="1">
        <f t="array" ref="C11">_xlfn.IFS(B11&gt;0, 3, B11=0, 1)</f>
        <v>3</v>
      </c>
      <c r="D11" s="310">
        <v>0</v>
      </c>
      <c r="E11" s="311" cm="1">
        <f t="array" ref="E11">_xlfn.IFS(D11&gt;0, 3, D11=0, 1)</f>
        <v>1</v>
      </c>
      <c r="F11" s="310">
        <v>0</v>
      </c>
      <c r="G11" s="311" cm="1">
        <f t="array" ref="G11">_xlfn.IFS(F11&gt;0, 3, F11=0, 1)</f>
        <v>1</v>
      </c>
      <c r="H11" s="310">
        <v>0</v>
      </c>
      <c r="I11" s="311" cm="1">
        <f t="array" ref="I11">_xlfn.IFS(H11&gt;0, 3, H11=0, 1)</f>
        <v>1</v>
      </c>
      <c r="J11" s="310">
        <v>0</v>
      </c>
      <c r="K11" s="311" cm="1">
        <f t="array" ref="K11">_xlfn.IFS(J11&gt;0, 3, J11=0, 1)</f>
        <v>1</v>
      </c>
      <c r="L11" s="310">
        <v>0</v>
      </c>
      <c r="M11" s="311" cm="1">
        <f t="array" ref="M11">_xlfn.IFS(L11&gt;0, 3, L11=0, 1)</f>
        <v>1</v>
      </c>
      <c r="N11" s="310">
        <v>1</v>
      </c>
      <c r="O11" s="311" cm="1">
        <f t="array" ref="O11">_xlfn.IFS(N11&gt;0, 3, N11=0, 1)</f>
        <v>3</v>
      </c>
      <c r="P11" s="310">
        <v>0</v>
      </c>
      <c r="Q11" s="311" cm="1">
        <f t="array" ref="Q11">_xlfn.IFS(P11&gt;0, 3, P11=0, 1)</f>
        <v>1</v>
      </c>
      <c r="R11" s="342">
        <f t="shared" si="0"/>
        <v>1.5</v>
      </c>
      <c r="S11" s="6"/>
    </row>
    <row r="12" spans="1:19">
      <c r="A12" s="39" t="s">
        <v>88</v>
      </c>
      <c r="B12" s="310">
        <v>0</v>
      </c>
      <c r="C12" s="310" cm="1">
        <f t="array" ref="C12">_xlfn.IFS(B12&gt;0, 3, B12=0, 1)</f>
        <v>1</v>
      </c>
      <c r="D12" s="310">
        <v>0</v>
      </c>
      <c r="E12" s="311" cm="1">
        <f t="array" ref="E12">_xlfn.IFS(D12&gt;0, 3, D12=0, 1)</f>
        <v>1</v>
      </c>
      <c r="F12" s="310">
        <v>0</v>
      </c>
      <c r="G12" s="311" cm="1">
        <f t="array" ref="G12">_xlfn.IFS(F12&gt;0, 3, F12=0, 1)</f>
        <v>1</v>
      </c>
      <c r="H12" s="310">
        <v>0</v>
      </c>
      <c r="I12" s="311" cm="1">
        <f t="array" ref="I12">_xlfn.IFS(H12&gt;0, 3, H12=0, 1)</f>
        <v>1</v>
      </c>
      <c r="J12" s="310">
        <v>0</v>
      </c>
      <c r="K12" s="311" cm="1">
        <f t="array" ref="K12">_xlfn.IFS(J12&gt;0, 3, J12=0, 1)</f>
        <v>1</v>
      </c>
      <c r="L12" s="310">
        <v>0</v>
      </c>
      <c r="M12" s="311" cm="1">
        <f t="array" ref="M12">_xlfn.IFS(L12&gt;0, 3, L12=0, 1)</f>
        <v>1</v>
      </c>
      <c r="N12" s="310">
        <v>0</v>
      </c>
      <c r="O12" s="311" cm="1">
        <f t="array" ref="O12">_xlfn.IFS(N12&gt;0, 3, N12=0, 1)</f>
        <v>1</v>
      </c>
      <c r="P12" s="310">
        <v>0</v>
      </c>
      <c r="Q12" s="311" cm="1">
        <f t="array" ref="Q12">_xlfn.IFS(P12&gt;0, 3, P12=0, 1)</f>
        <v>1</v>
      </c>
      <c r="R12" s="342">
        <f t="shared" si="0"/>
        <v>1</v>
      </c>
      <c r="S12" s="6"/>
    </row>
    <row r="13" spans="1:19">
      <c r="A13" s="39" t="s">
        <v>91</v>
      </c>
      <c r="B13" s="310">
        <v>21</v>
      </c>
      <c r="C13" s="310" cm="1">
        <f t="array" ref="C13">_xlfn.IFS(B13&gt;0, 3, B13=0, 1)</f>
        <v>3</v>
      </c>
      <c r="D13" s="310">
        <v>5</v>
      </c>
      <c r="E13" s="311" cm="1">
        <f t="array" ref="E13">_xlfn.IFS(D13&gt;0, 3, D13=0, 1)</f>
        <v>3</v>
      </c>
      <c r="F13" s="310">
        <v>1</v>
      </c>
      <c r="G13" s="311" cm="1">
        <f t="array" ref="G13">_xlfn.IFS(F13&gt;0, 3, F13=0, 1)</f>
        <v>3</v>
      </c>
      <c r="H13" s="310">
        <v>1</v>
      </c>
      <c r="I13" s="311" cm="1">
        <f t="array" ref="I13">_xlfn.IFS(H13&gt;0, 3, H13=0, 1)</f>
        <v>3</v>
      </c>
      <c r="J13" s="310">
        <v>1</v>
      </c>
      <c r="K13" s="311" cm="1">
        <f t="array" ref="K13">_xlfn.IFS(J13&gt;0, 3, J13=0, 1)</f>
        <v>3</v>
      </c>
      <c r="L13" s="310">
        <v>5</v>
      </c>
      <c r="M13" s="311" cm="1">
        <f t="array" ref="M13">_xlfn.IFS(L13&gt;0, 3, L13=0, 1)</f>
        <v>3</v>
      </c>
      <c r="N13" s="310">
        <v>11</v>
      </c>
      <c r="O13" s="311" cm="1">
        <f t="array" ref="O13">_xlfn.IFS(N13&gt;0, 3, N13=0, 1)</f>
        <v>3</v>
      </c>
      <c r="P13" s="310">
        <v>2</v>
      </c>
      <c r="Q13" s="311" cm="1">
        <f t="array" ref="Q13">_xlfn.IFS(P13&gt;0, 3, P13=0, 1)</f>
        <v>3</v>
      </c>
      <c r="R13" s="342">
        <f t="shared" si="0"/>
        <v>3</v>
      </c>
      <c r="S13" s="6"/>
    </row>
    <row r="14" spans="1:19">
      <c r="A14" s="39" t="s">
        <v>93</v>
      </c>
      <c r="B14" s="310">
        <v>5</v>
      </c>
      <c r="C14" s="310" cm="1">
        <f t="array" ref="C14">_xlfn.IFS(B14&gt;0, 3, B14=0, 1)</f>
        <v>3</v>
      </c>
      <c r="D14" s="310">
        <v>0</v>
      </c>
      <c r="E14" s="311" cm="1">
        <f t="array" ref="E14">_xlfn.IFS(D14&gt;0, 3, D14=0, 1)</f>
        <v>1</v>
      </c>
      <c r="F14" s="310">
        <v>0</v>
      </c>
      <c r="G14" s="311" cm="1">
        <f t="array" ref="G14">_xlfn.IFS(F14&gt;0, 3, F14=0, 1)</f>
        <v>1</v>
      </c>
      <c r="H14" s="310">
        <v>0</v>
      </c>
      <c r="I14" s="311" cm="1">
        <f t="array" ref="I14">_xlfn.IFS(H14&gt;0, 3, H14=0, 1)</f>
        <v>1</v>
      </c>
      <c r="J14" s="310">
        <v>0</v>
      </c>
      <c r="K14" s="311" cm="1">
        <f t="array" ref="K14">_xlfn.IFS(J14&gt;0, 3, J14=0, 1)</f>
        <v>1</v>
      </c>
      <c r="L14" s="310">
        <v>0</v>
      </c>
      <c r="M14" s="311" cm="1">
        <f t="array" ref="M14">_xlfn.IFS(L14&gt;0, 3, L14=0, 1)</f>
        <v>1</v>
      </c>
      <c r="N14" s="310">
        <v>2</v>
      </c>
      <c r="O14" s="311" cm="1">
        <f t="array" ref="O14">_xlfn.IFS(N14&gt;0, 3, N14=0, 1)</f>
        <v>3</v>
      </c>
      <c r="P14" s="310">
        <v>1</v>
      </c>
      <c r="Q14" s="311" cm="1">
        <f t="array" ref="Q14">_xlfn.IFS(P14&gt;0, 3, P14=0, 1)</f>
        <v>3</v>
      </c>
      <c r="R14" s="342">
        <f t="shared" si="0"/>
        <v>1.75</v>
      </c>
      <c r="S14" s="6"/>
    </row>
    <row r="15" spans="1:19">
      <c r="A15" s="39" t="s">
        <v>95</v>
      </c>
      <c r="B15" s="310">
        <v>0</v>
      </c>
      <c r="C15" s="310" cm="1">
        <f t="array" ref="C15">_xlfn.IFS(B15&gt;0, 3, B15=0, 1)</f>
        <v>1</v>
      </c>
      <c r="D15" s="310">
        <v>0</v>
      </c>
      <c r="E15" s="311" cm="1">
        <f t="array" ref="E15">_xlfn.IFS(D15&gt;0, 3, D15=0, 1)</f>
        <v>1</v>
      </c>
      <c r="F15" s="310">
        <v>0</v>
      </c>
      <c r="G15" s="311" cm="1">
        <f t="array" ref="G15">_xlfn.IFS(F15&gt;0, 3, F15=0, 1)</f>
        <v>1</v>
      </c>
      <c r="H15" s="310">
        <v>1</v>
      </c>
      <c r="I15" s="311" cm="1">
        <f t="array" ref="I15">_xlfn.IFS(H15&gt;0, 3, H15=0, 1)</f>
        <v>3</v>
      </c>
      <c r="J15" s="310">
        <v>0</v>
      </c>
      <c r="K15" s="311" cm="1">
        <f t="array" ref="K15">_xlfn.IFS(J15&gt;0, 3, J15=0, 1)</f>
        <v>1</v>
      </c>
      <c r="L15" s="310">
        <v>0</v>
      </c>
      <c r="M15" s="311" cm="1">
        <f t="array" ref="M15">_xlfn.IFS(L15&gt;0, 3, L15=0, 1)</f>
        <v>1</v>
      </c>
      <c r="N15" s="310">
        <v>2</v>
      </c>
      <c r="O15" s="311" cm="1">
        <f t="array" ref="O15">_xlfn.IFS(N15&gt;0, 3, N15=0, 1)</f>
        <v>3</v>
      </c>
      <c r="P15" s="310">
        <v>0</v>
      </c>
      <c r="Q15" s="311" cm="1">
        <f t="array" ref="Q15">_xlfn.IFS(P15&gt;0, 3, P15=0, 1)</f>
        <v>1</v>
      </c>
      <c r="R15" s="342">
        <f t="shared" si="0"/>
        <v>1.5</v>
      </c>
      <c r="S15" s="6"/>
    </row>
    <row r="16" spans="1:19">
      <c r="A16" s="39" t="s">
        <v>98</v>
      </c>
      <c r="B16" s="310">
        <v>1</v>
      </c>
      <c r="C16" s="310" cm="1">
        <f t="array" ref="C16">_xlfn.IFS(B16&gt;0, 3, B16=0, 1)</f>
        <v>3</v>
      </c>
      <c r="D16" s="310">
        <v>0</v>
      </c>
      <c r="E16" s="311" cm="1">
        <f t="array" ref="E16">_xlfn.IFS(D16&gt;0, 3, D16=0, 1)</f>
        <v>1</v>
      </c>
      <c r="F16" s="310">
        <v>0</v>
      </c>
      <c r="G16" s="311" cm="1">
        <f t="array" ref="G16">_xlfn.IFS(F16&gt;0, 3, F16=0, 1)</f>
        <v>1</v>
      </c>
      <c r="H16" s="310">
        <v>0</v>
      </c>
      <c r="I16" s="311" cm="1">
        <f t="array" ref="I16">_xlfn.IFS(H16&gt;0, 3, H16=0, 1)</f>
        <v>1</v>
      </c>
      <c r="J16" s="310">
        <v>0</v>
      </c>
      <c r="K16" s="311" cm="1">
        <f t="array" ref="K16">_xlfn.IFS(J16&gt;0, 3, J16=0, 1)</f>
        <v>1</v>
      </c>
      <c r="L16" s="310">
        <v>0</v>
      </c>
      <c r="M16" s="311" cm="1">
        <f t="array" ref="M16">_xlfn.IFS(L16&gt;0, 3, L16=0, 1)</f>
        <v>1</v>
      </c>
      <c r="N16" s="310">
        <v>0</v>
      </c>
      <c r="O16" s="311" cm="1">
        <f t="array" ref="O16">_xlfn.IFS(N16&gt;0, 3, N16=0, 1)</f>
        <v>1</v>
      </c>
      <c r="P16" s="310">
        <v>0</v>
      </c>
      <c r="Q16" s="311" cm="1">
        <f t="array" ref="Q16">_xlfn.IFS(P16&gt;0, 3, P16=0, 1)</f>
        <v>1</v>
      </c>
      <c r="R16" s="342">
        <f t="shared" si="0"/>
        <v>1.25</v>
      </c>
      <c r="S16" s="6"/>
    </row>
    <row r="17" spans="1:19">
      <c r="A17" s="39" t="s">
        <v>101</v>
      </c>
      <c r="B17" s="310">
        <v>1</v>
      </c>
      <c r="C17" s="310" cm="1">
        <f t="array" ref="C17">_xlfn.IFS(B17&gt;0, 3, B17=0, 1)</f>
        <v>3</v>
      </c>
      <c r="D17" s="310">
        <v>0</v>
      </c>
      <c r="E17" s="311" cm="1">
        <f t="array" ref="E17">_xlfn.IFS(D17&gt;0, 3, D17=0, 1)</f>
        <v>1</v>
      </c>
      <c r="F17" s="310">
        <v>0</v>
      </c>
      <c r="G17" s="311" cm="1">
        <f t="array" ref="G17">_xlfn.IFS(F17&gt;0, 3, F17=0, 1)</f>
        <v>1</v>
      </c>
      <c r="H17" s="310">
        <v>0</v>
      </c>
      <c r="I17" s="311" cm="1">
        <f t="array" ref="I17">_xlfn.IFS(H17&gt;0, 3, H17=0, 1)</f>
        <v>1</v>
      </c>
      <c r="J17" s="310">
        <v>0</v>
      </c>
      <c r="K17" s="311" cm="1">
        <f t="array" ref="K17">_xlfn.IFS(J17&gt;0, 3, J17=0, 1)</f>
        <v>1</v>
      </c>
      <c r="L17" s="310">
        <v>0</v>
      </c>
      <c r="M17" s="311" cm="1">
        <f t="array" ref="M17">_xlfn.IFS(L17&gt;0, 3, L17=0, 1)</f>
        <v>1</v>
      </c>
      <c r="N17" s="310">
        <v>0</v>
      </c>
      <c r="O17" s="311" cm="1">
        <f t="array" ref="O17">_xlfn.IFS(N17&gt;0, 3, N17=0, 1)</f>
        <v>1</v>
      </c>
      <c r="P17" s="310">
        <v>0</v>
      </c>
      <c r="Q17" s="311" cm="1">
        <f t="array" ref="Q17">_xlfn.IFS(P17&gt;0, 3, P17=0, 1)</f>
        <v>1</v>
      </c>
      <c r="R17" s="342">
        <f t="shared" si="0"/>
        <v>1.25</v>
      </c>
      <c r="S17" s="6"/>
    </row>
    <row r="18" spans="1:19">
      <c r="A18" s="39" t="s">
        <v>104</v>
      </c>
      <c r="B18" s="310">
        <v>0</v>
      </c>
      <c r="C18" s="310" cm="1">
        <f t="array" ref="C18">_xlfn.IFS(B18&gt;0, 3, B18=0, 1)</f>
        <v>1</v>
      </c>
      <c r="D18" s="310">
        <v>0</v>
      </c>
      <c r="E18" s="311" cm="1">
        <f t="array" ref="E18">_xlfn.IFS(D18&gt;0, 3, D18=0, 1)</f>
        <v>1</v>
      </c>
      <c r="F18" s="310">
        <v>0</v>
      </c>
      <c r="G18" s="311" cm="1">
        <f t="array" ref="G18">_xlfn.IFS(F18&gt;0, 3, F18=0, 1)</f>
        <v>1</v>
      </c>
      <c r="H18" s="310">
        <v>0</v>
      </c>
      <c r="I18" s="311" cm="1">
        <f t="array" ref="I18">_xlfn.IFS(H18&gt;0, 3, H18=0, 1)</f>
        <v>1</v>
      </c>
      <c r="J18" s="310">
        <v>0</v>
      </c>
      <c r="K18" s="311" cm="1">
        <f t="array" ref="K18">_xlfn.IFS(J18&gt;0, 3, J18=0, 1)</f>
        <v>1</v>
      </c>
      <c r="L18" s="310">
        <v>0</v>
      </c>
      <c r="M18" s="311" cm="1">
        <f t="array" ref="M18">_xlfn.IFS(L18&gt;0, 3, L18=0, 1)</f>
        <v>1</v>
      </c>
      <c r="N18" s="310">
        <v>1</v>
      </c>
      <c r="O18" s="311" cm="1">
        <f t="array" ref="O18">_xlfn.IFS(N18&gt;0, 3, N18=0, 1)</f>
        <v>3</v>
      </c>
      <c r="P18" s="310">
        <v>0</v>
      </c>
      <c r="Q18" s="311" cm="1">
        <f t="array" ref="Q18">_xlfn.IFS(P18&gt;0, 3, P18=0, 1)</f>
        <v>1</v>
      </c>
      <c r="R18" s="342">
        <f t="shared" si="0"/>
        <v>1.25</v>
      </c>
      <c r="S18" s="6"/>
    </row>
    <row r="19" spans="1:19">
      <c r="A19" s="39" t="s">
        <v>106</v>
      </c>
      <c r="B19" s="310">
        <v>1</v>
      </c>
      <c r="C19" s="310" cm="1">
        <f t="array" ref="C19">_xlfn.IFS(B19&gt;0, 3, B19=0, 1)</f>
        <v>3</v>
      </c>
      <c r="D19" s="310">
        <v>0</v>
      </c>
      <c r="E19" s="311" cm="1">
        <f t="array" ref="E19">_xlfn.IFS(D19&gt;0, 3, D19=0, 1)</f>
        <v>1</v>
      </c>
      <c r="F19" s="310">
        <v>0</v>
      </c>
      <c r="G19" s="311" cm="1">
        <f t="array" ref="G19">_xlfn.IFS(F19&gt;0, 3, F19=0, 1)</f>
        <v>1</v>
      </c>
      <c r="H19" s="310">
        <v>0</v>
      </c>
      <c r="I19" s="311" cm="1">
        <f t="array" ref="I19">_xlfn.IFS(H19&gt;0, 3, H19=0, 1)</f>
        <v>1</v>
      </c>
      <c r="J19" s="310">
        <v>0</v>
      </c>
      <c r="K19" s="311" cm="1">
        <f t="array" ref="K19">_xlfn.IFS(J19&gt;0, 3, J19=0, 1)</f>
        <v>1</v>
      </c>
      <c r="L19" s="310">
        <v>1</v>
      </c>
      <c r="M19" s="311" cm="1">
        <f t="array" ref="M19">_xlfn.IFS(L19&gt;0, 3, L19=0, 1)</f>
        <v>3</v>
      </c>
      <c r="N19" s="310">
        <v>0</v>
      </c>
      <c r="O19" s="311" cm="1">
        <f t="array" ref="O19">_xlfn.IFS(N19&gt;0, 3, N19=0, 1)</f>
        <v>1</v>
      </c>
      <c r="P19" s="310">
        <v>0</v>
      </c>
      <c r="Q19" s="311" cm="1">
        <f t="array" ref="Q19">_xlfn.IFS(P19&gt;0, 3, P19=0, 1)</f>
        <v>1</v>
      </c>
      <c r="R19" s="342">
        <f t="shared" si="0"/>
        <v>1.5</v>
      </c>
      <c r="S19" s="6"/>
    </row>
    <row r="20" spans="1:19">
      <c r="A20" s="39" t="s">
        <v>108</v>
      </c>
      <c r="B20" s="310">
        <v>0</v>
      </c>
      <c r="C20" s="310" cm="1">
        <f t="array" ref="C20">_xlfn.IFS(B20&gt;0, 3, B20=0, 1)</f>
        <v>1</v>
      </c>
      <c r="D20" s="310">
        <v>0</v>
      </c>
      <c r="E20" s="311" cm="1">
        <f t="array" ref="E20">_xlfn.IFS(D20&gt;0, 3, D20=0, 1)</f>
        <v>1</v>
      </c>
      <c r="F20" s="310">
        <v>0</v>
      </c>
      <c r="G20" s="311" cm="1">
        <f t="array" ref="G20">_xlfn.IFS(F20&gt;0, 3, F20=0, 1)</f>
        <v>1</v>
      </c>
      <c r="H20" s="310">
        <v>0</v>
      </c>
      <c r="I20" s="311" cm="1">
        <f t="array" ref="I20">_xlfn.IFS(H20&gt;0, 3, H20=0, 1)</f>
        <v>1</v>
      </c>
      <c r="J20" s="310">
        <v>0</v>
      </c>
      <c r="K20" s="311" cm="1">
        <f t="array" ref="K20">_xlfn.IFS(J20&gt;0, 3, J20=0, 1)</f>
        <v>1</v>
      </c>
      <c r="L20" s="310">
        <v>0</v>
      </c>
      <c r="M20" s="311" cm="1">
        <f t="array" ref="M20">_xlfn.IFS(L20&gt;0, 3, L20=0, 1)</f>
        <v>1</v>
      </c>
      <c r="N20" s="310">
        <v>1</v>
      </c>
      <c r="O20" s="311" cm="1">
        <f t="array" ref="O20">_xlfn.IFS(N20&gt;0, 3, N20=0, 1)</f>
        <v>3</v>
      </c>
      <c r="P20" s="310">
        <v>0</v>
      </c>
      <c r="Q20" s="311" cm="1">
        <f t="array" ref="Q20">_xlfn.IFS(P20&gt;0, 3, P20=0, 1)</f>
        <v>1</v>
      </c>
      <c r="R20" s="342">
        <f t="shared" si="0"/>
        <v>1.25</v>
      </c>
      <c r="S20" s="6"/>
    </row>
    <row r="21" spans="1:19">
      <c r="A21" s="39" t="s">
        <v>110</v>
      </c>
      <c r="B21" s="310">
        <v>1</v>
      </c>
      <c r="C21" s="310" cm="1">
        <f t="array" ref="C21">_xlfn.IFS(B21&gt;0, 3, B21=0, 1)</f>
        <v>3</v>
      </c>
      <c r="D21" s="310">
        <v>0</v>
      </c>
      <c r="E21" s="311" cm="1">
        <f t="array" ref="E21">_xlfn.IFS(D21&gt;0, 3, D21=0, 1)</f>
        <v>1</v>
      </c>
      <c r="F21" s="310">
        <v>0</v>
      </c>
      <c r="G21" s="311" cm="1">
        <f t="array" ref="G21">_xlfn.IFS(F21&gt;0, 3, F21=0, 1)</f>
        <v>1</v>
      </c>
      <c r="H21" s="310">
        <v>0</v>
      </c>
      <c r="I21" s="311" cm="1">
        <f t="array" ref="I21">_xlfn.IFS(H21&gt;0, 3, H21=0, 1)</f>
        <v>1</v>
      </c>
      <c r="J21" s="310">
        <v>0</v>
      </c>
      <c r="K21" s="311" cm="1">
        <f t="array" ref="K21">_xlfn.IFS(J21&gt;0, 3, J21=0, 1)</f>
        <v>1</v>
      </c>
      <c r="L21" s="310">
        <v>0</v>
      </c>
      <c r="M21" s="311" cm="1">
        <f t="array" ref="M21">_xlfn.IFS(L21&gt;0, 3, L21=0, 1)</f>
        <v>1</v>
      </c>
      <c r="N21" s="310">
        <v>0</v>
      </c>
      <c r="O21" s="311" cm="1">
        <f t="array" ref="O21">_xlfn.IFS(N21&gt;0, 3, N21=0, 1)</f>
        <v>1</v>
      </c>
      <c r="P21" s="310">
        <v>0</v>
      </c>
      <c r="Q21" s="311" cm="1">
        <f t="array" ref="Q21">_xlfn.IFS(P21&gt;0, 3, P21=0, 1)</f>
        <v>1</v>
      </c>
      <c r="R21" s="342">
        <f t="shared" si="0"/>
        <v>1.25</v>
      </c>
      <c r="S21" s="6"/>
    </row>
    <row r="22" spans="1:19">
      <c r="A22" s="39" t="s">
        <v>112</v>
      </c>
      <c r="B22" s="310">
        <v>1</v>
      </c>
      <c r="C22" s="310" cm="1">
        <f t="array" ref="C22">_xlfn.IFS(B22&gt;0, 3, B22=0, 1)</f>
        <v>3</v>
      </c>
      <c r="D22" s="310">
        <v>0</v>
      </c>
      <c r="E22" s="311" cm="1">
        <f t="array" ref="E22">_xlfn.IFS(D22&gt;0, 3, D22=0, 1)</f>
        <v>1</v>
      </c>
      <c r="F22" s="310">
        <v>0</v>
      </c>
      <c r="G22" s="311" cm="1">
        <f t="array" ref="G22">_xlfn.IFS(F22&gt;0, 3, F22=0, 1)</f>
        <v>1</v>
      </c>
      <c r="H22" s="310">
        <v>0</v>
      </c>
      <c r="I22" s="311" cm="1">
        <f t="array" ref="I22">_xlfn.IFS(H22&gt;0, 3, H22=0, 1)</f>
        <v>1</v>
      </c>
      <c r="J22" s="310">
        <v>0</v>
      </c>
      <c r="K22" s="311" cm="1">
        <f t="array" ref="K22">_xlfn.IFS(J22&gt;0, 3, J22=0, 1)</f>
        <v>1</v>
      </c>
      <c r="L22" s="310">
        <v>0</v>
      </c>
      <c r="M22" s="311" cm="1">
        <f t="array" ref="M22">_xlfn.IFS(L22&gt;0, 3, L22=0, 1)</f>
        <v>1</v>
      </c>
      <c r="N22" s="310">
        <v>0</v>
      </c>
      <c r="O22" s="311" cm="1">
        <f t="array" ref="O22">_xlfn.IFS(N22&gt;0, 3, N22=0, 1)</f>
        <v>1</v>
      </c>
      <c r="P22" s="310">
        <v>0</v>
      </c>
      <c r="Q22" s="311" cm="1">
        <f t="array" ref="Q22">_xlfn.IFS(P22&gt;0, 3, P22=0, 1)</f>
        <v>1</v>
      </c>
      <c r="R22" s="342">
        <f t="shared" si="0"/>
        <v>1.25</v>
      </c>
      <c r="S22" s="6"/>
    </row>
    <row r="23" spans="1:19">
      <c r="A23" s="39" t="s">
        <v>115</v>
      </c>
      <c r="B23" s="310">
        <v>0</v>
      </c>
      <c r="C23" s="310" cm="1">
        <f t="array" ref="C23">_xlfn.IFS(B23&gt;0, 3, B23=0, 1)</f>
        <v>1</v>
      </c>
      <c r="D23" s="310">
        <v>0</v>
      </c>
      <c r="E23" s="311" cm="1">
        <f t="array" ref="E23">_xlfn.IFS(D23&gt;0, 3, D23=0, 1)</f>
        <v>1</v>
      </c>
      <c r="F23" s="310">
        <v>0</v>
      </c>
      <c r="G23" s="311" cm="1">
        <f t="array" ref="G23">_xlfn.IFS(F23&gt;0, 3, F23=0, 1)</f>
        <v>1</v>
      </c>
      <c r="H23" s="310">
        <v>0</v>
      </c>
      <c r="I23" s="311" cm="1">
        <f t="array" ref="I23">_xlfn.IFS(H23&gt;0, 3, H23=0, 1)</f>
        <v>1</v>
      </c>
      <c r="J23" s="310">
        <v>0</v>
      </c>
      <c r="K23" s="311" cm="1">
        <f t="array" ref="K23">_xlfn.IFS(J23&gt;0, 3, J23=0, 1)</f>
        <v>1</v>
      </c>
      <c r="L23" s="310">
        <v>0</v>
      </c>
      <c r="M23" s="311" cm="1">
        <f t="array" ref="M23">_xlfn.IFS(L23&gt;0, 3, L23=0, 1)</f>
        <v>1</v>
      </c>
      <c r="N23" s="310">
        <v>1</v>
      </c>
      <c r="O23" s="311" cm="1">
        <f t="array" ref="O23">_xlfn.IFS(N23&gt;0, 3, N23=0, 1)</f>
        <v>3</v>
      </c>
      <c r="P23" s="310">
        <v>1</v>
      </c>
      <c r="Q23" s="311" cm="1">
        <f t="array" ref="Q23">_xlfn.IFS(P23&gt;0, 3, P23=0, 1)</f>
        <v>3</v>
      </c>
      <c r="R23" s="342">
        <f t="shared" si="0"/>
        <v>1.5</v>
      </c>
      <c r="S23" s="6"/>
    </row>
    <row r="24" spans="1:19">
      <c r="A24" s="39" t="s">
        <v>118</v>
      </c>
      <c r="B24" s="310">
        <v>1</v>
      </c>
      <c r="C24" s="310" cm="1">
        <f t="array" ref="C24">_xlfn.IFS(B24&gt;0, 3, B24=0, 1)</f>
        <v>3</v>
      </c>
      <c r="D24" s="310">
        <v>0</v>
      </c>
      <c r="E24" s="311" cm="1">
        <f t="array" ref="E24">_xlfn.IFS(D24&gt;0, 3, D24=0, 1)</f>
        <v>1</v>
      </c>
      <c r="F24" s="310">
        <v>0</v>
      </c>
      <c r="G24" s="311" cm="1">
        <f t="array" ref="G24">_xlfn.IFS(F24&gt;0, 3, F24=0, 1)</f>
        <v>1</v>
      </c>
      <c r="H24" s="310">
        <v>0</v>
      </c>
      <c r="I24" s="311" cm="1">
        <f t="array" ref="I24">_xlfn.IFS(H24&gt;0, 3, H24=0, 1)</f>
        <v>1</v>
      </c>
      <c r="J24" s="310">
        <v>0</v>
      </c>
      <c r="K24" s="311" cm="1">
        <f t="array" ref="K24">_xlfn.IFS(J24&gt;0, 3, J24=0, 1)</f>
        <v>1</v>
      </c>
      <c r="L24" s="310">
        <v>0</v>
      </c>
      <c r="M24" s="311" cm="1">
        <f t="array" ref="M24">_xlfn.IFS(L24&gt;0, 3, L24=0, 1)</f>
        <v>1</v>
      </c>
      <c r="N24" s="310">
        <v>0</v>
      </c>
      <c r="O24" s="311" cm="1">
        <f t="array" ref="O24">_xlfn.IFS(N24&gt;0, 3, N24=0, 1)</f>
        <v>1</v>
      </c>
      <c r="P24" s="310">
        <v>0</v>
      </c>
      <c r="Q24" s="311" cm="1">
        <f t="array" ref="Q24">_xlfn.IFS(P24&gt;0, 3, P24=0, 1)</f>
        <v>1</v>
      </c>
      <c r="R24" s="342">
        <f t="shared" si="0"/>
        <v>1.25</v>
      </c>
      <c r="S24" s="6"/>
    </row>
    <row r="25" spans="1:19">
      <c r="A25" s="39" t="s">
        <v>121</v>
      </c>
      <c r="B25" s="310">
        <v>1</v>
      </c>
      <c r="C25" s="310" cm="1">
        <f t="array" ref="C25">_xlfn.IFS(B25&gt;0, 3, B25=0, 1)</f>
        <v>3</v>
      </c>
      <c r="D25" s="310">
        <v>0</v>
      </c>
      <c r="E25" s="311" cm="1">
        <f t="array" ref="E25">_xlfn.IFS(D25&gt;0, 3, D25=0, 1)</f>
        <v>1</v>
      </c>
      <c r="F25" s="310">
        <v>0</v>
      </c>
      <c r="G25" s="311" cm="1">
        <f t="array" ref="G25">_xlfn.IFS(F25&gt;0, 3, F25=0, 1)</f>
        <v>1</v>
      </c>
      <c r="H25" s="310">
        <v>0</v>
      </c>
      <c r="I25" s="311" cm="1">
        <f t="array" ref="I25">_xlfn.IFS(H25&gt;0, 3, H25=0, 1)</f>
        <v>1</v>
      </c>
      <c r="J25" s="310">
        <v>0</v>
      </c>
      <c r="K25" s="311" cm="1">
        <f t="array" ref="K25">_xlfn.IFS(J25&gt;0, 3, J25=0, 1)</f>
        <v>1</v>
      </c>
      <c r="L25" s="310">
        <v>0</v>
      </c>
      <c r="M25" s="311" cm="1">
        <f t="array" ref="M25">_xlfn.IFS(L25&gt;0, 3, L25=0, 1)</f>
        <v>1</v>
      </c>
      <c r="N25" s="310">
        <v>0</v>
      </c>
      <c r="O25" s="311" cm="1">
        <f t="array" ref="O25">_xlfn.IFS(N25&gt;0, 3, N25=0, 1)</f>
        <v>1</v>
      </c>
      <c r="P25" s="310">
        <v>0</v>
      </c>
      <c r="Q25" s="311" cm="1">
        <f t="array" ref="Q25">_xlfn.IFS(P25&gt;0, 3, P25=0, 1)</f>
        <v>1</v>
      </c>
      <c r="R25" s="342">
        <f t="shared" si="0"/>
        <v>1.25</v>
      </c>
      <c r="S25" s="6"/>
    </row>
    <row r="26" spans="1:19">
      <c r="A26" s="39" t="s">
        <v>124</v>
      </c>
      <c r="B26" s="310">
        <v>3</v>
      </c>
      <c r="C26" s="310" cm="1">
        <f t="array" ref="C26">_xlfn.IFS(B26&gt;0, 3, B26=0, 1)</f>
        <v>3</v>
      </c>
      <c r="D26" s="310">
        <v>0</v>
      </c>
      <c r="E26" s="311" cm="1">
        <f t="array" ref="E26">_xlfn.IFS(D26&gt;0, 3, D26=0, 1)</f>
        <v>1</v>
      </c>
      <c r="F26" s="310">
        <v>0</v>
      </c>
      <c r="G26" s="311" cm="1">
        <f t="array" ref="G26">_xlfn.IFS(F26&gt;0, 3, F26=0, 1)</f>
        <v>1</v>
      </c>
      <c r="H26" s="310">
        <v>0</v>
      </c>
      <c r="I26" s="311" cm="1">
        <f t="array" ref="I26">_xlfn.IFS(H26&gt;0, 3, H26=0, 1)</f>
        <v>1</v>
      </c>
      <c r="J26" s="310">
        <v>0</v>
      </c>
      <c r="K26" s="311" cm="1">
        <f t="array" ref="K26">_xlfn.IFS(J26&gt;0, 3, J26=0, 1)</f>
        <v>1</v>
      </c>
      <c r="L26" s="310">
        <v>1</v>
      </c>
      <c r="M26" s="311" cm="1">
        <f t="array" ref="M26">_xlfn.IFS(L26&gt;0, 3, L26=0, 1)</f>
        <v>3</v>
      </c>
      <c r="N26" s="310">
        <v>1</v>
      </c>
      <c r="O26" s="311" cm="1">
        <f t="array" ref="O26">_xlfn.IFS(N26&gt;0, 3, N26=0, 1)</f>
        <v>3</v>
      </c>
      <c r="P26" s="310">
        <v>0</v>
      </c>
      <c r="Q26" s="311" cm="1">
        <f t="array" ref="Q26">_xlfn.IFS(P26&gt;0, 3, P26=0, 1)</f>
        <v>1</v>
      </c>
      <c r="R26" s="342">
        <f t="shared" si="0"/>
        <v>1.75</v>
      </c>
      <c r="S26" s="6"/>
    </row>
    <row r="27" spans="1:19">
      <c r="A27" s="39" t="s">
        <v>125</v>
      </c>
      <c r="B27" s="310">
        <v>0</v>
      </c>
      <c r="C27" s="310" cm="1">
        <f t="array" ref="C27">_xlfn.IFS(B27&gt;0, 3, B27=0, 1)</f>
        <v>1</v>
      </c>
      <c r="D27" s="310">
        <v>0</v>
      </c>
      <c r="E27" s="311" cm="1">
        <f t="array" ref="E27">_xlfn.IFS(D27&gt;0, 3, D27=0, 1)</f>
        <v>1</v>
      </c>
      <c r="F27" s="310">
        <v>0</v>
      </c>
      <c r="G27" s="311" cm="1">
        <f t="array" ref="G27">_xlfn.IFS(F27&gt;0, 3, F27=0, 1)</f>
        <v>1</v>
      </c>
      <c r="H27" s="310">
        <v>0</v>
      </c>
      <c r="I27" s="311" cm="1">
        <f t="array" ref="I27">_xlfn.IFS(H27&gt;0, 3, H27=0, 1)</f>
        <v>1</v>
      </c>
      <c r="J27" s="310">
        <v>0</v>
      </c>
      <c r="K27" s="311" cm="1">
        <f t="array" ref="K27">_xlfn.IFS(J27&gt;0, 3, J27=0, 1)</f>
        <v>1</v>
      </c>
      <c r="L27" s="310">
        <v>1</v>
      </c>
      <c r="M27" s="311" cm="1">
        <f t="array" ref="M27">_xlfn.IFS(L27&gt;0, 3, L27=0, 1)</f>
        <v>3</v>
      </c>
      <c r="N27" s="310">
        <v>0</v>
      </c>
      <c r="O27" s="311" cm="1">
        <f t="array" ref="O27">_xlfn.IFS(N27&gt;0, 3, N27=0, 1)</f>
        <v>1</v>
      </c>
      <c r="P27" s="310">
        <v>0</v>
      </c>
      <c r="Q27" s="311" cm="1">
        <f t="array" ref="Q27">_xlfn.IFS(P27&gt;0, 3, P27=0, 1)</f>
        <v>1</v>
      </c>
      <c r="R27" s="342">
        <f t="shared" si="0"/>
        <v>1.25</v>
      </c>
      <c r="S27" s="6"/>
    </row>
    <row r="28" spans="1:19">
      <c r="A28" s="39" t="s">
        <v>127</v>
      </c>
      <c r="B28" s="310">
        <v>0</v>
      </c>
      <c r="C28" s="310" cm="1">
        <f t="array" ref="C28">_xlfn.IFS(B28&gt;0, 3, B28=0, 1)</f>
        <v>1</v>
      </c>
      <c r="D28" s="310">
        <v>0</v>
      </c>
      <c r="E28" s="311" cm="1">
        <f t="array" ref="E28">_xlfn.IFS(D28&gt;0, 3, D28=0, 1)</f>
        <v>1</v>
      </c>
      <c r="F28" s="310">
        <v>0</v>
      </c>
      <c r="G28" s="311" cm="1">
        <f t="array" ref="G28">_xlfn.IFS(F28&gt;0, 3, F28=0, 1)</f>
        <v>1</v>
      </c>
      <c r="H28" s="310">
        <v>0</v>
      </c>
      <c r="I28" s="311" cm="1">
        <f t="array" ref="I28">_xlfn.IFS(H28&gt;0, 3, H28=0, 1)</f>
        <v>1</v>
      </c>
      <c r="J28" s="310">
        <v>0</v>
      </c>
      <c r="K28" s="311" cm="1">
        <f t="array" ref="K28">_xlfn.IFS(J28&gt;0, 3, J28=0, 1)</f>
        <v>1</v>
      </c>
      <c r="L28" s="310">
        <v>0</v>
      </c>
      <c r="M28" s="311" cm="1">
        <f t="array" ref="M28">_xlfn.IFS(L28&gt;0, 3, L28=0, 1)</f>
        <v>1</v>
      </c>
      <c r="N28" s="310">
        <v>1</v>
      </c>
      <c r="O28" s="311" cm="1">
        <f t="array" ref="O28">_xlfn.IFS(N28&gt;0, 3, N28=0, 1)</f>
        <v>3</v>
      </c>
      <c r="P28" s="310">
        <v>0</v>
      </c>
      <c r="Q28" s="311" cm="1">
        <f t="array" ref="Q28">_xlfn.IFS(P28&gt;0, 3, P28=0, 1)</f>
        <v>1</v>
      </c>
      <c r="R28" s="342">
        <f t="shared" si="0"/>
        <v>1.25</v>
      </c>
      <c r="S28" s="6"/>
    </row>
    <row r="29" spans="1:19">
      <c r="A29" s="39" t="s">
        <v>128</v>
      </c>
      <c r="B29" s="310">
        <v>3</v>
      </c>
      <c r="C29" s="310" cm="1">
        <f t="array" ref="C29">_xlfn.IFS(B29&gt;0, 3, B29=0, 1)</f>
        <v>3</v>
      </c>
      <c r="D29" s="310">
        <v>0</v>
      </c>
      <c r="E29" s="311" cm="1">
        <f t="array" ref="E29">_xlfn.IFS(D29&gt;0, 3, D29=0, 1)</f>
        <v>1</v>
      </c>
      <c r="F29" s="310">
        <v>2</v>
      </c>
      <c r="G29" s="311" cm="1">
        <f t="array" ref="G29">_xlfn.IFS(F29&gt;0, 3, F29=0, 1)</f>
        <v>3</v>
      </c>
      <c r="H29" s="310">
        <v>0</v>
      </c>
      <c r="I29" s="311" cm="1">
        <f t="array" ref="I29">_xlfn.IFS(H29&gt;0, 3, H29=0, 1)</f>
        <v>1</v>
      </c>
      <c r="J29" s="310">
        <v>1</v>
      </c>
      <c r="K29" s="311" cm="1">
        <f t="array" ref="K29">_xlfn.IFS(J29&gt;0, 3, J29=0, 1)</f>
        <v>3</v>
      </c>
      <c r="L29" s="310">
        <v>1</v>
      </c>
      <c r="M29" s="311" cm="1">
        <f t="array" ref="M29">_xlfn.IFS(L29&gt;0, 3, L29=0, 1)</f>
        <v>3</v>
      </c>
      <c r="N29" s="310">
        <v>0</v>
      </c>
      <c r="O29" s="311" cm="1">
        <f t="array" ref="O29">_xlfn.IFS(N29&gt;0, 3, N29=0, 1)</f>
        <v>1</v>
      </c>
      <c r="P29" s="310">
        <v>0</v>
      </c>
      <c r="Q29" s="311" cm="1">
        <f t="array" ref="Q29">_xlfn.IFS(P29&gt;0, 3, P29=0, 1)</f>
        <v>1</v>
      </c>
      <c r="R29" s="342">
        <f t="shared" si="0"/>
        <v>2</v>
      </c>
      <c r="S29" s="6"/>
    </row>
    <row r="30" spans="1:19">
      <c r="A30" s="39" t="s">
        <v>129</v>
      </c>
      <c r="B30" s="310">
        <v>0</v>
      </c>
      <c r="C30" s="310" cm="1">
        <f t="array" ref="C30">_xlfn.IFS(B30&gt;0, 3, B30=0, 1)</f>
        <v>1</v>
      </c>
      <c r="D30" s="310">
        <v>0</v>
      </c>
      <c r="E30" s="311" cm="1">
        <f t="array" ref="E30">_xlfn.IFS(D30&gt;0, 3, D30=0, 1)</f>
        <v>1</v>
      </c>
      <c r="F30" s="310">
        <v>0</v>
      </c>
      <c r="G30" s="311" cm="1">
        <f t="array" ref="G30">_xlfn.IFS(F30&gt;0, 3, F30=0, 1)</f>
        <v>1</v>
      </c>
      <c r="H30" s="310">
        <v>0</v>
      </c>
      <c r="I30" s="311" cm="1">
        <f t="array" ref="I30">_xlfn.IFS(H30&gt;0, 3, H30=0, 1)</f>
        <v>1</v>
      </c>
      <c r="J30" s="310">
        <v>0</v>
      </c>
      <c r="K30" s="311" cm="1">
        <f t="array" ref="K30">_xlfn.IFS(J30&gt;0, 3, J30=0, 1)</f>
        <v>1</v>
      </c>
      <c r="L30" s="310">
        <v>0</v>
      </c>
      <c r="M30" s="311" cm="1">
        <f t="array" ref="M30">_xlfn.IFS(L30&gt;0, 3, L30=0, 1)</f>
        <v>1</v>
      </c>
      <c r="N30" s="310">
        <v>0</v>
      </c>
      <c r="O30" s="311" cm="1">
        <f t="array" ref="O30">_xlfn.IFS(N30&gt;0, 3, N30=0, 1)</f>
        <v>1</v>
      </c>
      <c r="P30" s="310">
        <v>0</v>
      </c>
      <c r="Q30" s="311" cm="1">
        <f t="array" ref="Q30">_xlfn.IFS(P30&gt;0, 3, P30=0, 1)</f>
        <v>1</v>
      </c>
      <c r="R30" s="342">
        <f t="shared" si="0"/>
        <v>1</v>
      </c>
      <c r="S30" s="6"/>
    </row>
    <row r="31" spans="1:19">
      <c r="A31" s="39" t="s">
        <v>130</v>
      </c>
      <c r="B31" s="310">
        <v>0</v>
      </c>
      <c r="C31" s="310" cm="1">
        <f t="array" ref="C31">_xlfn.IFS(B31&gt;0, 3, B31=0, 1)</f>
        <v>1</v>
      </c>
      <c r="D31" s="310">
        <v>0</v>
      </c>
      <c r="E31" s="311" cm="1">
        <f t="array" ref="E31">_xlfn.IFS(D31&gt;0, 3, D31=0, 1)</f>
        <v>1</v>
      </c>
      <c r="F31" s="310">
        <v>0</v>
      </c>
      <c r="G31" s="311" cm="1">
        <f t="array" ref="G31">_xlfn.IFS(F31&gt;0, 3, F31=0, 1)</f>
        <v>1</v>
      </c>
      <c r="H31" s="310">
        <v>2</v>
      </c>
      <c r="I31" s="311" cm="1">
        <f t="array" ref="I31">_xlfn.IFS(H31&gt;0, 3, H31=0, 1)</f>
        <v>3</v>
      </c>
      <c r="J31" s="310">
        <v>0</v>
      </c>
      <c r="K31" s="311" cm="1">
        <f t="array" ref="K31">_xlfn.IFS(J31&gt;0, 3, J31=0, 1)</f>
        <v>1</v>
      </c>
      <c r="L31" s="310">
        <v>0</v>
      </c>
      <c r="M31" s="311" cm="1">
        <f t="array" ref="M31">_xlfn.IFS(L31&gt;0, 3, L31=0, 1)</f>
        <v>1</v>
      </c>
      <c r="N31" s="310">
        <v>1</v>
      </c>
      <c r="O31" s="311" cm="1">
        <f t="array" ref="O31">_xlfn.IFS(N31&gt;0, 3, N31=0, 1)</f>
        <v>3</v>
      </c>
      <c r="P31" s="310">
        <v>0</v>
      </c>
      <c r="Q31" s="311" cm="1">
        <f t="array" ref="Q31">_xlfn.IFS(P31&gt;0, 3, P31=0, 1)</f>
        <v>1</v>
      </c>
      <c r="R31" s="342">
        <f t="shared" si="0"/>
        <v>1.5</v>
      </c>
      <c r="S31" s="6"/>
    </row>
    <row r="32" spans="1:19">
      <c r="A32" s="39" t="s">
        <v>131</v>
      </c>
      <c r="B32" s="310">
        <v>0</v>
      </c>
      <c r="C32" s="310" cm="1">
        <f t="array" ref="C32">_xlfn.IFS(B32&gt;0, 3, B32=0, 1)</f>
        <v>1</v>
      </c>
      <c r="D32" s="310">
        <v>0</v>
      </c>
      <c r="E32" s="311" cm="1">
        <f t="array" ref="E32">_xlfn.IFS(D32&gt;0, 3, D32=0, 1)</f>
        <v>1</v>
      </c>
      <c r="F32" s="310">
        <v>0</v>
      </c>
      <c r="G32" s="311" cm="1">
        <f t="array" ref="G32">_xlfn.IFS(F32&gt;0, 3, F32=0, 1)</f>
        <v>1</v>
      </c>
      <c r="H32" s="310">
        <v>0</v>
      </c>
      <c r="I32" s="311" cm="1">
        <f t="array" ref="I32">_xlfn.IFS(H32&gt;0, 3, H32=0, 1)</f>
        <v>1</v>
      </c>
      <c r="J32" s="310">
        <v>1</v>
      </c>
      <c r="K32" s="311" cm="1">
        <f t="array" ref="K32">_xlfn.IFS(J32&gt;0, 3, J32=0, 1)</f>
        <v>3</v>
      </c>
      <c r="L32" s="310">
        <v>0</v>
      </c>
      <c r="M32" s="311" cm="1">
        <f t="array" ref="M32">_xlfn.IFS(L32&gt;0, 3, L32=0, 1)</f>
        <v>1</v>
      </c>
      <c r="N32" s="310">
        <v>1</v>
      </c>
      <c r="O32" s="311" cm="1">
        <f t="array" ref="O32">_xlfn.IFS(N32&gt;0, 3, N32=0, 1)</f>
        <v>3</v>
      </c>
      <c r="P32" s="310">
        <v>0</v>
      </c>
      <c r="Q32" s="311" cm="1">
        <f t="array" ref="Q32">_xlfn.IFS(P32&gt;0, 3, P32=0, 1)</f>
        <v>1</v>
      </c>
      <c r="R32" s="342">
        <f t="shared" si="0"/>
        <v>1.5</v>
      </c>
      <c r="S32" s="6"/>
    </row>
    <row r="33" spans="1:19">
      <c r="A33" s="39" t="s">
        <v>132</v>
      </c>
      <c r="B33" s="310">
        <v>0</v>
      </c>
      <c r="C33" s="310" cm="1">
        <f t="array" ref="C33">_xlfn.IFS(B33&gt;0, 3, B33=0, 1)</f>
        <v>1</v>
      </c>
      <c r="D33" s="310">
        <v>0</v>
      </c>
      <c r="E33" s="311" cm="1">
        <f t="array" ref="E33">_xlfn.IFS(D33&gt;0, 3, D33=0, 1)</f>
        <v>1</v>
      </c>
      <c r="F33" s="310">
        <v>0</v>
      </c>
      <c r="G33" s="311" cm="1">
        <f t="array" ref="G33">_xlfn.IFS(F33&gt;0, 3, F33=0, 1)</f>
        <v>1</v>
      </c>
      <c r="H33" s="310">
        <v>0</v>
      </c>
      <c r="I33" s="311" cm="1">
        <f t="array" ref="I33">_xlfn.IFS(H33&gt;0, 3, H33=0, 1)</f>
        <v>1</v>
      </c>
      <c r="J33" s="310">
        <v>0</v>
      </c>
      <c r="K33" s="311" cm="1">
        <f t="array" ref="K33">_xlfn.IFS(J33&gt;0, 3, J33=0, 1)</f>
        <v>1</v>
      </c>
      <c r="L33" s="310">
        <v>0</v>
      </c>
      <c r="M33" s="311" cm="1">
        <f t="array" ref="M33">_xlfn.IFS(L33&gt;0, 3, L33=0, 1)</f>
        <v>1</v>
      </c>
      <c r="N33" s="310">
        <v>1</v>
      </c>
      <c r="O33" s="311" cm="1">
        <f t="array" ref="O33">_xlfn.IFS(N33&gt;0, 3, N33=0, 1)</f>
        <v>3</v>
      </c>
      <c r="P33" s="310">
        <v>0</v>
      </c>
      <c r="Q33" s="311" cm="1">
        <f t="array" ref="Q33">_xlfn.IFS(P33&gt;0, 3, P33=0, 1)</f>
        <v>1</v>
      </c>
      <c r="R33" s="342">
        <f t="shared" si="0"/>
        <v>1.25</v>
      </c>
      <c r="S33" s="6"/>
    </row>
    <row r="34" spans="1:19">
      <c r="A34" s="39" t="s">
        <v>133</v>
      </c>
      <c r="B34" s="310">
        <v>0</v>
      </c>
      <c r="C34" s="310" cm="1">
        <f t="array" ref="C34">_xlfn.IFS(B34&gt;0, 3, B34=0, 1)</f>
        <v>1</v>
      </c>
      <c r="D34" s="310">
        <v>0</v>
      </c>
      <c r="E34" s="311" cm="1">
        <f t="array" ref="E34">_xlfn.IFS(D34&gt;0, 3, D34=0, 1)</f>
        <v>1</v>
      </c>
      <c r="F34" s="310">
        <v>0</v>
      </c>
      <c r="G34" s="311" cm="1">
        <f t="array" ref="G34">_xlfn.IFS(F34&gt;0, 3, F34=0, 1)</f>
        <v>1</v>
      </c>
      <c r="H34" s="310">
        <v>0</v>
      </c>
      <c r="I34" s="311" cm="1">
        <f t="array" ref="I34">_xlfn.IFS(H34&gt;0, 3, H34=0, 1)</f>
        <v>1</v>
      </c>
      <c r="J34" s="310">
        <v>0</v>
      </c>
      <c r="K34" s="311" cm="1">
        <f t="array" ref="K34">_xlfn.IFS(J34&gt;0, 3, J34=0, 1)</f>
        <v>1</v>
      </c>
      <c r="L34" s="310">
        <v>0</v>
      </c>
      <c r="M34" s="311" cm="1">
        <f t="array" ref="M34">_xlfn.IFS(L34&gt;0, 3, L34=0, 1)</f>
        <v>1</v>
      </c>
      <c r="N34" s="310">
        <v>0</v>
      </c>
      <c r="O34" s="311" cm="1">
        <f t="array" ref="O34">_xlfn.IFS(N34&gt;0, 3, N34=0, 1)</f>
        <v>1</v>
      </c>
      <c r="P34" s="310">
        <v>0</v>
      </c>
      <c r="Q34" s="311" cm="1">
        <f t="array" ref="Q34">_xlfn.IFS(P34&gt;0, 3, P34=0, 1)</f>
        <v>1</v>
      </c>
      <c r="R34" s="342">
        <f t="shared" si="0"/>
        <v>1</v>
      </c>
      <c r="S34" s="6"/>
    </row>
    <row r="35" spans="1:19">
      <c r="A35" s="39" t="s">
        <v>134</v>
      </c>
      <c r="B35" s="310">
        <v>0</v>
      </c>
      <c r="C35" s="310" cm="1">
        <f t="array" ref="C35">_xlfn.IFS(B35&gt;0, 3, B35=0, 1)</f>
        <v>1</v>
      </c>
      <c r="D35" s="310">
        <v>0</v>
      </c>
      <c r="E35" s="311" cm="1">
        <f t="array" ref="E35">_xlfn.IFS(D35&gt;0, 3, D35=0, 1)</f>
        <v>1</v>
      </c>
      <c r="F35" s="310">
        <v>0</v>
      </c>
      <c r="G35" s="311" cm="1">
        <f t="array" ref="G35">_xlfn.IFS(F35&gt;0, 3, F35=0, 1)</f>
        <v>1</v>
      </c>
      <c r="H35" s="310">
        <v>0</v>
      </c>
      <c r="I35" s="311" cm="1">
        <f t="array" ref="I35">_xlfn.IFS(H35&gt;0, 3, H35=0, 1)</f>
        <v>1</v>
      </c>
      <c r="J35" s="310">
        <v>0</v>
      </c>
      <c r="K35" s="311" cm="1">
        <f t="array" ref="K35">_xlfn.IFS(J35&gt;0, 3, J35=0, 1)</f>
        <v>1</v>
      </c>
      <c r="L35" s="310">
        <v>0</v>
      </c>
      <c r="M35" s="311" cm="1">
        <f t="array" ref="M35">_xlfn.IFS(L35&gt;0, 3, L35=0, 1)</f>
        <v>1</v>
      </c>
      <c r="N35" s="310">
        <v>0</v>
      </c>
      <c r="O35" s="311" cm="1">
        <f t="array" ref="O35">_xlfn.IFS(N35&gt;0, 3, N35=0, 1)</f>
        <v>1</v>
      </c>
      <c r="P35" s="310">
        <v>0</v>
      </c>
      <c r="Q35" s="311" cm="1">
        <f t="array" ref="Q35">_xlfn.IFS(P35&gt;0, 3, P35=0, 1)</f>
        <v>1</v>
      </c>
      <c r="R35" s="342">
        <f t="shared" si="0"/>
        <v>1</v>
      </c>
      <c r="S35" s="6"/>
    </row>
    <row r="36" spans="1:19">
      <c r="A36" s="39" t="s">
        <v>135</v>
      </c>
      <c r="B36" s="310">
        <v>0</v>
      </c>
      <c r="C36" s="310" cm="1">
        <f t="array" ref="C36">_xlfn.IFS(B36&gt;0, 3, B36=0, 1)</f>
        <v>1</v>
      </c>
      <c r="D36" s="310">
        <v>0</v>
      </c>
      <c r="E36" s="311" cm="1">
        <f t="array" ref="E36">_xlfn.IFS(D36&gt;0, 3, D36=0, 1)</f>
        <v>1</v>
      </c>
      <c r="F36" s="310">
        <v>0</v>
      </c>
      <c r="G36" s="311" cm="1">
        <f t="array" ref="G36">_xlfn.IFS(F36&gt;0, 3, F36=0, 1)</f>
        <v>1</v>
      </c>
      <c r="H36" s="310">
        <v>0</v>
      </c>
      <c r="I36" s="311" cm="1">
        <f t="array" ref="I36">_xlfn.IFS(H36&gt;0, 3, H36=0, 1)</f>
        <v>1</v>
      </c>
      <c r="J36" s="310">
        <v>0</v>
      </c>
      <c r="K36" s="311" cm="1">
        <f t="array" ref="K36">_xlfn.IFS(J36&gt;0, 3, J36=0, 1)</f>
        <v>1</v>
      </c>
      <c r="L36" s="310">
        <v>0</v>
      </c>
      <c r="M36" s="311" cm="1">
        <f t="array" ref="M36">_xlfn.IFS(L36&gt;0, 3, L36=0, 1)</f>
        <v>1</v>
      </c>
      <c r="N36" s="310">
        <v>0</v>
      </c>
      <c r="O36" s="311" cm="1">
        <f t="array" ref="O36">_xlfn.IFS(N36&gt;0, 3, N36=0, 1)</f>
        <v>1</v>
      </c>
      <c r="P36" s="310">
        <v>0</v>
      </c>
      <c r="Q36" s="311" cm="1">
        <f t="array" ref="Q36">_xlfn.IFS(P36&gt;0, 3, P36=0, 1)</f>
        <v>1</v>
      </c>
      <c r="R36" s="342">
        <f t="shared" si="0"/>
        <v>1</v>
      </c>
      <c r="S36" s="6"/>
    </row>
    <row r="37" spans="1:19">
      <c r="A37" s="39" t="s">
        <v>136</v>
      </c>
      <c r="B37" s="310">
        <v>0</v>
      </c>
      <c r="C37" s="310" cm="1">
        <f t="array" ref="C37">_xlfn.IFS(B37&gt;0, 3, B37=0, 1)</f>
        <v>1</v>
      </c>
      <c r="D37" s="310">
        <v>0</v>
      </c>
      <c r="E37" s="311" cm="1">
        <f t="array" ref="E37">_xlfn.IFS(D37&gt;0, 3, D37=0, 1)</f>
        <v>1</v>
      </c>
      <c r="F37" s="310">
        <v>0</v>
      </c>
      <c r="G37" s="311" cm="1">
        <f t="array" ref="G37">_xlfn.IFS(F37&gt;0, 3, F37=0, 1)</f>
        <v>1</v>
      </c>
      <c r="H37" s="310">
        <v>0</v>
      </c>
      <c r="I37" s="311" cm="1">
        <f t="array" ref="I37">_xlfn.IFS(H37&gt;0, 3, H37=0, 1)</f>
        <v>1</v>
      </c>
      <c r="J37" s="310">
        <v>0</v>
      </c>
      <c r="K37" s="311" cm="1">
        <f t="array" ref="K37">_xlfn.IFS(J37&gt;0, 3, J37=0, 1)</f>
        <v>1</v>
      </c>
      <c r="L37" s="310">
        <v>0</v>
      </c>
      <c r="M37" s="311" cm="1">
        <f t="array" ref="M37">_xlfn.IFS(L37&gt;0, 3, L37=0, 1)</f>
        <v>1</v>
      </c>
      <c r="N37" s="310">
        <v>0</v>
      </c>
      <c r="O37" s="311" cm="1">
        <f t="array" ref="O37">_xlfn.IFS(N37&gt;0, 3, N37=0, 1)</f>
        <v>1</v>
      </c>
      <c r="P37" s="310">
        <v>0</v>
      </c>
      <c r="Q37" s="311" cm="1">
        <f t="array" ref="Q37">_xlfn.IFS(P37&gt;0, 3, P37=0, 1)</f>
        <v>1</v>
      </c>
      <c r="R37" s="342">
        <f t="shared" si="0"/>
        <v>1</v>
      </c>
      <c r="S37" s="6"/>
    </row>
    <row r="38" spans="1:19">
      <c r="A38" s="39" t="s">
        <v>137</v>
      </c>
      <c r="B38" s="310">
        <v>0</v>
      </c>
      <c r="C38" s="310" cm="1">
        <f t="array" ref="C38">_xlfn.IFS(B38&gt;0, 3, B38=0, 1)</f>
        <v>1</v>
      </c>
      <c r="D38" s="310">
        <v>0</v>
      </c>
      <c r="E38" s="311" cm="1">
        <f t="array" ref="E38">_xlfn.IFS(D38&gt;0, 3, D38=0, 1)</f>
        <v>1</v>
      </c>
      <c r="F38" s="310">
        <v>0</v>
      </c>
      <c r="G38" s="311" cm="1">
        <f t="array" ref="G38">_xlfn.IFS(F38&gt;0, 3, F38=0, 1)</f>
        <v>1</v>
      </c>
      <c r="H38" s="310">
        <v>0</v>
      </c>
      <c r="I38" s="311" cm="1">
        <f t="array" ref="I38">_xlfn.IFS(H38&gt;0, 3, H38=0, 1)</f>
        <v>1</v>
      </c>
      <c r="J38" s="310">
        <v>1</v>
      </c>
      <c r="K38" s="311" cm="1">
        <f t="array" ref="K38">_xlfn.IFS(J38&gt;0, 3, J38=0, 1)</f>
        <v>3</v>
      </c>
      <c r="L38" s="310">
        <v>0</v>
      </c>
      <c r="M38" s="311" cm="1">
        <f t="array" ref="M38">_xlfn.IFS(L38&gt;0, 3, L38=0, 1)</f>
        <v>1</v>
      </c>
      <c r="N38" s="310">
        <v>1</v>
      </c>
      <c r="O38" s="311" cm="1">
        <f t="array" ref="O38">_xlfn.IFS(N38&gt;0, 3, N38=0, 1)</f>
        <v>3</v>
      </c>
      <c r="P38" s="310">
        <v>0</v>
      </c>
      <c r="Q38" s="311" cm="1">
        <f t="array" ref="Q38">_xlfn.IFS(P38&gt;0, 3, P38=0, 1)</f>
        <v>1</v>
      </c>
      <c r="R38" s="342">
        <f t="shared" si="0"/>
        <v>1.5</v>
      </c>
      <c r="S38" s="6"/>
    </row>
    <row r="39" spans="1:19">
      <c r="A39" s="39" t="s">
        <v>138</v>
      </c>
      <c r="B39" s="310">
        <v>1</v>
      </c>
      <c r="C39" s="310" cm="1">
        <f t="array" ref="C39">_xlfn.IFS(B39&gt;0, 3, B39=0, 1)</f>
        <v>3</v>
      </c>
      <c r="D39" s="310">
        <v>0</v>
      </c>
      <c r="E39" s="311" cm="1">
        <f t="array" ref="E39">_xlfn.IFS(D39&gt;0, 3, D39=0, 1)</f>
        <v>1</v>
      </c>
      <c r="F39" s="310">
        <v>0</v>
      </c>
      <c r="G39" s="311" cm="1">
        <f t="array" ref="G39">_xlfn.IFS(F39&gt;0, 3, F39=0, 1)</f>
        <v>1</v>
      </c>
      <c r="H39" s="310">
        <v>0</v>
      </c>
      <c r="I39" s="311" cm="1">
        <f t="array" ref="I39">_xlfn.IFS(H39&gt;0, 3, H39=0, 1)</f>
        <v>1</v>
      </c>
      <c r="J39" s="310">
        <v>0</v>
      </c>
      <c r="K39" s="311" cm="1">
        <f t="array" ref="K39">_xlfn.IFS(J39&gt;0, 3, J39=0, 1)</f>
        <v>1</v>
      </c>
      <c r="L39" s="310">
        <v>1</v>
      </c>
      <c r="M39" s="311" cm="1">
        <f t="array" ref="M39">_xlfn.IFS(L39&gt;0, 3, L39=0, 1)</f>
        <v>3</v>
      </c>
      <c r="N39" s="310">
        <v>0</v>
      </c>
      <c r="O39" s="311" cm="1">
        <f t="array" ref="O39">_xlfn.IFS(N39&gt;0, 3, N39=0, 1)</f>
        <v>1</v>
      </c>
      <c r="P39" s="310">
        <v>0</v>
      </c>
      <c r="Q39" s="311" cm="1">
        <f t="array" ref="Q39">_xlfn.IFS(P39&gt;0, 3, P39=0, 1)</f>
        <v>1</v>
      </c>
      <c r="R39" s="342">
        <f t="shared" si="0"/>
        <v>1.5</v>
      </c>
      <c r="S39" s="6"/>
    </row>
    <row r="40" spans="1:19">
      <c r="A40" s="39" t="s">
        <v>139</v>
      </c>
      <c r="B40" s="310">
        <v>5</v>
      </c>
      <c r="C40" s="310" cm="1">
        <f t="array" ref="C40">_xlfn.IFS(B40&gt;0, 3, B40=0, 1)</f>
        <v>3</v>
      </c>
      <c r="D40" s="310">
        <v>0</v>
      </c>
      <c r="E40" s="311" cm="1">
        <f t="array" ref="E40">_xlfn.IFS(D40&gt;0, 3, D40=0, 1)</f>
        <v>1</v>
      </c>
      <c r="F40" s="310">
        <v>3</v>
      </c>
      <c r="G40" s="311" cm="1">
        <f t="array" ref="G40">_xlfn.IFS(F40&gt;0, 3, F40=0, 1)</f>
        <v>3</v>
      </c>
      <c r="H40" s="310">
        <v>0</v>
      </c>
      <c r="I40" s="311" cm="1">
        <f t="array" ref="I40">_xlfn.IFS(H40&gt;0, 3, H40=0, 1)</f>
        <v>1</v>
      </c>
      <c r="J40" s="310">
        <v>0</v>
      </c>
      <c r="K40" s="311" cm="1">
        <f t="array" ref="K40">_xlfn.IFS(J40&gt;0, 3, J40=0, 1)</f>
        <v>1</v>
      </c>
      <c r="L40" s="310">
        <v>0</v>
      </c>
      <c r="M40" s="311" cm="1">
        <f t="array" ref="M40">_xlfn.IFS(L40&gt;0, 3, L40=0, 1)</f>
        <v>1</v>
      </c>
      <c r="N40" s="310">
        <v>0</v>
      </c>
      <c r="O40" s="311" cm="1">
        <f t="array" ref="O40">_xlfn.IFS(N40&gt;0, 3, N40=0, 1)</f>
        <v>1</v>
      </c>
      <c r="P40" s="310">
        <v>0</v>
      </c>
      <c r="Q40" s="311" cm="1">
        <f t="array" ref="Q40">_xlfn.IFS(P40&gt;0, 3, P40=0, 1)</f>
        <v>1</v>
      </c>
      <c r="R40" s="342">
        <f t="shared" si="0"/>
        <v>1.5</v>
      </c>
      <c r="S40" s="6"/>
    </row>
    <row r="41" spans="1:19">
      <c r="A41" s="39" t="s">
        <v>140</v>
      </c>
      <c r="B41" s="310">
        <v>3</v>
      </c>
      <c r="C41" s="310" cm="1">
        <f t="array" ref="C41">_xlfn.IFS(B41&gt;0, 3, B41=0, 1)</f>
        <v>3</v>
      </c>
      <c r="D41" s="310">
        <v>0</v>
      </c>
      <c r="E41" s="311" cm="1">
        <f t="array" ref="E41">_xlfn.IFS(D41&gt;0, 3, D41=0, 1)</f>
        <v>1</v>
      </c>
      <c r="F41" s="310">
        <v>1</v>
      </c>
      <c r="G41" s="311" cm="1">
        <f t="array" ref="G41">_xlfn.IFS(F41&gt;0, 3, F41=0, 1)</f>
        <v>3</v>
      </c>
      <c r="H41" s="310">
        <v>0</v>
      </c>
      <c r="I41" s="311" cm="1">
        <f t="array" ref="I41">_xlfn.IFS(H41&gt;0, 3, H41=0, 1)</f>
        <v>1</v>
      </c>
      <c r="J41" s="310">
        <v>1</v>
      </c>
      <c r="K41" s="311" cm="1">
        <f t="array" ref="K41">_xlfn.IFS(J41&gt;0, 3, J41=0, 1)</f>
        <v>3</v>
      </c>
      <c r="L41" s="310">
        <v>0</v>
      </c>
      <c r="M41" s="311" cm="1">
        <f t="array" ref="M41">_xlfn.IFS(L41&gt;0, 3, L41=0, 1)</f>
        <v>1</v>
      </c>
      <c r="N41" s="310">
        <v>0</v>
      </c>
      <c r="O41" s="311" cm="1">
        <f t="array" ref="O41">_xlfn.IFS(N41&gt;0, 3, N41=0, 1)</f>
        <v>1</v>
      </c>
      <c r="P41" s="310">
        <v>0</v>
      </c>
      <c r="Q41" s="311" cm="1">
        <f t="array" ref="Q41">_xlfn.IFS(P41&gt;0, 3, P41=0, 1)</f>
        <v>1</v>
      </c>
      <c r="R41" s="342">
        <f t="shared" si="0"/>
        <v>1.75</v>
      </c>
      <c r="S41" s="6"/>
    </row>
    <row r="42" spans="1:19">
      <c r="A42" s="39" t="s">
        <v>141</v>
      </c>
      <c r="B42" s="310">
        <v>0</v>
      </c>
      <c r="C42" s="310" cm="1">
        <f t="array" ref="C42">_xlfn.IFS(B42&gt;0, 3, B42=0, 1)</f>
        <v>1</v>
      </c>
      <c r="D42" s="310">
        <v>0</v>
      </c>
      <c r="E42" s="311" cm="1">
        <f t="array" ref="E42">_xlfn.IFS(D42&gt;0, 3, D42=0, 1)</f>
        <v>1</v>
      </c>
      <c r="F42" s="310">
        <v>0</v>
      </c>
      <c r="G42" s="311" cm="1">
        <f t="array" ref="G42">_xlfn.IFS(F42&gt;0, 3, F42=0, 1)</f>
        <v>1</v>
      </c>
      <c r="H42" s="310">
        <v>0</v>
      </c>
      <c r="I42" s="311" cm="1">
        <f t="array" ref="I42">_xlfn.IFS(H42&gt;0, 3, H42=0, 1)</f>
        <v>1</v>
      </c>
      <c r="J42" s="310">
        <v>0</v>
      </c>
      <c r="K42" s="311" cm="1">
        <f t="array" ref="K42">_xlfn.IFS(J42&gt;0, 3, J42=0, 1)</f>
        <v>1</v>
      </c>
      <c r="L42" s="310">
        <v>0</v>
      </c>
      <c r="M42" s="311" cm="1">
        <f t="array" ref="M42">_xlfn.IFS(L42&gt;0, 3, L42=0, 1)</f>
        <v>1</v>
      </c>
      <c r="N42" s="310">
        <v>0</v>
      </c>
      <c r="O42" s="311" cm="1">
        <f t="array" ref="O42">_xlfn.IFS(N42&gt;0, 3, N42=0, 1)</f>
        <v>1</v>
      </c>
      <c r="P42" s="310">
        <v>1</v>
      </c>
      <c r="Q42" s="311" cm="1">
        <f t="array" ref="Q42">_xlfn.IFS(P42&gt;0, 3, P42=0, 1)</f>
        <v>3</v>
      </c>
      <c r="R42" s="342">
        <f t="shared" si="0"/>
        <v>1.25</v>
      </c>
      <c r="S42" s="6"/>
    </row>
    <row r="43" spans="1:19">
      <c r="A43" s="39" t="s">
        <v>142</v>
      </c>
      <c r="B43" s="310">
        <v>0</v>
      </c>
      <c r="C43" s="310" cm="1">
        <f t="array" ref="C43">_xlfn.IFS(B43&gt;0, 3, B43=0, 1)</f>
        <v>1</v>
      </c>
      <c r="D43" s="310">
        <v>0</v>
      </c>
      <c r="E43" s="311" cm="1">
        <f t="array" ref="E43">_xlfn.IFS(D43&gt;0, 3, D43=0, 1)</f>
        <v>1</v>
      </c>
      <c r="F43" s="310">
        <v>0</v>
      </c>
      <c r="G43" s="311" cm="1">
        <f t="array" ref="G43">_xlfn.IFS(F43&gt;0, 3, F43=0, 1)</f>
        <v>1</v>
      </c>
      <c r="H43" s="310">
        <v>0</v>
      </c>
      <c r="I43" s="311" cm="1">
        <f t="array" ref="I43">_xlfn.IFS(H43&gt;0, 3, H43=0, 1)</f>
        <v>1</v>
      </c>
      <c r="J43" s="310">
        <v>0</v>
      </c>
      <c r="K43" s="311" cm="1">
        <f t="array" ref="K43">_xlfn.IFS(J43&gt;0, 3, J43=0, 1)</f>
        <v>1</v>
      </c>
      <c r="L43" s="310">
        <v>0</v>
      </c>
      <c r="M43" s="311" cm="1">
        <f t="array" ref="M43">_xlfn.IFS(L43&gt;0, 3, L43=0, 1)</f>
        <v>1</v>
      </c>
      <c r="N43" s="310">
        <v>1</v>
      </c>
      <c r="O43" s="311" cm="1">
        <f t="array" ref="O43">_xlfn.IFS(N43&gt;0, 3, N43=0, 1)</f>
        <v>3</v>
      </c>
      <c r="P43" s="310">
        <v>0</v>
      </c>
      <c r="Q43" s="311" cm="1">
        <f t="array" ref="Q43">_xlfn.IFS(P43&gt;0, 3, P43=0, 1)</f>
        <v>1</v>
      </c>
      <c r="R43" s="342">
        <f t="shared" si="0"/>
        <v>1.25</v>
      </c>
      <c r="S43" s="6"/>
    </row>
    <row r="44" spans="1:19">
      <c r="A44" s="39" t="s">
        <v>143</v>
      </c>
      <c r="B44" s="310">
        <v>1</v>
      </c>
      <c r="C44" s="310" cm="1">
        <f t="array" ref="C44">_xlfn.IFS(B44&gt;0, 3, B44=0, 1)</f>
        <v>3</v>
      </c>
      <c r="D44" s="310">
        <v>0</v>
      </c>
      <c r="E44" s="311" cm="1">
        <f t="array" ref="E44">_xlfn.IFS(D44&gt;0, 3, D44=0, 1)</f>
        <v>1</v>
      </c>
      <c r="F44" s="310">
        <v>0</v>
      </c>
      <c r="G44" s="311" cm="1">
        <f t="array" ref="G44">_xlfn.IFS(F44&gt;0, 3, F44=0, 1)</f>
        <v>1</v>
      </c>
      <c r="H44" s="310">
        <v>0</v>
      </c>
      <c r="I44" s="311" cm="1">
        <f t="array" ref="I44">_xlfn.IFS(H44&gt;0, 3, H44=0, 1)</f>
        <v>1</v>
      </c>
      <c r="J44" s="310">
        <v>0</v>
      </c>
      <c r="K44" s="311" cm="1">
        <f t="array" ref="K44">_xlfn.IFS(J44&gt;0, 3, J44=0, 1)</f>
        <v>1</v>
      </c>
      <c r="L44" s="310">
        <v>0</v>
      </c>
      <c r="M44" s="311" cm="1">
        <f t="array" ref="M44">_xlfn.IFS(L44&gt;0, 3, L44=0, 1)</f>
        <v>1</v>
      </c>
      <c r="N44" s="310">
        <v>0</v>
      </c>
      <c r="O44" s="311" cm="1">
        <f t="array" ref="O44">_xlfn.IFS(N44&gt;0, 3, N44=0, 1)</f>
        <v>1</v>
      </c>
      <c r="P44" s="310">
        <v>0</v>
      </c>
      <c r="Q44" s="311" cm="1">
        <f t="array" ref="Q44">_xlfn.IFS(P44&gt;0, 3, P44=0, 1)</f>
        <v>1</v>
      </c>
      <c r="R44" s="342">
        <f t="shared" si="0"/>
        <v>1.25</v>
      </c>
      <c r="S44" s="6"/>
    </row>
    <row r="45" spans="1:19">
      <c r="A45" s="39" t="s">
        <v>144</v>
      </c>
      <c r="B45" s="310">
        <v>2</v>
      </c>
      <c r="C45" s="310" cm="1">
        <f t="array" ref="C45">_xlfn.IFS(B45&gt;0, 3, B45=0, 1)</f>
        <v>3</v>
      </c>
      <c r="D45" s="310">
        <v>0</v>
      </c>
      <c r="E45" s="311" cm="1">
        <f t="array" ref="E45">_xlfn.IFS(D45&gt;0, 3, D45=0, 1)</f>
        <v>1</v>
      </c>
      <c r="F45" s="310">
        <v>0</v>
      </c>
      <c r="G45" s="311" cm="1">
        <f t="array" ref="G45">_xlfn.IFS(F45&gt;0, 3, F45=0, 1)</f>
        <v>1</v>
      </c>
      <c r="H45" s="310">
        <v>0</v>
      </c>
      <c r="I45" s="311" cm="1">
        <f t="array" ref="I45">_xlfn.IFS(H45&gt;0, 3, H45=0, 1)</f>
        <v>1</v>
      </c>
      <c r="J45" s="310">
        <v>0</v>
      </c>
      <c r="K45" s="311" cm="1">
        <f t="array" ref="K45">_xlfn.IFS(J45&gt;0, 3, J45=0, 1)</f>
        <v>1</v>
      </c>
      <c r="L45" s="310">
        <v>0</v>
      </c>
      <c r="M45" s="311" cm="1">
        <f t="array" ref="M45">_xlfn.IFS(L45&gt;0, 3, L45=0, 1)</f>
        <v>1</v>
      </c>
      <c r="N45" s="310">
        <v>4</v>
      </c>
      <c r="O45" s="311" cm="1">
        <f t="array" ref="O45">_xlfn.IFS(N45&gt;0, 3, N45=0, 1)</f>
        <v>3</v>
      </c>
      <c r="P45" s="310">
        <v>0</v>
      </c>
      <c r="Q45" s="311" cm="1">
        <f t="array" ref="Q45">_xlfn.IFS(P45&gt;0, 3, P45=0, 1)</f>
        <v>1</v>
      </c>
      <c r="R45" s="342">
        <f t="shared" si="0"/>
        <v>1.5</v>
      </c>
      <c r="S45" s="6"/>
    </row>
    <row r="46" spans="1:19">
      <c r="A46" s="39" t="s">
        <v>145</v>
      </c>
      <c r="B46" s="310">
        <v>3</v>
      </c>
      <c r="C46" s="310" cm="1">
        <f t="array" ref="C46">_xlfn.IFS(B46&gt;0, 3, B46=0, 1)</f>
        <v>3</v>
      </c>
      <c r="D46" s="310">
        <v>0</v>
      </c>
      <c r="E46" s="311" cm="1">
        <f t="array" ref="E46">_xlfn.IFS(D46&gt;0, 3, D46=0, 1)</f>
        <v>1</v>
      </c>
      <c r="F46" s="310">
        <v>0</v>
      </c>
      <c r="G46" s="311" cm="1">
        <f t="array" ref="G46">_xlfn.IFS(F46&gt;0, 3, F46=0, 1)</f>
        <v>1</v>
      </c>
      <c r="H46" s="310">
        <v>0</v>
      </c>
      <c r="I46" s="311" cm="1">
        <f t="array" ref="I46">_xlfn.IFS(H46&gt;0, 3, H46=0, 1)</f>
        <v>1</v>
      </c>
      <c r="J46" s="310">
        <v>0</v>
      </c>
      <c r="K46" s="311" cm="1">
        <f t="array" ref="K46">_xlfn.IFS(J46&gt;0, 3, J46=0, 1)</f>
        <v>1</v>
      </c>
      <c r="L46" s="310">
        <v>0</v>
      </c>
      <c r="M46" s="311" cm="1">
        <f t="array" ref="M46">_xlfn.IFS(L46&gt;0, 3, L46=0, 1)</f>
        <v>1</v>
      </c>
      <c r="N46" s="310">
        <v>0</v>
      </c>
      <c r="O46" s="311" cm="1">
        <f t="array" ref="O46">_xlfn.IFS(N46&gt;0, 3, N46=0, 1)</f>
        <v>1</v>
      </c>
      <c r="P46" s="310">
        <v>0</v>
      </c>
      <c r="Q46" s="311" cm="1">
        <f t="array" ref="Q46">_xlfn.IFS(P46&gt;0, 3, P46=0, 1)</f>
        <v>1</v>
      </c>
      <c r="R46" s="342">
        <f t="shared" si="0"/>
        <v>1.25</v>
      </c>
      <c r="S46" s="6"/>
    </row>
    <row r="47" spans="1:19">
      <c r="A47" s="39" t="s">
        <v>146</v>
      </c>
      <c r="B47" s="310">
        <v>0</v>
      </c>
      <c r="C47" s="310" cm="1">
        <f t="array" ref="C47">_xlfn.IFS(B47&gt;0, 3, B47=0, 1)</f>
        <v>1</v>
      </c>
      <c r="D47" s="310">
        <v>0</v>
      </c>
      <c r="E47" s="311" cm="1">
        <f t="array" ref="E47">_xlfn.IFS(D47&gt;0, 3, D47=0, 1)</f>
        <v>1</v>
      </c>
      <c r="F47" s="310">
        <v>0</v>
      </c>
      <c r="G47" s="311" cm="1">
        <f t="array" ref="G47">_xlfn.IFS(F47&gt;0, 3, F47=0, 1)</f>
        <v>1</v>
      </c>
      <c r="H47" s="310">
        <v>0</v>
      </c>
      <c r="I47" s="311" cm="1">
        <f t="array" ref="I47">_xlfn.IFS(H47&gt;0, 3, H47=0, 1)</f>
        <v>1</v>
      </c>
      <c r="J47" s="310">
        <v>0</v>
      </c>
      <c r="K47" s="311" cm="1">
        <f t="array" ref="K47">_xlfn.IFS(J47&gt;0, 3, J47=0, 1)</f>
        <v>1</v>
      </c>
      <c r="L47" s="310">
        <v>0</v>
      </c>
      <c r="M47" s="311" cm="1">
        <f t="array" ref="M47">_xlfn.IFS(L47&gt;0, 3, L47=0, 1)</f>
        <v>1</v>
      </c>
      <c r="N47" s="310">
        <v>0</v>
      </c>
      <c r="O47" s="311" cm="1">
        <f t="array" ref="O47">_xlfn.IFS(N47&gt;0, 3, N47=0, 1)</f>
        <v>1</v>
      </c>
      <c r="P47" s="310">
        <v>0</v>
      </c>
      <c r="Q47" s="311" cm="1">
        <f t="array" ref="Q47">_xlfn.IFS(P47&gt;0, 3, P47=0, 1)</f>
        <v>1</v>
      </c>
      <c r="R47" s="342">
        <f t="shared" si="0"/>
        <v>1</v>
      </c>
      <c r="S47" s="6"/>
    </row>
    <row r="48" spans="1:19">
      <c r="A48" s="39" t="s">
        <v>147</v>
      </c>
      <c r="B48" s="310">
        <v>0</v>
      </c>
      <c r="C48" s="310" cm="1">
        <f t="array" ref="C48">_xlfn.IFS(B48&gt;0, 3, B48=0, 1)</f>
        <v>1</v>
      </c>
      <c r="D48" s="310">
        <v>0</v>
      </c>
      <c r="E48" s="311" cm="1">
        <f t="array" ref="E48">_xlfn.IFS(D48&gt;0, 3, D48=0, 1)</f>
        <v>1</v>
      </c>
      <c r="F48" s="310">
        <v>0</v>
      </c>
      <c r="G48" s="311" cm="1">
        <f t="array" ref="G48">_xlfn.IFS(F48&gt;0, 3, F48=0, 1)</f>
        <v>1</v>
      </c>
      <c r="H48" s="310">
        <v>0</v>
      </c>
      <c r="I48" s="311" cm="1">
        <f t="array" ref="I48">_xlfn.IFS(H48&gt;0, 3, H48=0, 1)</f>
        <v>1</v>
      </c>
      <c r="J48" s="310">
        <v>0</v>
      </c>
      <c r="K48" s="311" cm="1">
        <f t="array" ref="K48">_xlfn.IFS(J48&gt;0, 3, J48=0, 1)</f>
        <v>1</v>
      </c>
      <c r="L48" s="310">
        <v>0</v>
      </c>
      <c r="M48" s="311" cm="1">
        <f t="array" ref="M48">_xlfn.IFS(L48&gt;0, 3, L48=0, 1)</f>
        <v>1</v>
      </c>
      <c r="N48" s="310">
        <v>0</v>
      </c>
      <c r="O48" s="311" cm="1">
        <f t="array" ref="O48">_xlfn.IFS(N48&gt;0, 3, N48=0, 1)</f>
        <v>1</v>
      </c>
      <c r="P48" s="310">
        <v>0</v>
      </c>
      <c r="Q48" s="311" cm="1">
        <f t="array" ref="Q48">_xlfn.IFS(P48&gt;0, 3, P48=0, 1)</f>
        <v>1</v>
      </c>
      <c r="R48" s="342">
        <f t="shared" si="0"/>
        <v>1</v>
      </c>
      <c r="S48" s="6"/>
    </row>
    <row r="49" spans="1:19">
      <c r="A49" s="39" t="s">
        <v>148</v>
      </c>
      <c r="B49" s="310">
        <v>0</v>
      </c>
      <c r="C49" s="310" cm="1">
        <f t="array" ref="C49">_xlfn.IFS(B49&gt;0, 3, B49=0, 1)</f>
        <v>1</v>
      </c>
      <c r="D49" s="310">
        <v>0</v>
      </c>
      <c r="E49" s="311" cm="1">
        <f t="array" ref="E49">_xlfn.IFS(D49&gt;0, 3, D49=0, 1)</f>
        <v>1</v>
      </c>
      <c r="F49" s="310">
        <v>0</v>
      </c>
      <c r="G49" s="311" cm="1">
        <f t="array" ref="G49">_xlfn.IFS(F49&gt;0, 3, F49=0, 1)</f>
        <v>1</v>
      </c>
      <c r="H49" s="310">
        <v>0</v>
      </c>
      <c r="I49" s="311" cm="1">
        <f t="array" ref="I49">_xlfn.IFS(H49&gt;0, 3, H49=0, 1)</f>
        <v>1</v>
      </c>
      <c r="J49" s="310">
        <v>0</v>
      </c>
      <c r="K49" s="311" cm="1">
        <f t="array" ref="K49">_xlfn.IFS(J49&gt;0, 3, J49=0, 1)</f>
        <v>1</v>
      </c>
      <c r="L49" s="310">
        <v>0</v>
      </c>
      <c r="M49" s="311" cm="1">
        <f t="array" ref="M49">_xlfn.IFS(L49&gt;0, 3, L49=0, 1)</f>
        <v>1</v>
      </c>
      <c r="N49" s="310">
        <v>0</v>
      </c>
      <c r="O49" s="311" cm="1">
        <f t="array" ref="O49">_xlfn.IFS(N49&gt;0, 3, N49=0, 1)</f>
        <v>1</v>
      </c>
      <c r="P49" s="310">
        <v>0</v>
      </c>
      <c r="Q49" s="311" cm="1">
        <f t="array" ref="Q49">_xlfn.IFS(P49&gt;0, 3, P49=0, 1)</f>
        <v>1</v>
      </c>
      <c r="R49" s="342">
        <f t="shared" si="0"/>
        <v>1</v>
      </c>
      <c r="S49" s="6"/>
    </row>
    <row r="50" spans="1:19">
      <c r="A50" s="39" t="s">
        <v>149</v>
      </c>
      <c r="B50" s="310">
        <v>2</v>
      </c>
      <c r="C50" s="310" cm="1">
        <f t="array" ref="C50">_xlfn.IFS(B50&gt;0, 3, B50=0, 1)</f>
        <v>3</v>
      </c>
      <c r="D50" s="310">
        <v>0</v>
      </c>
      <c r="E50" s="311" cm="1">
        <f t="array" ref="E50">_xlfn.IFS(D50&gt;0, 3, D50=0, 1)</f>
        <v>1</v>
      </c>
      <c r="F50" s="310">
        <v>0</v>
      </c>
      <c r="G50" s="311" cm="1">
        <f t="array" ref="G50">_xlfn.IFS(F50&gt;0, 3, F50=0, 1)</f>
        <v>1</v>
      </c>
      <c r="H50" s="310">
        <v>0</v>
      </c>
      <c r="I50" s="311" cm="1">
        <f t="array" ref="I50">_xlfn.IFS(H50&gt;0, 3, H50=0, 1)</f>
        <v>1</v>
      </c>
      <c r="J50" s="310">
        <v>0</v>
      </c>
      <c r="K50" s="311" cm="1">
        <f t="array" ref="K50">_xlfn.IFS(J50&gt;0, 3, J50=0, 1)</f>
        <v>1</v>
      </c>
      <c r="L50" s="310">
        <v>0</v>
      </c>
      <c r="M50" s="311" cm="1">
        <f t="array" ref="M50">_xlfn.IFS(L50&gt;0, 3, L50=0, 1)</f>
        <v>1</v>
      </c>
      <c r="N50" s="310">
        <v>2</v>
      </c>
      <c r="O50" s="311" cm="1">
        <f t="array" ref="O50">_xlfn.IFS(N50&gt;0, 3, N50=0, 1)</f>
        <v>3</v>
      </c>
      <c r="P50" s="310">
        <v>0</v>
      </c>
      <c r="Q50" s="311" cm="1">
        <f t="array" ref="Q50">_xlfn.IFS(P50&gt;0, 3, P50=0, 1)</f>
        <v>1</v>
      </c>
      <c r="R50" s="342">
        <f t="shared" si="0"/>
        <v>1.5</v>
      </c>
      <c r="S50" s="6"/>
    </row>
    <row r="51" spans="1:19">
      <c r="A51" s="39" t="s">
        <v>150</v>
      </c>
      <c r="B51" s="310">
        <v>7</v>
      </c>
      <c r="C51" s="310" cm="1">
        <f t="array" ref="C51">_xlfn.IFS(B51&gt;0, 3, B51=0, 1)</f>
        <v>3</v>
      </c>
      <c r="D51" s="310">
        <v>0</v>
      </c>
      <c r="E51" s="311" cm="1">
        <f t="array" ref="E51">_xlfn.IFS(D51&gt;0, 3, D51=0, 1)</f>
        <v>1</v>
      </c>
      <c r="F51" s="310">
        <v>0</v>
      </c>
      <c r="G51" s="311" cm="1">
        <f t="array" ref="G51">_xlfn.IFS(F51&gt;0, 3, F51=0, 1)</f>
        <v>1</v>
      </c>
      <c r="H51" s="310">
        <v>0</v>
      </c>
      <c r="I51" s="311" cm="1">
        <f t="array" ref="I51">_xlfn.IFS(H51&gt;0, 3, H51=0, 1)</f>
        <v>1</v>
      </c>
      <c r="J51" s="310">
        <v>1</v>
      </c>
      <c r="K51" s="311" cm="1">
        <f t="array" ref="K51">_xlfn.IFS(J51&gt;0, 3, J51=0, 1)</f>
        <v>3</v>
      </c>
      <c r="L51" s="310">
        <v>1</v>
      </c>
      <c r="M51" s="311" cm="1">
        <f t="array" ref="M51">_xlfn.IFS(L51&gt;0, 3, L51=0, 1)</f>
        <v>3</v>
      </c>
      <c r="N51" s="310">
        <v>4</v>
      </c>
      <c r="O51" s="311" cm="1">
        <f t="array" ref="O51">_xlfn.IFS(N51&gt;0, 3, N51=0, 1)</f>
        <v>3</v>
      </c>
      <c r="P51" s="310">
        <v>0</v>
      </c>
      <c r="Q51" s="311" cm="1">
        <f t="array" ref="Q51">_xlfn.IFS(P51&gt;0, 3, P51=0, 1)</f>
        <v>1</v>
      </c>
      <c r="R51" s="342">
        <f t="shared" si="0"/>
        <v>2</v>
      </c>
      <c r="S51" s="6"/>
    </row>
    <row r="52" spans="1:19">
      <c r="A52" s="39" t="s">
        <v>151</v>
      </c>
      <c r="B52" s="310">
        <v>0</v>
      </c>
      <c r="C52" s="310" cm="1">
        <f t="array" ref="C52">_xlfn.IFS(B52&gt;0, 3, B52=0, 1)</f>
        <v>1</v>
      </c>
      <c r="D52" s="310">
        <v>0</v>
      </c>
      <c r="E52" s="311" cm="1">
        <f t="array" ref="E52">_xlfn.IFS(D52&gt;0, 3, D52=0, 1)</f>
        <v>1</v>
      </c>
      <c r="F52" s="310">
        <v>0</v>
      </c>
      <c r="G52" s="311" cm="1">
        <f t="array" ref="G52">_xlfn.IFS(F52&gt;0, 3, F52=0, 1)</f>
        <v>1</v>
      </c>
      <c r="H52" s="310">
        <v>0</v>
      </c>
      <c r="I52" s="311" cm="1">
        <f t="array" ref="I52">_xlfn.IFS(H52&gt;0, 3, H52=0, 1)</f>
        <v>1</v>
      </c>
      <c r="J52" s="310">
        <v>0</v>
      </c>
      <c r="K52" s="311" cm="1">
        <f t="array" ref="K52">_xlfn.IFS(J52&gt;0, 3, J52=0, 1)</f>
        <v>1</v>
      </c>
      <c r="L52" s="310">
        <v>0</v>
      </c>
      <c r="M52" s="311" cm="1">
        <f t="array" ref="M52">_xlfn.IFS(L52&gt;0, 3, L52=0, 1)</f>
        <v>1</v>
      </c>
      <c r="N52" s="310">
        <v>1</v>
      </c>
      <c r="O52" s="311" cm="1">
        <f t="array" ref="O52">_xlfn.IFS(N52&gt;0, 3, N52=0, 1)</f>
        <v>3</v>
      </c>
      <c r="P52" s="310">
        <v>0</v>
      </c>
      <c r="Q52" s="311" cm="1">
        <f t="array" ref="Q52">_xlfn.IFS(P52&gt;0, 3, P52=0, 1)</f>
        <v>1</v>
      </c>
      <c r="R52" s="342">
        <f t="shared" si="0"/>
        <v>1.25</v>
      </c>
      <c r="S52" s="6"/>
    </row>
    <row r="53" spans="1:19">
      <c r="A53" s="39" t="s">
        <v>152</v>
      </c>
      <c r="B53" s="310">
        <v>0</v>
      </c>
      <c r="C53" s="310" cm="1">
        <f t="array" ref="C53">_xlfn.IFS(B53&gt;0, 3, B53=0, 1)</f>
        <v>1</v>
      </c>
      <c r="D53" s="310">
        <v>0</v>
      </c>
      <c r="E53" s="311" cm="1">
        <f t="array" ref="E53">_xlfn.IFS(D53&gt;0, 3, D53=0, 1)</f>
        <v>1</v>
      </c>
      <c r="F53" s="310">
        <v>0</v>
      </c>
      <c r="G53" s="311" cm="1">
        <f t="array" ref="G53">_xlfn.IFS(F53&gt;0, 3, F53=0, 1)</f>
        <v>1</v>
      </c>
      <c r="H53" s="310">
        <v>0</v>
      </c>
      <c r="I53" s="311" cm="1">
        <f t="array" ref="I53">_xlfn.IFS(H53&gt;0, 3, H53=0, 1)</f>
        <v>1</v>
      </c>
      <c r="J53" s="310">
        <v>0</v>
      </c>
      <c r="K53" s="311" cm="1">
        <f t="array" ref="K53">_xlfn.IFS(J53&gt;0, 3, J53=0, 1)</f>
        <v>1</v>
      </c>
      <c r="L53" s="310">
        <v>0</v>
      </c>
      <c r="M53" s="311" cm="1">
        <f t="array" ref="M53">_xlfn.IFS(L53&gt;0, 3, L53=0, 1)</f>
        <v>1</v>
      </c>
      <c r="N53" s="310">
        <v>0</v>
      </c>
      <c r="O53" s="311" cm="1">
        <f t="array" ref="O53">_xlfn.IFS(N53&gt;0, 3, N53=0, 1)</f>
        <v>1</v>
      </c>
      <c r="P53" s="310">
        <v>0</v>
      </c>
      <c r="Q53" s="311" cm="1">
        <f t="array" ref="Q53">_xlfn.IFS(P53&gt;0, 3, P53=0, 1)</f>
        <v>1</v>
      </c>
      <c r="R53" s="342">
        <f t="shared" si="0"/>
        <v>1</v>
      </c>
      <c r="S53" s="6"/>
    </row>
    <row r="54" spans="1:19">
      <c r="A54" s="39" t="s">
        <v>153</v>
      </c>
      <c r="B54" s="310">
        <v>0</v>
      </c>
      <c r="C54" s="310" cm="1">
        <f t="array" ref="C54">_xlfn.IFS(B54&gt;0, 3, B54=0, 1)</f>
        <v>1</v>
      </c>
      <c r="D54" s="310">
        <v>1</v>
      </c>
      <c r="E54" s="311" cm="1">
        <f t="array" ref="E54">_xlfn.IFS(D54&gt;0, 3, D54=0, 1)</f>
        <v>3</v>
      </c>
      <c r="F54" s="310">
        <v>0</v>
      </c>
      <c r="G54" s="311" cm="1">
        <f t="array" ref="G54">_xlfn.IFS(F54&gt;0, 3, F54=0, 1)</f>
        <v>1</v>
      </c>
      <c r="H54" s="310">
        <v>0</v>
      </c>
      <c r="I54" s="311" cm="1">
        <f t="array" ref="I54">_xlfn.IFS(H54&gt;0, 3, H54=0, 1)</f>
        <v>1</v>
      </c>
      <c r="J54" s="310">
        <v>0</v>
      </c>
      <c r="K54" s="311" cm="1">
        <f t="array" ref="K54">_xlfn.IFS(J54&gt;0, 3, J54=0, 1)</f>
        <v>1</v>
      </c>
      <c r="L54" s="310">
        <v>0</v>
      </c>
      <c r="M54" s="311" cm="1">
        <f t="array" ref="M54">_xlfn.IFS(L54&gt;0, 3, L54=0, 1)</f>
        <v>1</v>
      </c>
      <c r="N54" s="310">
        <v>0</v>
      </c>
      <c r="O54" s="311" cm="1">
        <f t="array" ref="O54">_xlfn.IFS(N54&gt;0, 3, N54=0, 1)</f>
        <v>1</v>
      </c>
      <c r="P54" s="310">
        <v>0</v>
      </c>
      <c r="Q54" s="311" cm="1">
        <f t="array" ref="Q54">_xlfn.IFS(P54&gt;0, 3, P54=0, 1)</f>
        <v>1</v>
      </c>
      <c r="R54" s="342">
        <f t="shared" si="0"/>
        <v>1.25</v>
      </c>
      <c r="S54" s="6"/>
    </row>
    <row r="55" spans="1:19">
      <c r="A55" s="39" t="s">
        <v>154</v>
      </c>
      <c r="B55" s="310">
        <v>1</v>
      </c>
      <c r="C55" s="310" cm="1">
        <f t="array" ref="C55">_xlfn.IFS(B55&gt;0, 3, B55=0, 1)</f>
        <v>3</v>
      </c>
      <c r="D55" s="310">
        <v>2</v>
      </c>
      <c r="E55" s="311" cm="1">
        <f t="array" ref="E55">_xlfn.IFS(D55&gt;0, 3, D55=0, 1)</f>
        <v>3</v>
      </c>
      <c r="F55" s="310">
        <v>0</v>
      </c>
      <c r="G55" s="311" cm="1">
        <f t="array" ref="G55">_xlfn.IFS(F55&gt;0, 3, F55=0, 1)</f>
        <v>1</v>
      </c>
      <c r="H55" s="310">
        <v>0</v>
      </c>
      <c r="I55" s="311" cm="1">
        <f t="array" ref="I55">_xlfn.IFS(H55&gt;0, 3, H55=0, 1)</f>
        <v>1</v>
      </c>
      <c r="J55" s="310">
        <v>1</v>
      </c>
      <c r="K55" s="311" cm="1">
        <f t="array" ref="K55">_xlfn.IFS(J55&gt;0, 3, J55=0, 1)</f>
        <v>3</v>
      </c>
      <c r="L55" s="310">
        <v>0</v>
      </c>
      <c r="M55" s="311" cm="1">
        <f t="array" ref="M55">_xlfn.IFS(L55&gt;0, 3, L55=0, 1)</f>
        <v>1</v>
      </c>
      <c r="N55" s="310">
        <v>2</v>
      </c>
      <c r="O55" s="311" cm="1">
        <f t="array" ref="O55">_xlfn.IFS(N55&gt;0, 3, N55=0, 1)</f>
        <v>3</v>
      </c>
      <c r="P55" s="310">
        <v>0</v>
      </c>
      <c r="Q55" s="311" cm="1">
        <f t="array" ref="Q55">_xlfn.IFS(P55&gt;0, 3, P55=0, 1)</f>
        <v>1</v>
      </c>
      <c r="R55" s="342">
        <f t="shared" si="0"/>
        <v>2</v>
      </c>
      <c r="S55" s="6"/>
    </row>
    <row r="56" spans="1:19">
      <c r="A56" s="39" t="s">
        <v>155</v>
      </c>
      <c r="B56" s="310">
        <v>0</v>
      </c>
      <c r="C56" s="310" cm="1">
        <f t="array" ref="C56">_xlfn.IFS(B56&gt;0, 3, B56=0, 1)</f>
        <v>1</v>
      </c>
      <c r="D56" s="310">
        <v>0</v>
      </c>
      <c r="E56" s="311" cm="1">
        <f t="array" ref="E56">_xlfn.IFS(D56&gt;0, 3, D56=0, 1)</f>
        <v>1</v>
      </c>
      <c r="F56" s="310">
        <v>0</v>
      </c>
      <c r="G56" s="311" cm="1">
        <f t="array" ref="G56">_xlfn.IFS(F56&gt;0, 3, F56=0, 1)</f>
        <v>1</v>
      </c>
      <c r="H56" s="310">
        <v>0</v>
      </c>
      <c r="I56" s="311" cm="1">
        <f t="array" ref="I56">_xlfn.IFS(H56&gt;0, 3, H56=0, 1)</f>
        <v>1</v>
      </c>
      <c r="J56" s="310">
        <v>0</v>
      </c>
      <c r="K56" s="311" cm="1">
        <f t="array" ref="K56">_xlfn.IFS(J56&gt;0, 3, J56=0, 1)</f>
        <v>1</v>
      </c>
      <c r="L56" s="310">
        <v>0</v>
      </c>
      <c r="M56" s="311" cm="1">
        <f t="array" ref="M56">_xlfn.IFS(L56&gt;0, 3, L56=0, 1)</f>
        <v>1</v>
      </c>
      <c r="N56" s="310">
        <v>0</v>
      </c>
      <c r="O56" s="311" cm="1">
        <f t="array" ref="O56">_xlfn.IFS(N56&gt;0, 3, N56=0, 1)</f>
        <v>1</v>
      </c>
      <c r="P56" s="310">
        <v>0</v>
      </c>
      <c r="Q56" s="311" cm="1">
        <f t="array" ref="Q56">_xlfn.IFS(P56&gt;0, 3, P56=0, 1)</f>
        <v>1</v>
      </c>
      <c r="R56" s="342">
        <f t="shared" si="0"/>
        <v>1</v>
      </c>
      <c r="S56" s="6"/>
    </row>
    <row r="57" spans="1:19">
      <c r="A57" s="39" t="s">
        <v>156</v>
      </c>
      <c r="B57" s="310">
        <v>0</v>
      </c>
      <c r="C57" s="310" cm="1">
        <f t="array" ref="C57">_xlfn.IFS(B57&gt;0, 3, B57=0, 1)</f>
        <v>1</v>
      </c>
      <c r="D57" s="310">
        <v>0</v>
      </c>
      <c r="E57" s="311" cm="1">
        <f t="array" ref="E57">_xlfn.IFS(D57&gt;0, 3, D57=0, 1)</f>
        <v>1</v>
      </c>
      <c r="F57" s="310">
        <v>0</v>
      </c>
      <c r="G57" s="311" cm="1">
        <f t="array" ref="G57">_xlfn.IFS(F57&gt;0, 3, F57=0, 1)</f>
        <v>1</v>
      </c>
      <c r="H57" s="310">
        <v>0</v>
      </c>
      <c r="I57" s="311" cm="1">
        <f t="array" ref="I57">_xlfn.IFS(H57&gt;0, 3, H57=0, 1)</f>
        <v>1</v>
      </c>
      <c r="J57" s="310">
        <v>0</v>
      </c>
      <c r="K57" s="311" cm="1">
        <f t="array" ref="K57">_xlfn.IFS(J57&gt;0, 3, J57=0, 1)</f>
        <v>1</v>
      </c>
      <c r="L57" s="310">
        <v>0</v>
      </c>
      <c r="M57" s="311" cm="1">
        <f t="array" ref="M57">_xlfn.IFS(L57&gt;0, 3, L57=0, 1)</f>
        <v>1</v>
      </c>
      <c r="N57" s="310">
        <v>0</v>
      </c>
      <c r="O57" s="311" cm="1">
        <f t="array" ref="O57">_xlfn.IFS(N57&gt;0, 3, N57=0, 1)</f>
        <v>1</v>
      </c>
      <c r="P57" s="310">
        <v>0</v>
      </c>
      <c r="Q57" s="311" cm="1">
        <f t="array" ref="Q57">_xlfn.IFS(P57&gt;0, 3, P57=0, 1)</f>
        <v>1</v>
      </c>
      <c r="R57" s="342">
        <f t="shared" si="0"/>
        <v>1</v>
      </c>
      <c r="S57" s="6"/>
    </row>
    <row r="58" spans="1:19">
      <c r="A58" s="39" t="s">
        <v>157</v>
      </c>
      <c r="B58" s="310">
        <v>1</v>
      </c>
      <c r="C58" s="310" cm="1">
        <f t="array" ref="C58">_xlfn.IFS(B58&gt;0, 3, B58=0, 1)</f>
        <v>3</v>
      </c>
      <c r="D58" s="310">
        <v>0</v>
      </c>
      <c r="E58" s="311" cm="1">
        <f t="array" ref="E58">_xlfn.IFS(D58&gt;0, 3, D58=0, 1)</f>
        <v>1</v>
      </c>
      <c r="F58" s="310">
        <v>0</v>
      </c>
      <c r="G58" s="311" cm="1">
        <f t="array" ref="G58">_xlfn.IFS(F58&gt;0, 3, F58=0, 1)</f>
        <v>1</v>
      </c>
      <c r="H58" s="310">
        <v>0</v>
      </c>
      <c r="I58" s="311" cm="1">
        <f t="array" ref="I58">_xlfn.IFS(H58&gt;0, 3, H58=0, 1)</f>
        <v>1</v>
      </c>
      <c r="J58" s="310">
        <v>0</v>
      </c>
      <c r="K58" s="311" cm="1">
        <f t="array" ref="K58">_xlfn.IFS(J58&gt;0, 3, J58=0, 1)</f>
        <v>1</v>
      </c>
      <c r="L58" s="310">
        <v>0</v>
      </c>
      <c r="M58" s="311" cm="1">
        <f t="array" ref="M58">_xlfn.IFS(L58&gt;0, 3, L58=0, 1)</f>
        <v>1</v>
      </c>
      <c r="N58" s="310">
        <v>0</v>
      </c>
      <c r="O58" s="311" cm="1">
        <f t="array" ref="O58">_xlfn.IFS(N58&gt;0, 3, N58=0, 1)</f>
        <v>1</v>
      </c>
      <c r="P58" s="310">
        <v>0</v>
      </c>
      <c r="Q58" s="311" cm="1">
        <f t="array" ref="Q58">_xlfn.IFS(P58&gt;0, 3, P58=0, 1)</f>
        <v>1</v>
      </c>
      <c r="R58" s="342">
        <f t="shared" si="0"/>
        <v>1.25</v>
      </c>
      <c r="S58" s="6"/>
    </row>
    <row r="59" spans="1:19">
      <c r="A59" s="6"/>
      <c r="B59" s="312"/>
      <c r="C59" s="312"/>
      <c r="D59" s="312"/>
      <c r="E59" s="312"/>
      <c r="F59" s="312"/>
      <c r="G59" s="312"/>
      <c r="H59" s="312"/>
      <c r="I59" s="312"/>
      <c r="J59" s="312"/>
      <c r="K59" s="312"/>
      <c r="L59" s="312"/>
      <c r="M59" s="312"/>
      <c r="N59" s="312"/>
      <c r="O59" s="312"/>
      <c r="P59" s="312"/>
      <c r="Q59" s="312"/>
      <c r="R59" s="312"/>
      <c r="S59" s="6"/>
    </row>
  </sheetData>
  <mergeCells count="8">
    <mergeCell ref="N7:O7"/>
    <mergeCell ref="P7:Q7"/>
    <mergeCell ref="B7:C7"/>
    <mergeCell ref="D7:E7"/>
    <mergeCell ref="F7:G7"/>
    <mergeCell ref="H7:I7"/>
    <mergeCell ref="J7:K7"/>
    <mergeCell ref="L7:M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F16D-6A90-9F4C-A907-62BC565B32C7}">
  <sheetPr>
    <tabColor rgb="FF7F7F7F"/>
  </sheetPr>
  <dimension ref="A1:XFD100"/>
  <sheetViews>
    <sheetView workbookViewId="0">
      <selection activeCell="D1" sqref="D1"/>
    </sheetView>
  </sheetViews>
  <sheetFormatPr defaultColWidth="0" defaultRowHeight="14.45"/>
  <cols>
    <col min="1" max="16" width="15.85546875" customWidth="1"/>
  </cols>
  <sheetData>
    <row r="1" spans="1:32 16384:16384" s="4" customFormat="1" ht="27" customHeight="1">
      <c r="C1" s="2" t="s">
        <v>0</v>
      </c>
      <c r="D1" s="2"/>
      <c r="Q1"/>
      <c r="R1"/>
      <c r="S1"/>
      <c r="T1"/>
      <c r="U1"/>
      <c r="V1"/>
      <c r="W1"/>
      <c r="X1"/>
      <c r="Y1"/>
      <c r="Z1"/>
      <c r="AA1"/>
      <c r="AB1"/>
      <c r="AC1"/>
      <c r="AD1"/>
      <c r="AE1"/>
      <c r="AF1"/>
      <c r="XFD1"/>
    </row>
    <row r="2" spans="1:32 16384:16384" s="5" customFormat="1" ht="27" customHeight="1" thickBot="1">
      <c r="C2" s="3" t="s">
        <v>698</v>
      </c>
      <c r="D2" s="3"/>
      <c r="Q2"/>
      <c r="R2"/>
      <c r="S2"/>
      <c r="T2"/>
      <c r="U2"/>
      <c r="V2"/>
      <c r="W2"/>
      <c r="X2"/>
      <c r="Y2"/>
      <c r="Z2"/>
      <c r="AA2"/>
      <c r="AB2"/>
      <c r="AC2"/>
      <c r="AD2"/>
      <c r="AE2"/>
      <c r="AF2"/>
      <c r="XFD2"/>
    </row>
    <row r="3" spans="1:32 16384:16384" s="6" customFormat="1" ht="23.45" thickTop="1">
      <c r="B3" s="7"/>
      <c r="E3" s="8"/>
      <c r="Q3"/>
      <c r="R3"/>
      <c r="S3"/>
      <c r="T3"/>
      <c r="U3"/>
      <c r="V3"/>
      <c r="W3"/>
      <c r="X3"/>
      <c r="Y3"/>
      <c r="Z3"/>
      <c r="AA3"/>
      <c r="AB3"/>
      <c r="AC3"/>
      <c r="AD3"/>
      <c r="AE3"/>
      <c r="AF3"/>
      <c r="XFD3"/>
    </row>
    <row r="4" spans="1:32 16384:16384" s="13" customFormat="1" ht="15" customHeight="1">
      <c r="A4" s="21"/>
      <c r="B4" s="576" t="s">
        <v>699</v>
      </c>
      <c r="C4" s="577"/>
      <c r="D4" s="577"/>
      <c r="E4" s="577"/>
      <c r="F4" s="577"/>
      <c r="G4" s="22"/>
      <c r="H4" s="578" t="s">
        <v>700</v>
      </c>
      <c r="I4" s="578"/>
      <c r="J4" s="578"/>
      <c r="K4" s="578"/>
      <c r="L4" s="579"/>
      <c r="M4" s="23"/>
      <c r="N4" s="23"/>
      <c r="O4"/>
      <c r="P4"/>
      <c r="Q4"/>
      <c r="R4"/>
      <c r="S4"/>
      <c r="T4"/>
      <c r="U4"/>
      <c r="V4"/>
      <c r="W4"/>
      <c r="X4"/>
      <c r="Y4"/>
      <c r="Z4"/>
      <c r="AA4"/>
      <c r="AB4"/>
      <c r="AC4"/>
      <c r="AD4"/>
      <c r="AE4"/>
      <c r="AF4"/>
      <c r="XFD4"/>
    </row>
    <row r="5" spans="1:32 16384:16384" s="13" customFormat="1" ht="15" customHeight="1">
      <c r="A5" s="21" t="s">
        <v>440</v>
      </c>
      <c r="B5" s="24">
        <v>0.2</v>
      </c>
      <c r="C5" s="25">
        <v>0.4</v>
      </c>
      <c r="D5" s="25">
        <v>0.15</v>
      </c>
      <c r="E5" s="25">
        <v>0.25</v>
      </c>
      <c r="F5" s="26">
        <f>SUM(B5:E5)</f>
        <v>1</v>
      </c>
      <c r="G5" s="27"/>
      <c r="H5" s="28">
        <v>0.15</v>
      </c>
      <c r="I5" s="28">
        <v>0.35</v>
      </c>
      <c r="J5" s="28">
        <v>0.35</v>
      </c>
      <c r="K5" s="28">
        <v>0.1</v>
      </c>
      <c r="L5" s="28">
        <v>0.05</v>
      </c>
      <c r="M5" s="250">
        <f>SUM(H5:L5)</f>
        <v>1</v>
      </c>
      <c r="N5" s="23"/>
      <c r="O5"/>
      <c r="P5"/>
      <c r="Q5"/>
      <c r="R5"/>
      <c r="S5"/>
      <c r="T5"/>
      <c r="U5"/>
      <c r="V5"/>
      <c r="W5"/>
      <c r="X5"/>
      <c r="Y5"/>
      <c r="Z5"/>
      <c r="AA5"/>
      <c r="AB5"/>
      <c r="AC5"/>
      <c r="AD5"/>
      <c r="AE5"/>
      <c r="AF5"/>
      <c r="XFD5"/>
    </row>
    <row r="6" spans="1:32 16384:16384" s="34" customFormat="1" ht="72.95" thickBot="1">
      <c r="A6" s="30" t="s">
        <v>75</v>
      </c>
      <c r="B6" s="15" t="s">
        <v>82</v>
      </c>
      <c r="C6" s="15" t="s">
        <v>84</v>
      </c>
      <c r="D6" s="15" t="s">
        <v>86</v>
      </c>
      <c r="E6" s="15" t="s">
        <v>89</v>
      </c>
      <c r="F6" s="31" t="s">
        <v>701</v>
      </c>
      <c r="G6" s="32" t="s">
        <v>702</v>
      </c>
      <c r="H6" s="15" t="s">
        <v>113</v>
      </c>
      <c r="I6" s="15" t="s">
        <v>116</v>
      </c>
      <c r="J6" s="15" t="s">
        <v>109</v>
      </c>
      <c r="K6" s="15" t="s">
        <v>652</v>
      </c>
      <c r="L6" s="15" t="s">
        <v>682</v>
      </c>
      <c r="M6" s="33" t="s">
        <v>703</v>
      </c>
      <c r="N6" s="33" t="s">
        <v>704</v>
      </c>
      <c r="O6"/>
      <c r="P6"/>
      <c r="Q6"/>
      <c r="R6"/>
      <c r="S6"/>
      <c r="T6"/>
      <c r="U6"/>
      <c r="V6"/>
      <c r="W6"/>
      <c r="X6"/>
      <c r="Y6"/>
      <c r="Z6"/>
      <c r="AA6"/>
      <c r="AB6"/>
      <c r="AC6"/>
      <c r="AD6"/>
      <c r="AE6"/>
      <c r="AF6"/>
      <c r="XFD6"/>
    </row>
    <row r="7" spans="1:32 16384:16384" s="13" customForma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20" cm="1">
        <f t="array" ref="E7">_xlfn.XLOOKUP($E$6, 'Metric Categories 1-14'!$B$7:$FM$7, _xlfn.XLOOKUP(A7, 'Metric Categories 1-14'!$A$8:$A$57, 'Metric Categories 1-14'!$B$8:$FM$57))</f>
        <v>1.4000000000000001</v>
      </c>
      <c r="F7" s="35">
        <f>SUMPRODUCT($B$5:$E$5, B7:E7)</f>
        <v>1.0999999999999999</v>
      </c>
      <c r="G7" s="305" cm="1">
        <f t="array" ref="G7">_xlfn.IFS(F7&lt;$F$58, 1, F7&gt;$F$59, 3, F7&lt;$F$59, 2)</f>
        <v>1</v>
      </c>
      <c r="H7" s="20" cm="1">
        <f t="array" ref="H7">_xlfn.XLOOKUP($H$6, 'Metric Categories 1-14'!$B$7:$FM$7, _xlfn.XLOOKUP(A7, 'Metric Categories 1-14'!$A$8:$A$57, 'Metric Categories 1-14'!$B$8:$FM$57))</f>
        <v>1.4</v>
      </c>
      <c r="I7" s="20" cm="1">
        <f t="array" ref="I7">_xlfn.XLOOKUP($I$6, 'Metric Categories 1-14'!$B$7:$FM$7, _xlfn.XLOOKUP(A7, 'Metric Categories 1-14'!$A$8:$A$57, 'Metric Categories 1-14'!$B$8:$FM$57))</f>
        <v>2.25</v>
      </c>
      <c r="J7" s="20" cm="1">
        <f t="array" ref="J7">_xlfn.XLOOKUP($J$6, 'Metric Categories 1-14'!$B$7:$FM$7, _xlfn.XLOOKUP(A7, 'Metric Categories 1-14'!$A$8:$A$57, 'Metric Categories 1-14'!$B$8:$FM$57))</f>
        <v>1.8</v>
      </c>
      <c r="K7" s="20" cm="1">
        <f t="array" ref="K7">_xlfn.XLOOKUP($K$6, '15. Workforce Calcs'!$B$8:$BG$8, _xlfn.XLOOKUP(A7, '15. Workforce Calcs'!$A$10:$A$59, '15. Workforce Calcs'!$B$10:$BG$59))</f>
        <v>2</v>
      </c>
      <c r="L7" s="20" cm="1">
        <f t="array" ref="L7">_xlfn.XLOOKUP($L$6, '16. Existing HQs and Projects'!$B$8:$Q$8, _xlfn.XLOOKUP(A7,'16. Existing HQs and Projects'!$A$9:$A$58, '16. Existing HQs and Projects'!$B$9:$Q$58))</f>
        <v>3</v>
      </c>
      <c r="M7" s="37">
        <f>SUMPRODUCT($H$5:$L$5, H7:L7)</f>
        <v>1.9775</v>
      </c>
      <c r="N7" s="306" cm="1">
        <f t="array" ref="N7">_xlfn.IFS(M7&lt;$M$58, 1, M7&gt;$M$59, 3, M7&lt;$M$59, 2)</f>
        <v>2</v>
      </c>
      <c r="O7"/>
      <c r="P7"/>
      <c r="Q7"/>
      <c r="R7"/>
      <c r="S7"/>
      <c r="T7"/>
      <c r="U7"/>
      <c r="V7"/>
      <c r="W7"/>
      <c r="X7"/>
      <c r="Y7"/>
      <c r="Z7"/>
      <c r="AA7"/>
      <c r="AB7"/>
      <c r="AC7"/>
      <c r="AD7"/>
      <c r="AE7"/>
      <c r="AF7"/>
      <c r="XFD7"/>
    </row>
    <row r="8" spans="1:32 16384:16384" s="13" customFormat="1">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20" cm="1">
        <f t="array" ref="E8">_xlfn.XLOOKUP($E$6, 'Metric Categories 1-14'!$B$7:$FM$7, _xlfn.XLOOKUP(A8, 'Metric Categories 1-14'!$A$8:$A$57, 'Metric Categories 1-14'!$B$8:$FM$57))</f>
        <v>1.5</v>
      </c>
      <c r="F8" s="35">
        <f t="shared" ref="F8:F34" si="0">SUMPRODUCT($B$5:$E$5, B8:E8)</f>
        <v>1.125</v>
      </c>
      <c r="G8" s="305" cm="1">
        <f t="array" ref="G8">_xlfn.IFS(F8&lt;$F$58, 1, F8&gt;$F$59, 3, F8&lt;$F$59, 2)</f>
        <v>1</v>
      </c>
      <c r="H8" s="20" cm="1">
        <f t="array" ref="H8">_xlfn.XLOOKUP($H$6, 'Metric Categories 1-14'!$B$7:$FM$7, _xlfn.XLOOKUP(A8, 'Metric Categories 1-14'!$A$8:$A$57, 'Metric Categories 1-14'!$B$8:$FM$57))</f>
        <v>1</v>
      </c>
      <c r="I8" s="20" cm="1">
        <f t="array" ref="I8">_xlfn.XLOOKUP($I$6, 'Metric Categories 1-14'!$B$7:$FM$7, _xlfn.XLOOKUP(A8, 'Metric Categories 1-14'!$A$8:$A$57, 'Metric Categories 1-14'!$B$8:$FM$57))</f>
        <v>2.5</v>
      </c>
      <c r="J8" s="20" cm="1">
        <f t="array" ref="J8">_xlfn.XLOOKUP($J$6, 'Metric Categories 1-14'!$B$7:$FM$7, _xlfn.XLOOKUP(A8, 'Metric Categories 1-14'!$A$8:$A$57, 'Metric Categories 1-14'!$B$8:$FM$57))</f>
        <v>0.99999999999999989</v>
      </c>
      <c r="K8" s="20" cm="1">
        <f t="array" ref="K8">_xlfn.XLOOKUP($K$6, '15. Workforce Calcs'!$B$8:$BG$8, _xlfn.XLOOKUP(A8, '15. Workforce Calcs'!$A$10:$A$59, '15. Workforce Calcs'!$B$10:$BG$59))</f>
        <v>1</v>
      </c>
      <c r="L8" s="20" cm="1">
        <f t="array" ref="L8">_xlfn.XLOOKUP($L$6, '16. Existing HQs and Projects'!$B$8:$Q$8, _xlfn.XLOOKUP(A8,'16. Existing HQs and Projects'!$A$9:$A$58, '16. Existing HQs and Projects'!$B$9:$Q$58))</f>
        <v>1</v>
      </c>
      <c r="M8" s="37">
        <f t="shared" ref="M8:M56" si="1">SUMPRODUCT($H$5:$L$5, H8:L8)</f>
        <v>1.5249999999999999</v>
      </c>
      <c r="N8" s="306" cm="1">
        <f t="array" ref="N8">_xlfn.IFS(M8&lt;$M$58, 1, M8&gt;$M$59, 3, M8&lt;$M$59, 2)</f>
        <v>1</v>
      </c>
      <c r="O8"/>
      <c r="P8"/>
      <c r="Q8"/>
      <c r="R8"/>
      <c r="S8"/>
      <c r="T8"/>
      <c r="U8"/>
      <c r="V8"/>
      <c r="W8"/>
      <c r="X8"/>
      <c r="Y8"/>
      <c r="Z8"/>
      <c r="AA8"/>
      <c r="AB8"/>
      <c r="AC8"/>
      <c r="AD8"/>
      <c r="AE8"/>
      <c r="AF8"/>
      <c r="XFD8"/>
    </row>
    <row r="9" spans="1:32 16384:16384" s="13" customFormat="1">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20" cm="1">
        <f t="array" ref="E9">_xlfn.XLOOKUP($E$6, 'Metric Categories 1-14'!$B$7:$FM$7, _xlfn.XLOOKUP(A9, 'Metric Categories 1-14'!$A$8:$A$57, 'Metric Categories 1-14'!$B$8:$FM$57))</f>
        <v>1.5</v>
      </c>
      <c r="F9" s="35">
        <f t="shared" si="0"/>
        <v>1.1749999999999998</v>
      </c>
      <c r="G9" s="305" cm="1">
        <f t="array" ref="G9">_xlfn.IFS(F9&lt;$F$58, 1, F9&gt;$F$59, 3, F9&lt;$F$59, 2)</f>
        <v>1</v>
      </c>
      <c r="H9" s="20" cm="1">
        <f t="array" ref="H9">_xlfn.XLOOKUP($H$6, 'Metric Categories 1-14'!$B$7:$FM$7, _xlfn.XLOOKUP(A9, 'Metric Categories 1-14'!$A$8:$A$57, 'Metric Categories 1-14'!$B$8:$FM$57))</f>
        <v>1.2000000000000002</v>
      </c>
      <c r="I9" s="20" cm="1">
        <f t="array" ref="I9">_xlfn.XLOOKUP($I$6, 'Metric Categories 1-14'!$B$7:$FM$7, _xlfn.XLOOKUP(A9, 'Metric Categories 1-14'!$A$8:$A$57, 'Metric Categories 1-14'!$B$8:$FM$57))</f>
        <v>1.5</v>
      </c>
      <c r="J9" s="20" cm="1">
        <f t="array" ref="J9">_xlfn.XLOOKUP($J$6, 'Metric Categories 1-14'!$B$7:$FM$7, _xlfn.XLOOKUP(A9, 'Metric Categories 1-14'!$A$8:$A$57, 'Metric Categories 1-14'!$B$8:$FM$57))</f>
        <v>2.5</v>
      </c>
      <c r="K9" s="20" cm="1">
        <f t="array" ref="K9">_xlfn.XLOOKUP($K$6, '15. Workforce Calcs'!$B$8:$BG$8, _xlfn.XLOOKUP(A9, '15. Workforce Calcs'!$A$10:$A$59, '15. Workforce Calcs'!$B$10:$BG$59))</f>
        <v>2</v>
      </c>
      <c r="L9" s="20" cm="1">
        <f t="array" ref="L9">_xlfn.XLOOKUP($L$6, '16. Existing HQs and Projects'!$B$8:$Q$8, _xlfn.XLOOKUP(A9,'16. Existing HQs and Projects'!$A$9:$A$58, '16. Existing HQs and Projects'!$B$9:$Q$58))</f>
        <v>3</v>
      </c>
      <c r="M9" s="37">
        <f t="shared" si="1"/>
        <v>1.9300000000000002</v>
      </c>
      <c r="N9" s="306" cm="1">
        <f t="array" ref="N9">_xlfn.IFS(M9&lt;$M$58, 1, M9&gt;$M$59, 3, M9&lt;$M$59, 2)</f>
        <v>2</v>
      </c>
      <c r="O9"/>
      <c r="P9"/>
      <c r="Q9"/>
      <c r="R9"/>
      <c r="S9"/>
      <c r="T9"/>
      <c r="U9"/>
      <c r="V9"/>
      <c r="W9"/>
      <c r="X9"/>
      <c r="Y9"/>
      <c r="Z9"/>
      <c r="AA9"/>
      <c r="AB9"/>
      <c r="AC9"/>
      <c r="AD9"/>
      <c r="AE9"/>
      <c r="AF9"/>
      <c r="XFD9"/>
    </row>
    <row r="10" spans="1:32 16384:16384" s="13" customFormat="1">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20" cm="1">
        <f t="array" ref="E10">_xlfn.XLOOKUP($E$6, 'Metric Categories 1-14'!$B$7:$FM$7, _xlfn.XLOOKUP(A10, 'Metric Categories 1-14'!$A$8:$A$57, 'Metric Categories 1-14'!$B$8:$FM$57))</f>
        <v>1.4000000000000001</v>
      </c>
      <c r="F10" s="35">
        <f t="shared" si="0"/>
        <v>1.2</v>
      </c>
      <c r="G10" s="305" cm="1">
        <f t="array" ref="G10">_xlfn.IFS(F10&lt;$F$58, 1, F10&gt;$F$59, 3, F10&lt;$F$59, 2)</f>
        <v>1</v>
      </c>
      <c r="H10" s="20" cm="1">
        <f t="array" ref="H10">_xlfn.XLOOKUP($H$6, 'Metric Categories 1-14'!$B$7:$FM$7, _xlfn.XLOOKUP(A10, 'Metric Categories 1-14'!$A$8:$A$57, 'Metric Categories 1-14'!$B$8:$FM$57))</f>
        <v>1.2000000000000002</v>
      </c>
      <c r="I10" s="20" cm="1">
        <f t="array" ref="I10">_xlfn.XLOOKUP($I$6, 'Metric Categories 1-14'!$B$7:$FM$7, _xlfn.XLOOKUP(A10, 'Metric Categories 1-14'!$A$8:$A$57, 'Metric Categories 1-14'!$B$8:$FM$57))</f>
        <v>1.75</v>
      </c>
      <c r="J10" s="20" cm="1">
        <f t="array" ref="J10">_xlfn.XLOOKUP($J$6, 'Metric Categories 1-14'!$B$7:$FM$7, _xlfn.XLOOKUP(A10, 'Metric Categories 1-14'!$A$8:$A$57, 'Metric Categories 1-14'!$B$8:$FM$57))</f>
        <v>2.1</v>
      </c>
      <c r="K10" s="20" cm="1">
        <f t="array" ref="K10">_xlfn.XLOOKUP($K$6, '15. Workforce Calcs'!$B$8:$BG$8, _xlfn.XLOOKUP(A10, '15. Workforce Calcs'!$A$10:$A$59, '15. Workforce Calcs'!$B$10:$BG$59))</f>
        <v>2</v>
      </c>
      <c r="L10" s="20" cm="1">
        <f t="array" ref="L10">_xlfn.XLOOKUP($L$6, '16. Existing HQs and Projects'!$B$8:$Q$8, _xlfn.XLOOKUP(A10,'16. Existing HQs and Projects'!$A$9:$A$58, '16. Existing HQs and Projects'!$B$9:$Q$58))</f>
        <v>1</v>
      </c>
      <c r="M10" s="37">
        <f t="shared" si="1"/>
        <v>1.7774999999999999</v>
      </c>
      <c r="N10" s="306" cm="1">
        <f t="array" ref="N10">_xlfn.IFS(M10&lt;$M$58, 1, M10&gt;$M$59, 3, M10&lt;$M$59, 2)</f>
        <v>2</v>
      </c>
      <c r="O10"/>
      <c r="P10"/>
      <c r="Q10"/>
      <c r="R10"/>
      <c r="S10"/>
      <c r="T10"/>
      <c r="U10"/>
      <c r="V10"/>
      <c r="W10"/>
      <c r="X10"/>
      <c r="Y10"/>
      <c r="Z10"/>
      <c r="AA10"/>
      <c r="AB10"/>
      <c r="AC10"/>
      <c r="AD10"/>
      <c r="AE10"/>
      <c r="AF10"/>
      <c r="XFD10"/>
    </row>
    <row r="11" spans="1:32 16384:16384" s="13" customFormat="1">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20" cm="1">
        <f t="array" ref="E11">_xlfn.XLOOKUP($E$6, 'Metric Categories 1-14'!$B$7:$FM$7, _xlfn.XLOOKUP(A11, 'Metric Categories 1-14'!$A$8:$A$57, 'Metric Categories 1-14'!$B$8:$FM$57))</f>
        <v>2</v>
      </c>
      <c r="F11" s="35">
        <f t="shared" si="0"/>
        <v>2.12</v>
      </c>
      <c r="G11" s="305" cm="1">
        <f t="array" ref="G11">_xlfn.IFS(F11&lt;$F$58, 1, F11&gt;$F$59, 3, F11&lt;$F$59, 2)</f>
        <v>3</v>
      </c>
      <c r="H11" s="20" cm="1">
        <f t="array" ref="H11">_xlfn.XLOOKUP($H$6, 'Metric Categories 1-14'!$B$7:$FM$7, _xlfn.XLOOKUP(A11, 'Metric Categories 1-14'!$A$8:$A$57, 'Metric Categories 1-14'!$B$8:$FM$57))</f>
        <v>2.2000000000000002</v>
      </c>
      <c r="I11" s="20" cm="1">
        <f t="array" ref="I11">_xlfn.XLOOKUP($I$6, 'Metric Categories 1-14'!$B$7:$FM$7, _xlfn.XLOOKUP(A11, 'Metric Categories 1-14'!$A$8:$A$57, 'Metric Categories 1-14'!$B$8:$FM$57))</f>
        <v>3</v>
      </c>
      <c r="J11" s="20" cm="1">
        <f t="array" ref="J11">_xlfn.XLOOKUP($J$6, 'Metric Categories 1-14'!$B$7:$FM$7, _xlfn.XLOOKUP(A11, 'Metric Categories 1-14'!$A$8:$A$57, 'Metric Categories 1-14'!$B$8:$FM$57))</f>
        <v>2.8999999999999995</v>
      </c>
      <c r="K11" s="20" cm="1">
        <f t="array" ref="K11">_xlfn.XLOOKUP($K$6, '15. Workforce Calcs'!$B$8:$BG$8, _xlfn.XLOOKUP(A11, '15. Workforce Calcs'!$A$10:$A$59, '15. Workforce Calcs'!$B$10:$BG$59))</f>
        <v>3</v>
      </c>
      <c r="L11" s="20" cm="1">
        <f t="array" ref="L11">_xlfn.XLOOKUP($L$6, '16. Existing HQs and Projects'!$B$8:$Q$8, _xlfn.XLOOKUP(A11,'16. Existing HQs and Projects'!$A$9:$A$58, '16. Existing HQs and Projects'!$B$9:$Q$58))</f>
        <v>3</v>
      </c>
      <c r="M11" s="37">
        <f t="shared" si="1"/>
        <v>2.8449999999999993</v>
      </c>
      <c r="N11" s="306" cm="1">
        <f t="array" ref="N11">_xlfn.IFS(M11&lt;$M$58, 1, M11&gt;$M$59, 3, M11&lt;$M$59, 2)</f>
        <v>3</v>
      </c>
      <c r="O11"/>
      <c r="P11"/>
      <c r="Q11"/>
      <c r="R11"/>
      <c r="S11"/>
      <c r="T11"/>
      <c r="U11"/>
      <c r="V11"/>
      <c r="W11"/>
      <c r="X11"/>
      <c r="Y11"/>
      <c r="Z11"/>
      <c r="AA11"/>
      <c r="AB11"/>
      <c r="AC11"/>
      <c r="AD11"/>
      <c r="AE11"/>
      <c r="AF11"/>
      <c r="XFD11"/>
    </row>
    <row r="12" spans="1:32 16384:16384" s="13" customFormat="1">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20" cm="1">
        <f t="array" ref="E12">_xlfn.XLOOKUP($E$6, 'Metric Categories 1-14'!$B$7:$FM$7, _xlfn.XLOOKUP(A12, 'Metric Categories 1-14'!$A$8:$A$57, 'Metric Categories 1-14'!$B$8:$FM$57))</f>
        <v>1.2000000000000002</v>
      </c>
      <c r="F12" s="35">
        <f t="shared" si="0"/>
        <v>1.7</v>
      </c>
      <c r="G12" s="305" cm="1">
        <f t="array" ref="G12">_xlfn.IFS(F12&lt;$F$58, 1, F12&gt;$F$59, 3, F12&lt;$F$59, 2)</f>
        <v>3</v>
      </c>
      <c r="H12" s="20" cm="1">
        <f t="array" ref="H12">_xlfn.XLOOKUP($H$6, 'Metric Categories 1-14'!$B$7:$FM$7, _xlfn.XLOOKUP(A12, 'Metric Categories 1-14'!$A$8:$A$57, 'Metric Categories 1-14'!$B$8:$FM$57))</f>
        <v>2.2000000000000002</v>
      </c>
      <c r="I12" s="20" cm="1">
        <f t="array" ref="I12">_xlfn.XLOOKUP($I$6, 'Metric Categories 1-14'!$B$7:$FM$7, _xlfn.XLOOKUP(A12, 'Metric Categories 1-14'!$A$8:$A$57, 'Metric Categories 1-14'!$B$8:$FM$57))</f>
        <v>2.5</v>
      </c>
      <c r="J12" s="20" cm="1">
        <f t="array" ref="J12">_xlfn.XLOOKUP($J$6, 'Metric Categories 1-14'!$B$7:$FM$7, _xlfn.XLOOKUP(A12, 'Metric Categories 1-14'!$A$8:$A$57, 'Metric Categories 1-14'!$B$8:$FM$57))</f>
        <v>2.4000000000000004</v>
      </c>
      <c r="K12" s="20" cm="1">
        <f t="array" ref="K12">_xlfn.XLOOKUP($K$6, '15. Workforce Calcs'!$B$8:$BG$8, _xlfn.XLOOKUP(A12, '15. Workforce Calcs'!$A$10:$A$59, '15. Workforce Calcs'!$B$10:$BG$59))</f>
        <v>2</v>
      </c>
      <c r="L12" s="20" cm="1">
        <f t="array" ref="L12">_xlfn.XLOOKUP($L$6, '16. Existing HQs and Projects'!$B$8:$Q$8, _xlfn.XLOOKUP(A12,'16. Existing HQs and Projects'!$A$9:$A$58, '16. Existing HQs and Projects'!$B$9:$Q$58))</f>
        <v>3</v>
      </c>
      <c r="M12" s="37">
        <f t="shared" si="1"/>
        <v>2.395</v>
      </c>
      <c r="N12" s="306" cm="1">
        <f t="array" ref="N12">_xlfn.IFS(M12&lt;$M$58, 1, M12&gt;$M$59, 3, M12&lt;$M$59, 2)</f>
        <v>3</v>
      </c>
      <c r="O12"/>
      <c r="P12"/>
      <c r="Q12"/>
      <c r="R12"/>
      <c r="S12"/>
      <c r="T12"/>
      <c r="U12"/>
      <c r="V12"/>
      <c r="W12"/>
      <c r="X12"/>
      <c r="Y12"/>
      <c r="Z12"/>
      <c r="AA12"/>
      <c r="AB12"/>
      <c r="AC12"/>
      <c r="AD12"/>
      <c r="AE12"/>
      <c r="AF12"/>
      <c r="XFD12"/>
    </row>
    <row r="13" spans="1:32 16384:16384" s="13" customFormat="1">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20" cm="1">
        <f t="array" ref="E13">_xlfn.XLOOKUP($E$6, 'Metric Categories 1-14'!$B$7:$FM$7, _xlfn.XLOOKUP(A13, 'Metric Categories 1-14'!$A$8:$A$57, 'Metric Categories 1-14'!$B$8:$FM$57))</f>
        <v>1.4000000000000001</v>
      </c>
      <c r="F13" s="35">
        <f t="shared" si="0"/>
        <v>1.6</v>
      </c>
      <c r="G13" s="305" cm="1">
        <f t="array" ref="G13">_xlfn.IFS(F13&lt;$F$58, 1, F13&gt;$F$59, 3, F13&lt;$F$59, 2)</f>
        <v>3</v>
      </c>
      <c r="H13" s="20" cm="1">
        <f t="array" ref="H13">_xlfn.XLOOKUP($H$6, 'Metric Categories 1-14'!$B$7:$FM$7, _xlfn.XLOOKUP(A13, 'Metric Categories 1-14'!$A$8:$A$57, 'Metric Categories 1-14'!$B$8:$FM$57))</f>
        <v>1</v>
      </c>
      <c r="I13" s="20" cm="1">
        <f t="array" ref="I13">_xlfn.XLOOKUP($I$6, 'Metric Categories 1-14'!$B$7:$FM$7, _xlfn.XLOOKUP(A13, 'Metric Categories 1-14'!$A$8:$A$57, 'Metric Categories 1-14'!$B$8:$FM$57))</f>
        <v>1.5</v>
      </c>
      <c r="J13" s="20" cm="1">
        <f t="array" ref="J13">_xlfn.XLOOKUP($J$6, 'Metric Categories 1-14'!$B$7:$FM$7, _xlfn.XLOOKUP(A13, 'Metric Categories 1-14'!$A$8:$A$57, 'Metric Categories 1-14'!$B$8:$FM$57))</f>
        <v>1.7</v>
      </c>
      <c r="K13" s="20" cm="1">
        <f t="array" ref="K13">_xlfn.XLOOKUP($K$6, '15. Workforce Calcs'!$B$8:$BG$8, _xlfn.XLOOKUP(A13, '15. Workforce Calcs'!$A$10:$A$59, '15. Workforce Calcs'!$B$10:$BG$59))</f>
        <v>2</v>
      </c>
      <c r="L13" s="20" cm="1">
        <f t="array" ref="L13">_xlfn.XLOOKUP($L$6, '16. Existing HQs and Projects'!$B$8:$Q$8, _xlfn.XLOOKUP(A13,'16. Existing HQs and Projects'!$A$9:$A$58, '16. Existing HQs and Projects'!$B$9:$Q$58))</f>
        <v>1</v>
      </c>
      <c r="M13" s="37">
        <f t="shared" si="1"/>
        <v>1.52</v>
      </c>
      <c r="N13" s="306" cm="1">
        <f t="array" ref="N13">_xlfn.IFS(M13&lt;$M$58, 1, M13&gt;$M$59, 3, M13&lt;$M$59, 2)</f>
        <v>1</v>
      </c>
      <c r="O13"/>
      <c r="P13"/>
      <c r="Q13"/>
      <c r="R13"/>
      <c r="S13"/>
      <c r="T13"/>
      <c r="U13"/>
      <c r="V13"/>
      <c r="W13"/>
      <c r="X13"/>
      <c r="Y13"/>
      <c r="Z13"/>
      <c r="AA13"/>
      <c r="AB13"/>
      <c r="AC13"/>
      <c r="AD13"/>
      <c r="AE13"/>
      <c r="AF13"/>
      <c r="XFD13"/>
    </row>
    <row r="14" spans="1:32 16384:16384" s="13" customFormat="1">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20" cm="1">
        <f t="array" ref="E14">_xlfn.XLOOKUP($E$6, 'Metric Categories 1-14'!$B$7:$FM$7, _xlfn.XLOOKUP(A14, 'Metric Categories 1-14'!$A$8:$A$57, 'Metric Categories 1-14'!$B$8:$FM$57))</f>
        <v>1.2000000000000002</v>
      </c>
      <c r="F14" s="35">
        <f t="shared" si="0"/>
        <v>1.39</v>
      </c>
      <c r="G14" s="305" cm="1">
        <f t="array" ref="G14">_xlfn.IFS(F14&lt;$F$58, 1, F14&gt;$F$59, 3, F14&lt;$F$59, 2)</f>
        <v>2</v>
      </c>
      <c r="H14" s="20" cm="1">
        <f t="array" ref="H14">_xlfn.XLOOKUP($H$6, 'Metric Categories 1-14'!$B$7:$FM$7, _xlfn.XLOOKUP(A14, 'Metric Categories 1-14'!$A$8:$A$57, 'Metric Categories 1-14'!$B$8:$FM$57))</f>
        <v>1</v>
      </c>
      <c r="I14" s="20" cm="1">
        <f t="array" ref="I14">_xlfn.XLOOKUP($I$6, 'Metric Categories 1-14'!$B$7:$FM$7, _xlfn.XLOOKUP(A14, 'Metric Categories 1-14'!$A$8:$A$57, 'Metric Categories 1-14'!$B$8:$FM$57))</f>
        <v>1.25</v>
      </c>
      <c r="J14" s="20" cm="1">
        <f t="array" ref="J14">_xlfn.XLOOKUP($J$6, 'Metric Categories 1-14'!$B$7:$FM$7, _xlfn.XLOOKUP(A14, 'Metric Categories 1-14'!$A$8:$A$57, 'Metric Categories 1-14'!$B$8:$FM$57))</f>
        <v>1.3</v>
      </c>
      <c r="K14" s="20" cm="1">
        <f t="array" ref="K14">_xlfn.XLOOKUP($K$6, '15. Workforce Calcs'!$B$8:$BG$8, _xlfn.XLOOKUP(A14, '15. Workforce Calcs'!$A$10:$A$59, '15. Workforce Calcs'!$B$10:$BG$59))</f>
        <v>1</v>
      </c>
      <c r="L14" s="20" cm="1">
        <f t="array" ref="L14">_xlfn.XLOOKUP($L$6, '16. Existing HQs and Projects'!$B$8:$Q$8, _xlfn.XLOOKUP(A14,'16. Existing HQs and Projects'!$A$9:$A$58, '16. Existing HQs and Projects'!$B$9:$Q$58))</f>
        <v>3</v>
      </c>
      <c r="M14" s="37">
        <f t="shared" si="1"/>
        <v>1.2925</v>
      </c>
      <c r="N14" s="306" cm="1">
        <f t="array" ref="N14">_xlfn.IFS(M14&lt;$M$58, 1, M14&gt;$M$59, 3, M14&lt;$M$59, 2)</f>
        <v>1</v>
      </c>
      <c r="O14"/>
      <c r="P14"/>
      <c r="Q14"/>
      <c r="R14"/>
      <c r="S14"/>
      <c r="T14"/>
      <c r="U14"/>
      <c r="V14"/>
      <c r="W14"/>
      <c r="X14"/>
      <c r="Y14"/>
      <c r="Z14"/>
      <c r="AA14"/>
      <c r="AB14"/>
      <c r="AC14"/>
      <c r="AD14"/>
      <c r="AE14"/>
      <c r="AF14"/>
      <c r="XFD14"/>
    </row>
    <row r="15" spans="1:32 16384:16384" s="13" customFormat="1">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20" cm="1">
        <f t="array" ref="E15">_xlfn.XLOOKUP($E$6, 'Metric Categories 1-14'!$B$7:$FM$7, _xlfn.XLOOKUP(A15, 'Metric Categories 1-14'!$A$8:$A$57, 'Metric Categories 1-14'!$B$8:$FM$57))</f>
        <v>1.4000000000000001</v>
      </c>
      <c r="F15" s="35">
        <f t="shared" si="0"/>
        <v>1.31</v>
      </c>
      <c r="G15" s="305" cm="1">
        <f t="array" ref="G15">_xlfn.IFS(F15&lt;$F$58, 1, F15&gt;$F$59, 3, F15&lt;$F$59, 2)</f>
        <v>2</v>
      </c>
      <c r="H15" s="20" cm="1">
        <f t="array" ref="H15">_xlfn.XLOOKUP($H$6, 'Metric Categories 1-14'!$B$7:$FM$7, _xlfn.XLOOKUP(A15, 'Metric Categories 1-14'!$A$8:$A$57, 'Metric Categories 1-14'!$B$8:$FM$57))</f>
        <v>1.2000000000000002</v>
      </c>
      <c r="I15" s="20" cm="1">
        <f t="array" ref="I15">_xlfn.XLOOKUP($I$6, 'Metric Categories 1-14'!$B$7:$FM$7, _xlfn.XLOOKUP(A15, 'Metric Categories 1-14'!$A$8:$A$57, 'Metric Categories 1-14'!$B$8:$FM$57))</f>
        <v>2</v>
      </c>
      <c r="J15" s="20" cm="1">
        <f t="array" ref="J15">_xlfn.XLOOKUP($J$6, 'Metric Categories 1-14'!$B$7:$FM$7, _xlfn.XLOOKUP(A15, 'Metric Categories 1-14'!$A$8:$A$57, 'Metric Categories 1-14'!$B$8:$FM$57))</f>
        <v>1.2</v>
      </c>
      <c r="K15" s="20" cm="1">
        <f t="array" ref="K15">_xlfn.XLOOKUP($K$6, '15. Workforce Calcs'!$B$8:$BG$8, _xlfn.XLOOKUP(A15, '15. Workforce Calcs'!$A$10:$A$59, '15. Workforce Calcs'!$B$10:$BG$59))</f>
        <v>3</v>
      </c>
      <c r="L15" s="20" cm="1">
        <f t="array" ref="L15">_xlfn.XLOOKUP($L$6, '16. Existing HQs and Projects'!$B$8:$Q$8, _xlfn.XLOOKUP(A15,'16. Existing HQs and Projects'!$A$9:$A$58, '16. Existing HQs and Projects'!$B$9:$Q$58))</f>
        <v>3</v>
      </c>
      <c r="M15" s="37">
        <f t="shared" si="1"/>
        <v>1.75</v>
      </c>
      <c r="N15" s="306" cm="1">
        <f t="array" ref="N15">_xlfn.IFS(M15&lt;$M$58, 1, M15&gt;$M$59, 3, M15&lt;$M$59, 2)</f>
        <v>2</v>
      </c>
      <c r="O15"/>
      <c r="P15"/>
      <c r="Q15"/>
      <c r="R15"/>
      <c r="S15"/>
      <c r="T15"/>
      <c r="U15"/>
      <c r="V15"/>
      <c r="W15"/>
      <c r="X15"/>
      <c r="Y15"/>
      <c r="Z15"/>
      <c r="AA15"/>
      <c r="AB15"/>
      <c r="AC15"/>
      <c r="AD15"/>
      <c r="AE15"/>
      <c r="AF15"/>
      <c r="XFD15"/>
    </row>
    <row r="16" spans="1:32 16384:16384" s="13" customFormat="1">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20" cm="1">
        <f t="array" ref="E16">_xlfn.XLOOKUP($E$6, 'Metric Categories 1-14'!$B$7:$FM$7, _xlfn.XLOOKUP(A16, 'Metric Categories 1-14'!$A$8:$A$57, 'Metric Categories 1-14'!$B$8:$FM$57))</f>
        <v>1.4000000000000001</v>
      </c>
      <c r="F16" s="35">
        <f t="shared" si="0"/>
        <v>1.19</v>
      </c>
      <c r="G16" s="305" cm="1">
        <f t="array" ref="G16">_xlfn.IFS(F16&lt;$F$58, 1, F16&gt;$F$59, 3, F16&lt;$F$59, 2)</f>
        <v>1</v>
      </c>
      <c r="H16" s="20" cm="1">
        <f t="array" ref="H16">_xlfn.XLOOKUP($H$6, 'Metric Categories 1-14'!$B$7:$FM$7, _xlfn.XLOOKUP(A16, 'Metric Categories 1-14'!$A$8:$A$57, 'Metric Categories 1-14'!$B$8:$FM$57))</f>
        <v>1.2000000000000002</v>
      </c>
      <c r="I16" s="20" cm="1">
        <f t="array" ref="I16">_xlfn.XLOOKUP($I$6, 'Metric Categories 1-14'!$B$7:$FM$7, _xlfn.XLOOKUP(A16, 'Metric Categories 1-14'!$A$8:$A$57, 'Metric Categories 1-14'!$B$8:$FM$57))</f>
        <v>2.5</v>
      </c>
      <c r="J16" s="20" cm="1">
        <f t="array" ref="J16">_xlfn.XLOOKUP($J$6, 'Metric Categories 1-14'!$B$7:$FM$7, _xlfn.XLOOKUP(A16, 'Metric Categories 1-14'!$A$8:$A$57, 'Metric Categories 1-14'!$B$8:$FM$57))</f>
        <v>1.9999999999999998</v>
      </c>
      <c r="K16" s="20" cm="1">
        <f t="array" ref="K16">_xlfn.XLOOKUP($K$6, '15. Workforce Calcs'!$B$8:$BG$8, _xlfn.XLOOKUP(A16, '15. Workforce Calcs'!$A$10:$A$59, '15. Workforce Calcs'!$B$10:$BG$59))</f>
        <v>3</v>
      </c>
      <c r="L16" s="20" cm="1">
        <f t="array" ref="L16">_xlfn.XLOOKUP($L$6, '16. Existing HQs and Projects'!$B$8:$Q$8, _xlfn.XLOOKUP(A16,'16. Existing HQs and Projects'!$A$9:$A$58, '16. Existing HQs and Projects'!$B$9:$Q$58))</f>
        <v>1</v>
      </c>
      <c r="M16" s="37">
        <f t="shared" si="1"/>
        <v>2.1049999999999995</v>
      </c>
      <c r="N16" s="306" cm="1">
        <f t="array" ref="N16">_xlfn.IFS(M16&lt;$M$58, 1, M16&gt;$M$59, 3, M16&lt;$M$59, 2)</f>
        <v>3</v>
      </c>
    </row>
    <row r="17" spans="1:14" s="13" customFormat="1">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20" cm="1">
        <f t="array" ref="E17">_xlfn.XLOOKUP($E$6, 'Metric Categories 1-14'!$B$7:$FM$7, _xlfn.XLOOKUP(A17, 'Metric Categories 1-14'!$A$8:$A$57, 'Metric Categories 1-14'!$B$8:$FM$57))</f>
        <v>1.4000000000000001</v>
      </c>
      <c r="F17" s="35">
        <f t="shared" si="0"/>
        <v>1.5</v>
      </c>
      <c r="G17" s="305" cm="1">
        <f t="array" ref="G17">_xlfn.IFS(F17&lt;$F$58, 1, F17&gt;$F$59, 3, F17&lt;$F$59, 2)</f>
        <v>3</v>
      </c>
      <c r="H17" s="20" cm="1">
        <f t="array" ref="H17">_xlfn.XLOOKUP($H$6, 'Metric Categories 1-14'!$B$7:$FM$7, _xlfn.XLOOKUP(A17, 'Metric Categories 1-14'!$A$8:$A$57, 'Metric Categories 1-14'!$B$8:$FM$57))</f>
        <v>1</v>
      </c>
      <c r="I17" s="20" cm="1">
        <f t="array" ref="I17">_xlfn.XLOOKUP($I$6, 'Metric Categories 1-14'!$B$7:$FM$7, _xlfn.XLOOKUP(A17, 'Metric Categories 1-14'!$A$8:$A$57, 'Metric Categories 1-14'!$B$8:$FM$57))</f>
        <v>1.25</v>
      </c>
      <c r="J17" s="20" cm="1">
        <f t="array" ref="J17">_xlfn.XLOOKUP($J$6, 'Metric Categories 1-14'!$B$7:$FM$7, _xlfn.XLOOKUP(A17, 'Metric Categories 1-14'!$A$8:$A$57, 'Metric Categories 1-14'!$B$8:$FM$57))</f>
        <v>1.8000000000000003</v>
      </c>
      <c r="K17" s="20" cm="1">
        <f t="array" ref="K17">_xlfn.XLOOKUP($K$6, '15. Workforce Calcs'!$B$8:$BG$8, _xlfn.XLOOKUP(A17, '15. Workforce Calcs'!$A$10:$A$59, '15. Workforce Calcs'!$B$10:$BG$59))</f>
        <v>1</v>
      </c>
      <c r="L17" s="20" cm="1">
        <f t="array" ref="L17">_xlfn.XLOOKUP($L$6, '16. Existing HQs and Projects'!$B$8:$Q$8, _xlfn.XLOOKUP(A17,'16. Existing HQs and Projects'!$A$9:$A$58, '16. Existing HQs and Projects'!$B$9:$Q$58))</f>
        <v>3</v>
      </c>
      <c r="M17" s="37">
        <f t="shared" si="1"/>
        <v>1.4675000000000002</v>
      </c>
      <c r="N17" s="306" cm="1">
        <f t="array" ref="N17">_xlfn.IFS(M17&lt;$M$58, 1, M17&gt;$M$59, 3, M17&lt;$M$59, 2)</f>
        <v>1</v>
      </c>
    </row>
    <row r="18" spans="1:14" s="13" customFormat="1">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20" cm="1">
        <f t="array" ref="E18">_xlfn.XLOOKUP($E$6, 'Metric Categories 1-14'!$B$7:$FM$7, _xlfn.XLOOKUP(A18, 'Metric Categories 1-14'!$A$8:$A$57, 'Metric Categories 1-14'!$B$8:$FM$57))</f>
        <v>1.2000000000000002</v>
      </c>
      <c r="F18" s="35">
        <f t="shared" si="0"/>
        <v>1.1399999999999999</v>
      </c>
      <c r="G18" s="305" cm="1">
        <f t="array" ref="G18">_xlfn.IFS(F18&lt;$F$58, 1, F18&gt;$F$59, 3, F18&lt;$F$59, 2)</f>
        <v>1</v>
      </c>
      <c r="H18" s="20" cm="1">
        <f t="array" ref="H18">_xlfn.XLOOKUP($H$6, 'Metric Categories 1-14'!$B$7:$FM$7, _xlfn.XLOOKUP(A18, 'Metric Categories 1-14'!$A$8:$A$57, 'Metric Categories 1-14'!$B$8:$FM$57))</f>
        <v>1</v>
      </c>
      <c r="I18" s="20" cm="1">
        <f t="array" ref="I18">_xlfn.XLOOKUP($I$6, 'Metric Categories 1-14'!$B$7:$FM$7, _xlfn.XLOOKUP(A18, 'Metric Categories 1-14'!$A$8:$A$57, 'Metric Categories 1-14'!$B$8:$FM$57))</f>
        <v>1.75</v>
      </c>
      <c r="J18" s="20" cm="1">
        <f t="array" ref="J18">_xlfn.XLOOKUP($J$6, 'Metric Categories 1-14'!$B$7:$FM$7, _xlfn.XLOOKUP(A18, 'Metric Categories 1-14'!$A$8:$A$57, 'Metric Categories 1-14'!$B$8:$FM$57))</f>
        <v>2.8999999999999995</v>
      </c>
      <c r="K18" s="20" cm="1">
        <f t="array" ref="K18">_xlfn.XLOOKUP($K$6, '15. Workforce Calcs'!$B$8:$BG$8, _xlfn.XLOOKUP(A18, '15. Workforce Calcs'!$A$10:$A$59, '15. Workforce Calcs'!$B$10:$BG$59))</f>
        <v>1</v>
      </c>
      <c r="L18" s="20" cm="1">
        <f t="array" ref="L18">_xlfn.XLOOKUP($L$6, '16. Existing HQs and Projects'!$B$8:$Q$8, _xlfn.XLOOKUP(A18,'16. Existing HQs and Projects'!$A$9:$A$58, '16. Existing HQs and Projects'!$B$9:$Q$58))</f>
        <v>1</v>
      </c>
      <c r="M18" s="37">
        <f t="shared" si="1"/>
        <v>1.9274999999999998</v>
      </c>
      <c r="N18" s="306" cm="1">
        <f t="array" ref="N18">_xlfn.IFS(M18&lt;$M$58, 1, M18&gt;$M$59, 3, M18&lt;$M$59, 2)</f>
        <v>2</v>
      </c>
    </row>
    <row r="19" spans="1:14" s="13" customFormat="1">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20" cm="1">
        <f t="array" ref="E19">_xlfn.XLOOKUP($E$6, 'Metric Categories 1-14'!$B$7:$FM$7, _xlfn.XLOOKUP(A19, 'Metric Categories 1-14'!$A$8:$A$57, 'Metric Categories 1-14'!$B$8:$FM$57))</f>
        <v>1.6</v>
      </c>
      <c r="F19" s="35">
        <f t="shared" si="0"/>
        <v>1.5699999999999998</v>
      </c>
      <c r="G19" s="305" cm="1">
        <f t="array" ref="G19">_xlfn.IFS(F19&lt;$F$58, 1, F19&gt;$F$59, 3, F19&lt;$F$59, 2)</f>
        <v>3</v>
      </c>
      <c r="H19" s="20" cm="1">
        <f t="array" ref="H19">_xlfn.XLOOKUP($H$6, 'Metric Categories 1-14'!$B$7:$FM$7, _xlfn.XLOOKUP(A19, 'Metric Categories 1-14'!$A$8:$A$57, 'Metric Categories 1-14'!$B$8:$FM$57))</f>
        <v>2.2000000000000002</v>
      </c>
      <c r="I19" s="20" cm="1">
        <f t="array" ref="I19">_xlfn.XLOOKUP($I$6, 'Metric Categories 1-14'!$B$7:$FM$7, _xlfn.XLOOKUP(A19, 'Metric Categories 1-14'!$A$8:$A$57, 'Metric Categories 1-14'!$B$8:$FM$57))</f>
        <v>2.5</v>
      </c>
      <c r="J19" s="20" cm="1">
        <f t="array" ref="J19">_xlfn.XLOOKUP($J$6, 'Metric Categories 1-14'!$B$7:$FM$7, _xlfn.XLOOKUP(A19, 'Metric Categories 1-14'!$A$8:$A$57, 'Metric Categories 1-14'!$B$8:$FM$57))</f>
        <v>1.9999999999999998</v>
      </c>
      <c r="K19" s="20" cm="1">
        <f t="array" ref="K19">_xlfn.XLOOKUP($K$6, '15. Workforce Calcs'!$B$8:$BG$8, _xlfn.XLOOKUP(A19, '15. Workforce Calcs'!$A$10:$A$59, '15. Workforce Calcs'!$B$10:$BG$59))</f>
        <v>3</v>
      </c>
      <c r="L19" s="20" cm="1">
        <f t="array" ref="L19">_xlfn.XLOOKUP($L$6, '16. Existing HQs and Projects'!$B$8:$Q$8, _xlfn.XLOOKUP(A19,'16. Existing HQs and Projects'!$A$9:$A$58, '16. Existing HQs and Projects'!$B$9:$Q$58))</f>
        <v>3</v>
      </c>
      <c r="M19" s="37">
        <f t="shared" si="1"/>
        <v>2.355</v>
      </c>
      <c r="N19" s="306" cm="1">
        <f t="array" ref="N19">_xlfn.IFS(M19&lt;$M$58, 1, M19&gt;$M$59, 3, M19&lt;$M$59, 2)</f>
        <v>3</v>
      </c>
    </row>
    <row r="20" spans="1:14" s="13" customFormat="1">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20" cm="1">
        <f t="array" ref="E20">_xlfn.XLOOKUP($E$6, 'Metric Categories 1-14'!$B$7:$FM$7, _xlfn.XLOOKUP(A20, 'Metric Categories 1-14'!$A$8:$A$57, 'Metric Categories 1-14'!$B$8:$FM$57))</f>
        <v>2.2000000000000002</v>
      </c>
      <c r="F20" s="35">
        <f t="shared" si="0"/>
        <v>1.39</v>
      </c>
      <c r="G20" s="305" cm="1">
        <f t="array" ref="G20">_xlfn.IFS(F20&lt;$F$58, 1, F20&gt;$F$59, 3, F20&lt;$F$59, 2)</f>
        <v>2</v>
      </c>
      <c r="H20" s="20" cm="1">
        <f t="array" ref="H20">_xlfn.XLOOKUP($H$6, 'Metric Categories 1-14'!$B$7:$FM$7, _xlfn.XLOOKUP(A20, 'Metric Categories 1-14'!$A$8:$A$57, 'Metric Categories 1-14'!$B$8:$FM$57))</f>
        <v>2.2000000000000002</v>
      </c>
      <c r="I20" s="20" cm="1">
        <f t="array" ref="I20">_xlfn.XLOOKUP($I$6, 'Metric Categories 1-14'!$B$7:$FM$7, _xlfn.XLOOKUP(A20, 'Metric Categories 1-14'!$A$8:$A$57, 'Metric Categories 1-14'!$B$8:$FM$57))</f>
        <v>2</v>
      </c>
      <c r="J20" s="20" cm="1">
        <f t="array" ref="J20">_xlfn.XLOOKUP($J$6, 'Metric Categories 1-14'!$B$7:$FM$7, _xlfn.XLOOKUP(A20, 'Metric Categories 1-14'!$A$8:$A$57, 'Metric Categories 1-14'!$B$8:$FM$57))</f>
        <v>1.7999999999999998</v>
      </c>
      <c r="K20" s="20" cm="1">
        <f t="array" ref="K20">_xlfn.XLOOKUP($K$6, '15. Workforce Calcs'!$B$8:$BG$8, _xlfn.XLOOKUP(A20, '15. Workforce Calcs'!$A$10:$A$59, '15. Workforce Calcs'!$B$10:$BG$59))</f>
        <v>3</v>
      </c>
      <c r="L20" s="20" cm="1">
        <f t="array" ref="L20">_xlfn.XLOOKUP($L$6, '16. Existing HQs and Projects'!$B$8:$Q$8, _xlfn.XLOOKUP(A20,'16. Existing HQs and Projects'!$A$9:$A$58, '16. Existing HQs and Projects'!$B$9:$Q$58))</f>
        <v>3</v>
      </c>
      <c r="M20" s="37">
        <f t="shared" si="1"/>
        <v>2.11</v>
      </c>
      <c r="N20" s="306" cm="1">
        <f t="array" ref="N20">_xlfn.IFS(M20&lt;$M$58, 1, M20&gt;$M$59, 3, M20&lt;$M$59, 2)</f>
        <v>3</v>
      </c>
    </row>
    <row r="21" spans="1:14" s="13" customFormat="1">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20" cm="1">
        <f t="array" ref="E21">_xlfn.XLOOKUP($E$6, 'Metric Categories 1-14'!$B$7:$FM$7, _xlfn.XLOOKUP(A21, 'Metric Categories 1-14'!$A$8:$A$57, 'Metric Categories 1-14'!$B$8:$FM$57))</f>
        <v>1.6</v>
      </c>
      <c r="F21" s="35">
        <f t="shared" si="0"/>
        <v>1.25</v>
      </c>
      <c r="G21" s="305" cm="1">
        <f t="array" ref="G21">_xlfn.IFS(F21&lt;$F$58, 1, F21&gt;$F$59, 3, F21&lt;$F$59, 2)</f>
        <v>2</v>
      </c>
      <c r="H21" s="20" cm="1">
        <f t="array" ref="H21">_xlfn.XLOOKUP($H$6, 'Metric Categories 1-14'!$B$7:$FM$7, _xlfn.XLOOKUP(A21, 'Metric Categories 1-14'!$A$8:$A$57, 'Metric Categories 1-14'!$B$8:$FM$57))</f>
        <v>1.4</v>
      </c>
      <c r="I21" s="20" cm="1">
        <f t="array" ref="I21">_xlfn.XLOOKUP($I$6, 'Metric Categories 1-14'!$B$7:$FM$7, _xlfn.XLOOKUP(A21, 'Metric Categories 1-14'!$A$8:$A$57, 'Metric Categories 1-14'!$B$8:$FM$57))</f>
        <v>1</v>
      </c>
      <c r="J21" s="20" cm="1">
        <f t="array" ref="J21">_xlfn.XLOOKUP($J$6, 'Metric Categories 1-14'!$B$7:$FM$7, _xlfn.XLOOKUP(A21, 'Metric Categories 1-14'!$A$8:$A$57, 'Metric Categories 1-14'!$B$8:$FM$57))</f>
        <v>2.5000000000000004</v>
      </c>
      <c r="K21" s="20" cm="1">
        <f t="array" ref="K21">_xlfn.XLOOKUP($K$6, '15. Workforce Calcs'!$B$8:$BG$8, _xlfn.XLOOKUP(A21, '15. Workforce Calcs'!$A$10:$A$59, '15. Workforce Calcs'!$B$10:$BG$59))</f>
        <v>2</v>
      </c>
      <c r="L21" s="20" cm="1">
        <f t="array" ref="L21">_xlfn.XLOOKUP($L$6, '16. Existing HQs and Projects'!$B$8:$Q$8, _xlfn.XLOOKUP(A21,'16. Existing HQs and Projects'!$A$9:$A$58, '16. Existing HQs and Projects'!$B$9:$Q$58))</f>
        <v>1</v>
      </c>
      <c r="M21" s="37">
        <f t="shared" si="1"/>
        <v>1.6850000000000001</v>
      </c>
      <c r="N21" s="306" cm="1">
        <f t="array" ref="N21">_xlfn.IFS(M21&lt;$M$58, 1, M21&gt;$M$59, 3, M21&lt;$M$59, 2)</f>
        <v>1</v>
      </c>
    </row>
    <row r="22" spans="1:14" s="13" customFormat="1">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20" cm="1">
        <f t="array" ref="E22">_xlfn.XLOOKUP($E$6, 'Metric Categories 1-14'!$B$7:$FM$7, _xlfn.XLOOKUP(A22, 'Metric Categories 1-14'!$A$8:$A$57, 'Metric Categories 1-14'!$B$8:$FM$57))</f>
        <v>1.4000000000000001</v>
      </c>
      <c r="F22" s="35">
        <f t="shared" si="0"/>
        <v>1.02</v>
      </c>
      <c r="G22" s="305" cm="1">
        <f t="array" ref="G22">_xlfn.IFS(F22&lt;$F$58, 1, F22&gt;$F$59, 3, F22&lt;$F$59, 2)</f>
        <v>1</v>
      </c>
      <c r="H22" s="20" cm="1">
        <f t="array" ref="H22">_xlfn.XLOOKUP($H$6, 'Metric Categories 1-14'!$B$7:$FM$7, _xlfn.XLOOKUP(A22, 'Metric Categories 1-14'!$A$8:$A$57, 'Metric Categories 1-14'!$B$8:$FM$57))</f>
        <v>1.8000000000000003</v>
      </c>
      <c r="I22" s="20" cm="1">
        <f t="array" ref="I22">_xlfn.XLOOKUP($I$6, 'Metric Categories 1-14'!$B$7:$FM$7, _xlfn.XLOOKUP(A22, 'Metric Categories 1-14'!$A$8:$A$57, 'Metric Categories 1-14'!$B$8:$FM$57))</f>
        <v>2.25</v>
      </c>
      <c r="J22" s="20" cm="1">
        <f t="array" ref="J22">_xlfn.XLOOKUP($J$6, 'Metric Categories 1-14'!$B$7:$FM$7, _xlfn.XLOOKUP(A22, 'Metric Categories 1-14'!$A$8:$A$57, 'Metric Categories 1-14'!$B$8:$FM$57))</f>
        <v>2.8</v>
      </c>
      <c r="K22" s="20" cm="1">
        <f t="array" ref="K22">_xlfn.XLOOKUP($K$6, '15. Workforce Calcs'!$B$8:$BG$8, _xlfn.XLOOKUP(A22, '15. Workforce Calcs'!$A$10:$A$59, '15. Workforce Calcs'!$B$10:$BG$59))</f>
        <v>2</v>
      </c>
      <c r="L22" s="20" cm="1">
        <f t="array" ref="L22">_xlfn.XLOOKUP($L$6, '16. Existing HQs and Projects'!$B$8:$Q$8, _xlfn.XLOOKUP(A22,'16. Existing HQs and Projects'!$A$9:$A$58, '16. Existing HQs and Projects'!$B$9:$Q$58))</f>
        <v>3</v>
      </c>
      <c r="M22" s="37">
        <f t="shared" si="1"/>
        <v>2.3875000000000002</v>
      </c>
      <c r="N22" s="306" cm="1">
        <f t="array" ref="N22">_xlfn.IFS(M22&lt;$M$58, 1, M22&gt;$M$59, 3, M22&lt;$M$59, 2)</f>
        <v>3</v>
      </c>
    </row>
    <row r="23" spans="1:14" s="13" customFormat="1">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20" cm="1">
        <f t="array" ref="E23">_xlfn.XLOOKUP($E$6, 'Metric Categories 1-14'!$B$7:$FM$7, _xlfn.XLOOKUP(A23, 'Metric Categories 1-14'!$A$8:$A$57, 'Metric Categories 1-14'!$B$8:$FM$57))</f>
        <v>1.8</v>
      </c>
      <c r="F23" s="35">
        <f t="shared" si="0"/>
        <v>1.39</v>
      </c>
      <c r="G23" s="305" cm="1">
        <f t="array" ref="G23">_xlfn.IFS(F23&lt;$F$58, 1, F23&gt;$F$59, 3, F23&lt;$F$59, 2)</f>
        <v>2</v>
      </c>
      <c r="H23" s="20" cm="1">
        <f t="array" ref="H23">_xlfn.XLOOKUP($H$6, 'Metric Categories 1-14'!$B$7:$FM$7, _xlfn.XLOOKUP(A23, 'Metric Categories 1-14'!$A$8:$A$57, 'Metric Categories 1-14'!$B$8:$FM$57))</f>
        <v>1.2000000000000002</v>
      </c>
      <c r="I23" s="20" cm="1">
        <f t="array" ref="I23">_xlfn.XLOOKUP($I$6, 'Metric Categories 1-14'!$B$7:$FM$7, _xlfn.XLOOKUP(A23, 'Metric Categories 1-14'!$A$8:$A$57, 'Metric Categories 1-14'!$B$8:$FM$57))</f>
        <v>1.75</v>
      </c>
      <c r="J23" s="20" cm="1">
        <f t="array" ref="J23">_xlfn.XLOOKUP($J$6, 'Metric Categories 1-14'!$B$7:$FM$7, _xlfn.XLOOKUP(A23, 'Metric Categories 1-14'!$A$8:$A$57, 'Metric Categories 1-14'!$B$8:$FM$57))</f>
        <v>1.2</v>
      </c>
      <c r="K23" s="20" cm="1">
        <f t="array" ref="K23">_xlfn.XLOOKUP($K$6, '15. Workforce Calcs'!$B$8:$BG$8, _xlfn.XLOOKUP(A23, '15. Workforce Calcs'!$A$10:$A$59, '15. Workforce Calcs'!$B$10:$BG$59))</f>
        <v>2</v>
      </c>
      <c r="L23" s="20" cm="1">
        <f t="array" ref="L23">_xlfn.XLOOKUP($L$6, '16. Existing HQs and Projects'!$B$8:$Q$8, _xlfn.XLOOKUP(A23,'16. Existing HQs and Projects'!$A$9:$A$58, '16. Existing HQs and Projects'!$B$9:$Q$58))</f>
        <v>3</v>
      </c>
      <c r="M23" s="37">
        <f t="shared" si="1"/>
        <v>1.5625</v>
      </c>
      <c r="N23" s="306" cm="1">
        <f t="array" ref="N23">_xlfn.IFS(M23&lt;$M$58, 1, M23&gt;$M$59, 3, M23&lt;$M$59, 2)</f>
        <v>1</v>
      </c>
    </row>
    <row r="24" spans="1:14" s="13" customFormat="1">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20" cm="1">
        <f t="array" ref="E24">_xlfn.XLOOKUP($E$6, 'Metric Categories 1-14'!$B$7:$FM$7, _xlfn.XLOOKUP(A24, 'Metric Categories 1-14'!$A$8:$A$57, 'Metric Categories 1-14'!$B$8:$FM$57))</f>
        <v>2.4000000000000004</v>
      </c>
      <c r="F24" s="35">
        <f t="shared" si="0"/>
        <v>1.52</v>
      </c>
      <c r="G24" s="305" cm="1">
        <f t="array" ref="G24">_xlfn.IFS(F24&lt;$F$58, 1, F24&gt;$F$59, 3, F24&lt;$F$59, 2)</f>
        <v>3</v>
      </c>
      <c r="H24" s="20" cm="1">
        <f t="array" ref="H24">_xlfn.XLOOKUP($H$6, 'Metric Categories 1-14'!$B$7:$FM$7, _xlfn.XLOOKUP(A24, 'Metric Categories 1-14'!$A$8:$A$57, 'Metric Categories 1-14'!$B$8:$FM$57))</f>
        <v>3.0000000000000004</v>
      </c>
      <c r="I24" s="20" cm="1">
        <f t="array" ref="I24">_xlfn.XLOOKUP($I$6, 'Metric Categories 1-14'!$B$7:$FM$7, _xlfn.XLOOKUP(A24, 'Metric Categories 1-14'!$A$8:$A$57, 'Metric Categories 1-14'!$B$8:$FM$57))</f>
        <v>2</v>
      </c>
      <c r="J24" s="20" cm="1">
        <f t="array" ref="J24">_xlfn.XLOOKUP($J$6, 'Metric Categories 1-14'!$B$7:$FM$7, _xlfn.XLOOKUP(A24, 'Metric Categories 1-14'!$A$8:$A$57, 'Metric Categories 1-14'!$B$8:$FM$57))</f>
        <v>1.2999999999999998</v>
      </c>
      <c r="K24" s="20" cm="1">
        <f t="array" ref="K24">_xlfn.XLOOKUP($K$6, '15. Workforce Calcs'!$B$8:$BG$8, _xlfn.XLOOKUP(A24, '15. Workforce Calcs'!$A$10:$A$59, '15. Workforce Calcs'!$B$10:$BG$59))</f>
        <v>3</v>
      </c>
      <c r="L24" s="20" cm="1">
        <f t="array" ref="L24">_xlfn.XLOOKUP($L$6, '16. Existing HQs and Projects'!$B$8:$Q$8, _xlfn.XLOOKUP(A24,'16. Existing HQs and Projects'!$A$9:$A$58, '16. Existing HQs and Projects'!$B$9:$Q$58))</f>
        <v>3</v>
      </c>
      <c r="M24" s="37">
        <f t="shared" si="1"/>
        <v>2.0549999999999997</v>
      </c>
      <c r="N24" s="306" cm="1">
        <f t="array" ref="N24">_xlfn.IFS(M24&lt;$M$58, 1, M24&gt;$M$59, 3, M24&lt;$M$59, 2)</f>
        <v>2</v>
      </c>
    </row>
    <row r="25" spans="1:14" s="13" customFormat="1">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20" cm="1">
        <f t="array" ref="E25">_xlfn.XLOOKUP($E$6, 'Metric Categories 1-14'!$B$7:$FM$7, _xlfn.XLOOKUP(A25, 'Metric Categories 1-14'!$A$8:$A$57, 'Metric Categories 1-14'!$B$8:$FM$57))</f>
        <v>1.2000000000000002</v>
      </c>
      <c r="F25" s="35">
        <f t="shared" si="0"/>
        <v>1.47</v>
      </c>
      <c r="G25" s="305" cm="1">
        <f t="array" ref="G25">_xlfn.IFS(F25&lt;$F$58, 1, F25&gt;$F$59, 3, F25&lt;$F$59, 2)</f>
        <v>2</v>
      </c>
      <c r="H25" s="20" cm="1">
        <f t="array" ref="H25">_xlfn.XLOOKUP($H$6, 'Metric Categories 1-14'!$B$7:$FM$7, _xlfn.XLOOKUP(A25, 'Metric Categories 1-14'!$A$8:$A$57, 'Metric Categories 1-14'!$B$8:$FM$57))</f>
        <v>1</v>
      </c>
      <c r="I25" s="20" cm="1">
        <f t="array" ref="I25">_xlfn.XLOOKUP($I$6, 'Metric Categories 1-14'!$B$7:$FM$7, _xlfn.XLOOKUP(A25, 'Metric Categories 1-14'!$A$8:$A$57, 'Metric Categories 1-14'!$B$8:$FM$57))</f>
        <v>2</v>
      </c>
      <c r="J25" s="20" cm="1">
        <f t="array" ref="J25">_xlfn.XLOOKUP($J$6, 'Metric Categories 1-14'!$B$7:$FM$7, _xlfn.XLOOKUP(A25, 'Metric Categories 1-14'!$A$8:$A$57, 'Metric Categories 1-14'!$B$8:$FM$57))</f>
        <v>2.5</v>
      </c>
      <c r="K25" s="20" cm="1">
        <f t="array" ref="K25">_xlfn.XLOOKUP($K$6, '15. Workforce Calcs'!$B$8:$BG$8, _xlfn.XLOOKUP(A25, '15. Workforce Calcs'!$A$10:$A$59, '15. Workforce Calcs'!$B$10:$BG$59))</f>
        <v>1</v>
      </c>
      <c r="L25" s="20" cm="1">
        <f t="array" ref="L25">_xlfn.XLOOKUP($L$6, '16. Existing HQs and Projects'!$B$8:$Q$8, _xlfn.XLOOKUP(A25,'16. Existing HQs and Projects'!$A$9:$A$58, '16. Existing HQs and Projects'!$B$9:$Q$58))</f>
        <v>1</v>
      </c>
      <c r="M25" s="37">
        <f t="shared" si="1"/>
        <v>1.8750000000000002</v>
      </c>
      <c r="N25" s="306" cm="1">
        <f t="array" ref="N25">_xlfn.IFS(M25&lt;$M$58, 1, M25&gt;$M$59, 3, M25&lt;$M$59, 2)</f>
        <v>2</v>
      </c>
    </row>
    <row r="26" spans="1:14" s="13" customFormat="1">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20" cm="1">
        <f t="array" ref="E26">_xlfn.XLOOKUP($E$6, 'Metric Categories 1-14'!$B$7:$FM$7, _xlfn.XLOOKUP(A26, 'Metric Categories 1-14'!$A$8:$A$57, 'Metric Categories 1-14'!$B$8:$FM$57))</f>
        <v>1.6</v>
      </c>
      <c r="F26" s="35">
        <f t="shared" si="0"/>
        <v>1.6099999999999999</v>
      </c>
      <c r="G26" s="305" cm="1">
        <f t="array" ref="G26">_xlfn.IFS(F26&lt;$F$58, 1, F26&gt;$F$59, 3, F26&lt;$F$59, 2)</f>
        <v>3</v>
      </c>
      <c r="H26" s="20" cm="1">
        <f t="array" ref="H26">_xlfn.XLOOKUP($H$6, 'Metric Categories 1-14'!$B$7:$FM$7, _xlfn.XLOOKUP(A26, 'Metric Categories 1-14'!$A$8:$A$57, 'Metric Categories 1-14'!$B$8:$FM$57))</f>
        <v>1</v>
      </c>
      <c r="I26" s="20" cm="1">
        <f t="array" ref="I26">_xlfn.XLOOKUP($I$6, 'Metric Categories 1-14'!$B$7:$FM$7, _xlfn.XLOOKUP(A26, 'Metric Categories 1-14'!$A$8:$A$57, 'Metric Categories 1-14'!$B$8:$FM$57))</f>
        <v>2.25</v>
      </c>
      <c r="J26" s="20" cm="1">
        <f t="array" ref="J26">_xlfn.XLOOKUP($J$6, 'Metric Categories 1-14'!$B$7:$FM$7, _xlfn.XLOOKUP(A26, 'Metric Categories 1-14'!$A$8:$A$57, 'Metric Categories 1-14'!$B$8:$FM$57))</f>
        <v>1.2</v>
      </c>
      <c r="K26" s="20" cm="1">
        <f t="array" ref="K26">_xlfn.XLOOKUP($K$6, '15. Workforce Calcs'!$B$8:$BG$8, _xlfn.XLOOKUP(A26, '15. Workforce Calcs'!$A$10:$A$59, '15. Workforce Calcs'!$B$10:$BG$59))</f>
        <v>2</v>
      </c>
      <c r="L26" s="20" cm="1">
        <f t="array" ref="L26">_xlfn.XLOOKUP($L$6, '16. Existing HQs and Projects'!$B$8:$Q$8, _xlfn.XLOOKUP(A26,'16. Existing HQs and Projects'!$A$9:$A$58, '16. Existing HQs and Projects'!$B$9:$Q$58))</f>
        <v>1</v>
      </c>
      <c r="M26" s="37">
        <f t="shared" si="1"/>
        <v>1.6074999999999999</v>
      </c>
      <c r="N26" s="306" cm="1">
        <f t="array" ref="N26">_xlfn.IFS(M26&lt;$M$58, 1, M26&gt;$M$59, 3, M26&lt;$M$59, 2)</f>
        <v>1</v>
      </c>
    </row>
    <row r="27" spans="1:14" s="13" customFormat="1">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20" cm="1">
        <f t="array" ref="E27">_xlfn.XLOOKUP($E$6, 'Metric Categories 1-14'!$B$7:$FM$7, _xlfn.XLOOKUP(A27, 'Metric Categories 1-14'!$A$8:$A$57, 'Metric Categories 1-14'!$B$8:$FM$57))</f>
        <v>1.2000000000000002</v>
      </c>
      <c r="F27" s="35">
        <f t="shared" si="0"/>
        <v>1.74</v>
      </c>
      <c r="G27" s="305" cm="1">
        <f t="array" ref="G27">_xlfn.IFS(F27&lt;$F$58, 1, F27&gt;$F$59, 3, F27&lt;$F$59, 2)</f>
        <v>3</v>
      </c>
      <c r="H27" s="20" cm="1">
        <f t="array" ref="H27">_xlfn.XLOOKUP($H$6, 'Metric Categories 1-14'!$B$7:$FM$7, _xlfn.XLOOKUP(A27, 'Metric Categories 1-14'!$A$8:$A$57, 'Metric Categories 1-14'!$B$8:$FM$57))</f>
        <v>1</v>
      </c>
      <c r="I27" s="20" cm="1">
        <f t="array" ref="I27">_xlfn.XLOOKUP($I$6, 'Metric Categories 1-14'!$B$7:$FM$7, _xlfn.XLOOKUP(A27, 'Metric Categories 1-14'!$A$8:$A$57, 'Metric Categories 1-14'!$B$8:$FM$57))</f>
        <v>1.5</v>
      </c>
      <c r="J27" s="20" cm="1">
        <f t="array" ref="J27">_xlfn.XLOOKUP($J$6, 'Metric Categories 1-14'!$B$7:$FM$7, _xlfn.XLOOKUP(A27, 'Metric Categories 1-14'!$A$8:$A$57, 'Metric Categories 1-14'!$B$8:$FM$57))</f>
        <v>1.4000000000000001</v>
      </c>
      <c r="K27" s="20" cm="1">
        <f t="array" ref="K27">_xlfn.XLOOKUP($K$6, '15. Workforce Calcs'!$B$8:$BG$8, _xlfn.XLOOKUP(A27, '15. Workforce Calcs'!$A$10:$A$59, '15. Workforce Calcs'!$B$10:$BG$59))</f>
        <v>2</v>
      </c>
      <c r="L27" s="20" cm="1">
        <f t="array" ref="L27">_xlfn.XLOOKUP($L$6, '16. Existing HQs and Projects'!$B$8:$Q$8, _xlfn.XLOOKUP(A27,'16. Existing HQs and Projects'!$A$9:$A$58, '16. Existing HQs and Projects'!$B$9:$Q$58))</f>
        <v>3</v>
      </c>
      <c r="M27" s="37">
        <f t="shared" si="1"/>
        <v>1.5150000000000001</v>
      </c>
      <c r="N27" s="306" cm="1">
        <f t="array" ref="N27">_xlfn.IFS(M27&lt;$M$58, 1, M27&gt;$M$59, 3, M27&lt;$M$59, 2)</f>
        <v>1</v>
      </c>
    </row>
    <row r="28" spans="1:14" s="13" customFormat="1">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20" cm="1">
        <f t="array" ref="E28">_xlfn.XLOOKUP($E$6, 'Metric Categories 1-14'!$B$7:$FM$7, _xlfn.XLOOKUP(A28, 'Metric Categories 1-14'!$A$8:$A$57, 'Metric Categories 1-14'!$B$8:$FM$57))</f>
        <v>1.8</v>
      </c>
      <c r="F28" s="35">
        <f t="shared" si="0"/>
        <v>1.5399999999999998</v>
      </c>
      <c r="G28" s="305" cm="1">
        <f t="array" ref="G28">_xlfn.IFS(F28&lt;$F$58, 1, F28&gt;$F$59, 3, F28&lt;$F$59, 2)</f>
        <v>3</v>
      </c>
      <c r="H28" s="20" cm="1">
        <f t="array" ref="H28">_xlfn.XLOOKUP($H$6, 'Metric Categories 1-14'!$B$7:$FM$7, _xlfn.XLOOKUP(A28, 'Metric Categories 1-14'!$A$8:$A$57, 'Metric Categories 1-14'!$B$8:$FM$57))</f>
        <v>1.4</v>
      </c>
      <c r="I28" s="20" cm="1">
        <f t="array" ref="I28">_xlfn.XLOOKUP($I$6, 'Metric Categories 1-14'!$B$7:$FM$7, _xlfn.XLOOKUP(A28, 'Metric Categories 1-14'!$A$8:$A$57, 'Metric Categories 1-14'!$B$8:$FM$57))</f>
        <v>2</v>
      </c>
      <c r="J28" s="20" cm="1">
        <f t="array" ref="J28">_xlfn.XLOOKUP($J$6, 'Metric Categories 1-14'!$B$7:$FM$7, _xlfn.XLOOKUP(A28, 'Metric Categories 1-14'!$A$8:$A$57, 'Metric Categories 1-14'!$B$8:$FM$57))</f>
        <v>1.4999999999999998</v>
      </c>
      <c r="K28" s="20" cm="1">
        <f t="array" ref="K28">_xlfn.XLOOKUP($K$6, '15. Workforce Calcs'!$B$8:$BG$8, _xlfn.XLOOKUP(A28, '15. Workforce Calcs'!$A$10:$A$59, '15. Workforce Calcs'!$B$10:$BG$59))</f>
        <v>3</v>
      </c>
      <c r="L28" s="20" cm="1">
        <f t="array" ref="L28">_xlfn.XLOOKUP($L$6, '16. Existing HQs and Projects'!$B$8:$Q$8, _xlfn.XLOOKUP(A28,'16. Existing HQs and Projects'!$A$9:$A$58, '16. Existing HQs and Projects'!$B$9:$Q$58))</f>
        <v>1</v>
      </c>
      <c r="M28" s="37">
        <f t="shared" si="1"/>
        <v>1.7849999999999999</v>
      </c>
      <c r="N28" s="306" cm="1">
        <f t="array" ref="N28">_xlfn.IFS(M28&lt;$M$58, 1, M28&gt;$M$59, 3, M28&lt;$M$59, 2)</f>
        <v>2</v>
      </c>
    </row>
    <row r="29" spans="1:14" s="13" customFormat="1">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20" cm="1">
        <f t="array" ref="E29">_xlfn.XLOOKUP($E$6, 'Metric Categories 1-14'!$B$7:$FM$7, _xlfn.XLOOKUP(A29, 'Metric Categories 1-14'!$A$8:$A$57, 'Metric Categories 1-14'!$B$8:$FM$57))</f>
        <v>1.6</v>
      </c>
      <c r="F29" s="35">
        <f t="shared" si="0"/>
        <v>1.73</v>
      </c>
      <c r="G29" s="305" cm="1">
        <f t="array" ref="G29">_xlfn.IFS(F29&lt;$F$58, 1, F29&gt;$F$59, 3, F29&lt;$F$59, 2)</f>
        <v>3</v>
      </c>
      <c r="H29" s="20" cm="1">
        <f t="array" ref="H29">_xlfn.XLOOKUP($H$6, 'Metric Categories 1-14'!$B$7:$FM$7, _xlfn.XLOOKUP(A29, 'Metric Categories 1-14'!$A$8:$A$57, 'Metric Categories 1-14'!$B$8:$FM$57))</f>
        <v>1.4</v>
      </c>
      <c r="I29" s="20" cm="1">
        <f t="array" ref="I29">_xlfn.XLOOKUP($I$6, 'Metric Categories 1-14'!$B$7:$FM$7, _xlfn.XLOOKUP(A29, 'Metric Categories 1-14'!$A$8:$A$57, 'Metric Categories 1-14'!$B$8:$FM$57))</f>
        <v>2</v>
      </c>
      <c r="J29" s="20" cm="1">
        <f t="array" ref="J29">_xlfn.XLOOKUP($J$6, 'Metric Categories 1-14'!$B$7:$FM$7, _xlfn.XLOOKUP(A29, 'Metric Categories 1-14'!$A$8:$A$57, 'Metric Categories 1-14'!$B$8:$FM$57))</f>
        <v>1.9000000000000001</v>
      </c>
      <c r="K29" s="20" cm="1">
        <f t="array" ref="K29">_xlfn.XLOOKUP($K$6, '15. Workforce Calcs'!$B$8:$BG$8, _xlfn.XLOOKUP(A29, '15. Workforce Calcs'!$A$10:$A$59, '15. Workforce Calcs'!$B$10:$BG$59))</f>
        <v>2</v>
      </c>
      <c r="L29" s="20" cm="1">
        <f t="array" ref="L29">_xlfn.XLOOKUP($L$6, '16. Existing HQs and Projects'!$B$8:$Q$8, _xlfn.XLOOKUP(A29,'16. Existing HQs and Projects'!$A$9:$A$58, '16. Existing HQs and Projects'!$B$9:$Q$58))</f>
        <v>1</v>
      </c>
      <c r="M29" s="37">
        <f t="shared" si="1"/>
        <v>1.825</v>
      </c>
      <c r="N29" s="306" cm="1">
        <f t="array" ref="N29">_xlfn.IFS(M29&lt;$M$58, 1, M29&gt;$M$59, 3, M29&lt;$M$59, 2)</f>
        <v>2</v>
      </c>
    </row>
    <row r="30" spans="1:14" s="13" customFormat="1">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20" cm="1">
        <f t="array" ref="E30">_xlfn.XLOOKUP($E$6, 'Metric Categories 1-14'!$B$7:$FM$7, _xlfn.XLOOKUP(A30, 'Metric Categories 1-14'!$A$8:$A$57, 'Metric Categories 1-14'!$B$8:$FM$57))</f>
        <v>1.4000000000000001</v>
      </c>
      <c r="F30" s="35">
        <f t="shared" si="0"/>
        <v>1.1299999999999999</v>
      </c>
      <c r="G30" s="305" cm="1">
        <f t="array" ref="G30">_xlfn.IFS(F30&lt;$F$58, 1, F30&gt;$F$59, 3, F30&lt;$F$59, 2)</f>
        <v>1</v>
      </c>
      <c r="H30" s="20" cm="1">
        <f t="array" ref="H30">_xlfn.XLOOKUP($H$6, 'Metric Categories 1-14'!$B$7:$FM$7, _xlfn.XLOOKUP(A30, 'Metric Categories 1-14'!$A$8:$A$57, 'Metric Categories 1-14'!$B$8:$FM$57))</f>
        <v>2</v>
      </c>
      <c r="I30" s="20" cm="1">
        <f t="array" ref="I30">_xlfn.XLOOKUP($I$6, 'Metric Categories 1-14'!$B$7:$FM$7, _xlfn.XLOOKUP(A30, 'Metric Categories 1-14'!$A$8:$A$57, 'Metric Categories 1-14'!$B$8:$FM$57))</f>
        <v>2</v>
      </c>
      <c r="J30" s="20" cm="1">
        <f t="array" ref="J30">_xlfn.XLOOKUP($J$6, 'Metric Categories 1-14'!$B$7:$FM$7, _xlfn.XLOOKUP(A30, 'Metric Categories 1-14'!$A$8:$A$57, 'Metric Categories 1-14'!$B$8:$FM$57))</f>
        <v>1.4000000000000001</v>
      </c>
      <c r="K30" s="20" cm="1">
        <f t="array" ref="K30">_xlfn.XLOOKUP($K$6, '15. Workforce Calcs'!$B$8:$BG$8, _xlfn.XLOOKUP(A30, '15. Workforce Calcs'!$A$10:$A$59, '15. Workforce Calcs'!$B$10:$BG$59))</f>
        <v>2</v>
      </c>
      <c r="L30" s="20" cm="1">
        <f t="array" ref="L30">_xlfn.XLOOKUP($L$6, '16. Existing HQs and Projects'!$B$8:$Q$8, _xlfn.XLOOKUP(A30,'16. Existing HQs and Projects'!$A$9:$A$58, '16. Existing HQs and Projects'!$B$9:$Q$58))</f>
        <v>1</v>
      </c>
      <c r="M30" s="37">
        <f t="shared" si="1"/>
        <v>1.74</v>
      </c>
      <c r="N30" s="306" cm="1">
        <f t="array" ref="N30">_xlfn.IFS(M30&lt;$M$58, 1, M30&gt;$M$59, 3, M30&lt;$M$59, 2)</f>
        <v>2</v>
      </c>
    </row>
    <row r="31" spans="1:14" s="13" customFormat="1">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20" cm="1">
        <f t="array" ref="E31">_xlfn.XLOOKUP($E$6, 'Metric Categories 1-14'!$B$7:$FM$7, _xlfn.XLOOKUP(A31, 'Metric Categories 1-14'!$A$8:$A$57, 'Metric Categories 1-14'!$B$8:$FM$57))</f>
        <v>1.2000000000000002</v>
      </c>
      <c r="F31" s="35">
        <f t="shared" si="0"/>
        <v>1.0499999999999998</v>
      </c>
      <c r="G31" s="305" cm="1">
        <f t="array" ref="G31">_xlfn.IFS(F31&lt;$F$58, 1, F31&gt;$F$59, 3, F31&lt;$F$59, 2)</f>
        <v>1</v>
      </c>
      <c r="H31" s="20" cm="1">
        <f t="array" ref="H31">_xlfn.XLOOKUP($H$6, 'Metric Categories 1-14'!$B$7:$FM$7, _xlfn.XLOOKUP(A31, 'Metric Categories 1-14'!$A$8:$A$57, 'Metric Categories 1-14'!$B$8:$FM$57))</f>
        <v>1.2000000000000002</v>
      </c>
      <c r="I31" s="20" cm="1">
        <f t="array" ref="I31">_xlfn.XLOOKUP($I$6, 'Metric Categories 1-14'!$B$7:$FM$7, _xlfn.XLOOKUP(A31, 'Metric Categories 1-14'!$A$8:$A$57, 'Metric Categories 1-14'!$B$8:$FM$57))</f>
        <v>1</v>
      </c>
      <c r="J31" s="20" cm="1">
        <f t="array" ref="J31">_xlfn.XLOOKUP($J$6, 'Metric Categories 1-14'!$B$7:$FM$7, _xlfn.XLOOKUP(A31, 'Metric Categories 1-14'!$A$8:$A$57, 'Metric Categories 1-14'!$B$8:$FM$57))</f>
        <v>1.6999999999999997</v>
      </c>
      <c r="K31" s="20" cm="1">
        <f t="array" ref="K31">_xlfn.XLOOKUP($K$6, '15. Workforce Calcs'!$B$8:$BG$8, _xlfn.XLOOKUP(A31, '15. Workforce Calcs'!$A$10:$A$59, '15. Workforce Calcs'!$B$10:$BG$59))</f>
        <v>3</v>
      </c>
      <c r="L31" s="20" cm="1">
        <f t="array" ref="L31">_xlfn.XLOOKUP($L$6, '16. Existing HQs and Projects'!$B$8:$Q$8, _xlfn.XLOOKUP(A31,'16. Existing HQs and Projects'!$A$9:$A$58, '16. Existing HQs and Projects'!$B$9:$Q$58))</f>
        <v>1</v>
      </c>
      <c r="M31" s="37">
        <f t="shared" si="1"/>
        <v>1.4750000000000001</v>
      </c>
      <c r="N31" s="306" cm="1">
        <f t="array" ref="N31">_xlfn.IFS(M31&lt;$M$58, 1, M31&gt;$M$59, 3, M31&lt;$M$59, 2)</f>
        <v>1</v>
      </c>
    </row>
    <row r="32" spans="1:14" s="13" customFormat="1">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20" cm="1">
        <f t="array" ref="E32">_xlfn.XLOOKUP($E$6, 'Metric Categories 1-14'!$B$7:$FM$7, _xlfn.XLOOKUP(A32, 'Metric Categories 1-14'!$A$8:$A$57, 'Metric Categories 1-14'!$B$8:$FM$57))</f>
        <v>2.4000000000000004</v>
      </c>
      <c r="F32" s="35">
        <f t="shared" si="0"/>
        <v>1.53</v>
      </c>
      <c r="G32" s="305" cm="1">
        <f t="array" ref="G32">_xlfn.IFS(F32&lt;$F$58, 1, F32&gt;$F$59, 3, F32&lt;$F$59, 2)</f>
        <v>3</v>
      </c>
      <c r="H32" s="20" cm="1">
        <f t="array" ref="H32">_xlfn.XLOOKUP($H$6, 'Metric Categories 1-14'!$B$7:$FM$7, _xlfn.XLOOKUP(A32, 'Metric Categories 1-14'!$A$8:$A$57, 'Metric Categories 1-14'!$B$8:$FM$57))</f>
        <v>2</v>
      </c>
      <c r="I32" s="20" cm="1">
        <f t="array" ref="I32">_xlfn.XLOOKUP($I$6, 'Metric Categories 1-14'!$B$7:$FM$7, _xlfn.XLOOKUP(A32, 'Metric Categories 1-14'!$A$8:$A$57, 'Metric Categories 1-14'!$B$8:$FM$57))</f>
        <v>2.75</v>
      </c>
      <c r="J32" s="20" cm="1">
        <f t="array" ref="J32">_xlfn.XLOOKUP($J$6, 'Metric Categories 1-14'!$B$7:$FM$7, _xlfn.XLOOKUP(A32, 'Metric Categories 1-14'!$A$8:$A$57, 'Metric Categories 1-14'!$B$8:$FM$57))</f>
        <v>2.8</v>
      </c>
      <c r="K32" s="20" cm="1">
        <f t="array" ref="K32">_xlfn.XLOOKUP($K$6, '15. Workforce Calcs'!$B$8:$BG$8, _xlfn.XLOOKUP(A32, '15. Workforce Calcs'!$A$10:$A$59, '15. Workforce Calcs'!$B$10:$BG$59))</f>
        <v>1</v>
      </c>
      <c r="L32" s="20" cm="1">
        <f t="array" ref="L32">_xlfn.XLOOKUP($L$6, '16. Existing HQs and Projects'!$B$8:$Q$8, _xlfn.XLOOKUP(A32,'16. Existing HQs and Projects'!$A$9:$A$58, '16. Existing HQs and Projects'!$B$9:$Q$58))</f>
        <v>1</v>
      </c>
      <c r="M32" s="37">
        <f t="shared" si="1"/>
        <v>2.3924999999999996</v>
      </c>
      <c r="N32" s="306" cm="1">
        <f t="array" ref="N32">_xlfn.IFS(M32&lt;$M$58, 1, M32&gt;$M$59, 3, M32&lt;$M$59, 2)</f>
        <v>3</v>
      </c>
    </row>
    <row r="33" spans="1:14" s="13" customFormat="1">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20" cm="1">
        <f t="array" ref="E33">_xlfn.XLOOKUP($E$6, 'Metric Categories 1-14'!$B$7:$FM$7, _xlfn.XLOOKUP(A33, 'Metric Categories 1-14'!$A$8:$A$57, 'Metric Categories 1-14'!$B$8:$FM$57))</f>
        <v>1.2000000000000002</v>
      </c>
      <c r="F33" s="35">
        <f t="shared" si="0"/>
        <v>1.08</v>
      </c>
      <c r="G33" s="305" cm="1">
        <f t="array" ref="G33">_xlfn.IFS(F33&lt;$F$58, 1, F33&gt;$F$59, 3, F33&lt;$F$59, 2)</f>
        <v>1</v>
      </c>
      <c r="H33" s="20" cm="1">
        <f t="array" ref="H33">_xlfn.XLOOKUP($H$6, 'Metric Categories 1-14'!$B$7:$FM$7, _xlfn.XLOOKUP(A33, 'Metric Categories 1-14'!$A$8:$A$57, 'Metric Categories 1-14'!$B$8:$FM$57))</f>
        <v>1.4</v>
      </c>
      <c r="I33" s="20" cm="1">
        <f t="array" ref="I33">_xlfn.XLOOKUP($I$6, 'Metric Categories 1-14'!$B$7:$FM$7, _xlfn.XLOOKUP(A33, 'Metric Categories 1-14'!$A$8:$A$57, 'Metric Categories 1-14'!$B$8:$FM$57))</f>
        <v>1.5</v>
      </c>
      <c r="J33" s="20" cm="1">
        <f t="array" ref="J33">_xlfn.XLOOKUP($J$6, 'Metric Categories 1-14'!$B$7:$FM$7, _xlfn.XLOOKUP(A33, 'Metric Categories 1-14'!$A$8:$A$57, 'Metric Categories 1-14'!$B$8:$FM$57))</f>
        <v>2.3000000000000003</v>
      </c>
      <c r="K33" s="20" cm="1">
        <f t="array" ref="K33">_xlfn.XLOOKUP($K$6, '15. Workforce Calcs'!$B$8:$BG$8, _xlfn.XLOOKUP(A33, '15. Workforce Calcs'!$A$10:$A$59, '15. Workforce Calcs'!$B$10:$BG$59))</f>
        <v>1</v>
      </c>
      <c r="L33" s="20" cm="1">
        <f t="array" ref="L33">_xlfn.XLOOKUP($L$6, '16. Existing HQs and Projects'!$B$8:$Q$8, _xlfn.XLOOKUP(A33,'16. Existing HQs and Projects'!$A$9:$A$58, '16. Existing HQs and Projects'!$B$9:$Q$58))</f>
        <v>1</v>
      </c>
      <c r="M33" s="37">
        <f t="shared" si="1"/>
        <v>1.6900000000000002</v>
      </c>
      <c r="N33" s="306" cm="1">
        <f t="array" ref="N33">_xlfn.IFS(M33&lt;$M$58, 1, M33&gt;$M$59, 3, M33&lt;$M$59, 2)</f>
        <v>1</v>
      </c>
    </row>
    <row r="34" spans="1:14" s="13" customFormat="1">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20" cm="1">
        <f t="array" ref="E34">_xlfn.XLOOKUP($E$6, 'Metric Categories 1-14'!$B$7:$FM$7, _xlfn.XLOOKUP(A34, 'Metric Categories 1-14'!$A$8:$A$57, 'Metric Categories 1-14'!$B$8:$FM$57))</f>
        <v>1.4000000000000001</v>
      </c>
      <c r="F34" s="35">
        <f t="shared" si="0"/>
        <v>1.3299999999999998</v>
      </c>
      <c r="G34" s="305" cm="1">
        <f t="array" ref="G34">_xlfn.IFS(F34&lt;$F$58, 1, F34&gt;$F$59, 3, F34&lt;$F$59, 2)</f>
        <v>2</v>
      </c>
      <c r="H34" s="20" cm="1">
        <f t="array" ref="H34">_xlfn.XLOOKUP($H$6, 'Metric Categories 1-14'!$B$7:$FM$7, _xlfn.XLOOKUP(A34, 'Metric Categories 1-14'!$A$8:$A$57, 'Metric Categories 1-14'!$B$8:$FM$57))</f>
        <v>1</v>
      </c>
      <c r="I34" s="20" cm="1">
        <f t="array" ref="I34">_xlfn.XLOOKUP($I$6, 'Metric Categories 1-14'!$B$7:$FM$7, _xlfn.XLOOKUP(A34, 'Metric Categories 1-14'!$A$8:$A$57, 'Metric Categories 1-14'!$B$8:$FM$57))</f>
        <v>2</v>
      </c>
      <c r="J34" s="20" cm="1">
        <f t="array" ref="J34">_xlfn.XLOOKUP($J$6, 'Metric Categories 1-14'!$B$7:$FM$7, _xlfn.XLOOKUP(A34, 'Metric Categories 1-14'!$A$8:$A$57, 'Metric Categories 1-14'!$B$8:$FM$57))</f>
        <v>2.8</v>
      </c>
      <c r="K34" s="20" cm="1">
        <f t="array" ref="K34">_xlfn.XLOOKUP($K$6, '15. Workforce Calcs'!$B$8:$BG$8, _xlfn.XLOOKUP(A34, '15. Workforce Calcs'!$A$10:$A$59, '15. Workforce Calcs'!$B$10:$BG$59))</f>
        <v>1</v>
      </c>
      <c r="L34" s="20" cm="1">
        <f t="array" ref="L34">_xlfn.XLOOKUP($L$6, '16. Existing HQs and Projects'!$B$8:$Q$8, _xlfn.XLOOKUP(A34,'16. Existing HQs and Projects'!$A$9:$A$58, '16. Existing HQs and Projects'!$B$9:$Q$58))</f>
        <v>1</v>
      </c>
      <c r="M34" s="37">
        <f t="shared" si="1"/>
        <v>1.98</v>
      </c>
      <c r="N34" s="306" cm="1">
        <f t="array" ref="N34">_xlfn.IFS(M34&lt;$M$58, 1, M34&gt;$M$59, 3, M34&lt;$M$59, 2)</f>
        <v>2</v>
      </c>
    </row>
    <row r="35" spans="1:14" s="13" customFormat="1">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20" cm="1">
        <f t="array" ref="E35">_xlfn.XLOOKUP($E$6, 'Metric Categories 1-14'!$B$7:$FM$7, _xlfn.XLOOKUP(A35, 'Metric Categories 1-14'!$A$8:$A$57, 'Metric Categories 1-14'!$B$8:$FM$57))</f>
        <v>1.4000000000000001</v>
      </c>
      <c r="F35" s="35">
        <f>SUMPRODUCT($B$5:$E$5, B35:E35)</f>
        <v>1.35</v>
      </c>
      <c r="G35" s="305" cm="1">
        <f t="array" ref="G35">_xlfn.IFS(F35&lt;$F$58, 1, F35&gt;$F$59, 3, F35&lt;$F$59, 2)</f>
        <v>2</v>
      </c>
      <c r="H35" s="20" cm="1">
        <f t="array" ref="H35">_xlfn.XLOOKUP($H$6, 'Metric Categories 1-14'!$B$7:$FM$7, _xlfn.XLOOKUP(A35, 'Metric Categories 1-14'!$A$8:$A$57, 'Metric Categories 1-14'!$B$8:$FM$57))</f>
        <v>1</v>
      </c>
      <c r="I35" s="20" cm="1">
        <f t="array" ref="I35">_xlfn.XLOOKUP($I$6, 'Metric Categories 1-14'!$B$7:$FM$7, _xlfn.XLOOKUP(A35, 'Metric Categories 1-14'!$A$8:$A$57, 'Metric Categories 1-14'!$B$8:$FM$57))</f>
        <v>1.25</v>
      </c>
      <c r="J35" s="20" cm="1">
        <f t="array" ref="J35">_xlfn.XLOOKUP($J$6, 'Metric Categories 1-14'!$B$7:$FM$7, _xlfn.XLOOKUP(A35, 'Metric Categories 1-14'!$A$8:$A$57, 'Metric Categories 1-14'!$B$8:$FM$57))</f>
        <v>2.1</v>
      </c>
      <c r="K35" s="20" cm="1">
        <f t="array" ref="K35">_xlfn.XLOOKUP($K$6, '15. Workforce Calcs'!$B$8:$BG$8, _xlfn.XLOOKUP(A35, '15. Workforce Calcs'!$A$10:$A$59, '15. Workforce Calcs'!$B$10:$BG$59))</f>
        <v>1</v>
      </c>
      <c r="L35" s="20" cm="1">
        <f t="array" ref="L35">_xlfn.XLOOKUP($L$6, '16. Existing HQs and Projects'!$B$8:$Q$8, _xlfn.XLOOKUP(A35,'16. Existing HQs and Projects'!$A$9:$A$58, '16. Existing HQs and Projects'!$B$9:$Q$58))</f>
        <v>1</v>
      </c>
      <c r="M35" s="37">
        <f t="shared" si="1"/>
        <v>1.4725000000000001</v>
      </c>
      <c r="N35" s="306" cm="1">
        <f t="array" ref="N35">_xlfn.IFS(M35&lt;$M$58, 1, M35&gt;$M$59, 3, M35&lt;$M$59, 2)</f>
        <v>1</v>
      </c>
    </row>
    <row r="36" spans="1:14" s="13" customFormat="1">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20" cm="1">
        <f t="array" ref="E36">_xlfn.XLOOKUP($E$6, 'Metric Categories 1-14'!$B$7:$FM$7, _xlfn.XLOOKUP(A36, 'Metric Categories 1-14'!$A$8:$A$57, 'Metric Categories 1-14'!$B$8:$FM$57))</f>
        <v>1.4000000000000001</v>
      </c>
      <c r="F36" s="35">
        <f t="shared" ref="F36:F56" si="2">SUMPRODUCT($B$5:$E$5, B36:E36)</f>
        <v>1.76</v>
      </c>
      <c r="G36" s="305" cm="1">
        <f t="array" ref="G36">_xlfn.IFS(F36&lt;$F$58, 1, F36&gt;$F$59, 3, F36&lt;$F$59, 2)</f>
        <v>3</v>
      </c>
      <c r="H36" s="20" cm="1">
        <f t="array" ref="H36">_xlfn.XLOOKUP($H$6, 'Metric Categories 1-14'!$B$7:$FM$7, _xlfn.XLOOKUP(A36, 'Metric Categories 1-14'!$A$8:$A$57, 'Metric Categories 1-14'!$B$8:$FM$57))</f>
        <v>1</v>
      </c>
      <c r="I36" s="20" cm="1">
        <f t="array" ref="I36">_xlfn.XLOOKUP($I$6, 'Metric Categories 1-14'!$B$7:$FM$7, _xlfn.XLOOKUP(A36, 'Metric Categories 1-14'!$A$8:$A$57, 'Metric Categories 1-14'!$B$8:$FM$57))</f>
        <v>1.5</v>
      </c>
      <c r="J36" s="20" cm="1">
        <f t="array" ref="J36">_xlfn.XLOOKUP($J$6, 'Metric Categories 1-14'!$B$7:$FM$7, _xlfn.XLOOKUP(A36, 'Metric Categories 1-14'!$A$8:$A$57, 'Metric Categories 1-14'!$B$8:$FM$57))</f>
        <v>1.3</v>
      </c>
      <c r="K36" s="20" cm="1">
        <f t="array" ref="K36">_xlfn.XLOOKUP($K$6, '15. Workforce Calcs'!$B$8:$BG$8, _xlfn.XLOOKUP(A36, '15. Workforce Calcs'!$A$10:$A$59, '15. Workforce Calcs'!$B$10:$BG$59))</f>
        <v>3</v>
      </c>
      <c r="L36" s="20" cm="1">
        <f t="array" ref="L36">_xlfn.XLOOKUP($L$6, '16. Existing HQs and Projects'!$B$8:$Q$8, _xlfn.XLOOKUP(A36,'16. Existing HQs and Projects'!$A$9:$A$58, '16. Existing HQs and Projects'!$B$9:$Q$58))</f>
        <v>1</v>
      </c>
      <c r="M36" s="37">
        <f t="shared" si="1"/>
        <v>1.48</v>
      </c>
      <c r="N36" s="306" cm="1">
        <f t="array" ref="N36">_xlfn.IFS(M36&lt;$M$58, 1, M36&gt;$M$59, 3, M36&lt;$M$59, 2)</f>
        <v>1</v>
      </c>
    </row>
    <row r="37" spans="1:14" s="13" customFormat="1">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20" cm="1">
        <f t="array" ref="E37">_xlfn.XLOOKUP($E$6, 'Metric Categories 1-14'!$B$7:$FM$7, _xlfn.XLOOKUP(A37, 'Metric Categories 1-14'!$A$8:$A$57, 'Metric Categories 1-14'!$B$8:$FM$57))</f>
        <v>1.8000000000000003</v>
      </c>
      <c r="F37" s="35">
        <f t="shared" si="2"/>
        <v>1.4000000000000001</v>
      </c>
      <c r="G37" s="305" cm="1">
        <f t="array" ref="G37">_xlfn.IFS(F37&lt;$F$58, 1, F37&gt;$F$59, 3, F37&lt;$F$59, 2)</f>
        <v>2</v>
      </c>
      <c r="H37" s="20" cm="1">
        <f t="array" ref="H37">_xlfn.XLOOKUP($H$6, 'Metric Categories 1-14'!$B$7:$FM$7, _xlfn.XLOOKUP(A37, 'Metric Categories 1-14'!$A$8:$A$57, 'Metric Categories 1-14'!$B$8:$FM$57))</f>
        <v>2</v>
      </c>
      <c r="I37" s="20" cm="1">
        <f t="array" ref="I37">_xlfn.XLOOKUP($I$6, 'Metric Categories 1-14'!$B$7:$FM$7, _xlfn.XLOOKUP(A37, 'Metric Categories 1-14'!$A$8:$A$57, 'Metric Categories 1-14'!$B$8:$FM$57))</f>
        <v>2.5</v>
      </c>
      <c r="J37" s="20" cm="1">
        <f t="array" ref="J37">_xlfn.XLOOKUP($J$6, 'Metric Categories 1-14'!$B$7:$FM$7, _xlfn.XLOOKUP(A37, 'Metric Categories 1-14'!$A$8:$A$57, 'Metric Categories 1-14'!$B$8:$FM$57))</f>
        <v>2.8</v>
      </c>
      <c r="K37" s="20" cm="1">
        <f t="array" ref="K37">_xlfn.XLOOKUP($K$6, '15. Workforce Calcs'!$B$8:$BG$8, _xlfn.XLOOKUP(A37, '15. Workforce Calcs'!$A$10:$A$59, '15. Workforce Calcs'!$B$10:$BG$59))</f>
        <v>1</v>
      </c>
      <c r="L37" s="20" cm="1">
        <f t="array" ref="L37">_xlfn.XLOOKUP($L$6, '16. Existing HQs and Projects'!$B$8:$Q$8, _xlfn.XLOOKUP(A37,'16. Existing HQs and Projects'!$A$9:$A$58, '16. Existing HQs and Projects'!$B$9:$Q$58))</f>
        <v>3</v>
      </c>
      <c r="M37" s="37">
        <f t="shared" si="1"/>
        <v>2.4049999999999998</v>
      </c>
      <c r="N37" s="306" cm="1">
        <f t="array" ref="N37">_xlfn.IFS(M37&lt;$M$58, 1, M37&gt;$M$59, 3, M37&lt;$M$59, 2)</f>
        <v>3</v>
      </c>
    </row>
    <row r="38" spans="1:14" s="13" customFormat="1">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20" cm="1">
        <f t="array" ref="E38">_xlfn.XLOOKUP($E$6, 'Metric Categories 1-14'!$B$7:$FM$7, _xlfn.XLOOKUP(A38, 'Metric Categories 1-14'!$A$8:$A$57, 'Metric Categories 1-14'!$B$8:$FM$57))</f>
        <v>1.6</v>
      </c>
      <c r="F38" s="35">
        <f t="shared" si="2"/>
        <v>1.8399999999999999</v>
      </c>
      <c r="G38" s="305" cm="1">
        <f t="array" ref="G38">_xlfn.IFS(F38&lt;$F$58, 1, F38&gt;$F$59, 3, F38&lt;$F$59, 2)</f>
        <v>3</v>
      </c>
      <c r="H38" s="20" cm="1">
        <f t="array" ref="H38">_xlfn.XLOOKUP($H$6, 'Metric Categories 1-14'!$B$7:$FM$7, _xlfn.XLOOKUP(A38, 'Metric Categories 1-14'!$A$8:$A$57, 'Metric Categories 1-14'!$B$8:$FM$57))</f>
        <v>1</v>
      </c>
      <c r="I38" s="20" cm="1">
        <f t="array" ref="I38">_xlfn.XLOOKUP($I$6, 'Metric Categories 1-14'!$B$7:$FM$7, _xlfn.XLOOKUP(A38, 'Metric Categories 1-14'!$A$8:$A$57, 'Metric Categories 1-14'!$B$8:$FM$57))</f>
        <v>2.25</v>
      </c>
      <c r="J38" s="20" cm="1">
        <f t="array" ref="J38">_xlfn.XLOOKUP($J$6, 'Metric Categories 1-14'!$B$7:$FM$7, _xlfn.XLOOKUP(A38, 'Metric Categories 1-14'!$A$8:$A$57, 'Metric Categories 1-14'!$B$8:$FM$57))</f>
        <v>2</v>
      </c>
      <c r="K38" s="20" cm="1">
        <f t="array" ref="K38">_xlfn.XLOOKUP($K$6, '15. Workforce Calcs'!$B$8:$BG$8, _xlfn.XLOOKUP(A38, '15. Workforce Calcs'!$A$10:$A$59, '15. Workforce Calcs'!$B$10:$BG$59))</f>
        <v>3</v>
      </c>
      <c r="L38" s="20" cm="1">
        <f t="array" ref="L38">_xlfn.XLOOKUP($L$6, '16. Existing HQs and Projects'!$B$8:$Q$8, _xlfn.XLOOKUP(A38,'16. Existing HQs and Projects'!$A$9:$A$58, '16. Existing HQs and Projects'!$B$9:$Q$58))</f>
        <v>3</v>
      </c>
      <c r="M38" s="37">
        <f t="shared" si="1"/>
        <v>2.0874999999999999</v>
      </c>
      <c r="N38" s="306" cm="1">
        <f t="array" ref="N38">_xlfn.IFS(M38&lt;$M$58, 1, M38&gt;$M$59, 3, M38&lt;$M$59, 2)</f>
        <v>3</v>
      </c>
    </row>
    <row r="39" spans="1:14" s="13" customFormat="1">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20" cm="1">
        <f t="array" ref="E39">_xlfn.XLOOKUP($E$6, 'Metric Categories 1-14'!$B$7:$FM$7, _xlfn.XLOOKUP(A39, 'Metric Categories 1-14'!$A$8:$A$57, 'Metric Categories 1-14'!$B$8:$FM$57))</f>
        <v>1.4000000000000001</v>
      </c>
      <c r="F39" s="35">
        <f t="shared" si="2"/>
        <v>1.48</v>
      </c>
      <c r="G39" s="305" cm="1">
        <f t="array" ref="G39">_xlfn.IFS(F39&lt;$F$58, 1, F39&gt;$F$59, 3, F39&lt;$F$59, 2)</f>
        <v>3</v>
      </c>
      <c r="H39" s="20" cm="1">
        <f t="array" ref="H39">_xlfn.XLOOKUP($H$6, 'Metric Categories 1-14'!$B$7:$FM$7, _xlfn.XLOOKUP(A39, 'Metric Categories 1-14'!$A$8:$A$57, 'Metric Categories 1-14'!$B$8:$FM$57))</f>
        <v>1</v>
      </c>
      <c r="I39" s="20" cm="1">
        <f t="array" ref="I39">_xlfn.XLOOKUP($I$6, 'Metric Categories 1-14'!$B$7:$FM$7, _xlfn.XLOOKUP(A39, 'Metric Categories 1-14'!$A$8:$A$57, 'Metric Categories 1-14'!$B$8:$FM$57))</f>
        <v>2.5</v>
      </c>
      <c r="J39" s="20" cm="1">
        <f t="array" ref="J39">_xlfn.XLOOKUP($J$6, 'Metric Categories 1-14'!$B$7:$FM$7, _xlfn.XLOOKUP(A39, 'Metric Categories 1-14'!$A$8:$A$57, 'Metric Categories 1-14'!$B$8:$FM$57))</f>
        <v>1.9</v>
      </c>
      <c r="K39" s="20" cm="1">
        <f t="array" ref="K39">_xlfn.XLOOKUP($K$6, '15. Workforce Calcs'!$B$8:$BG$8, _xlfn.XLOOKUP(A39, '15. Workforce Calcs'!$A$10:$A$59, '15. Workforce Calcs'!$B$10:$BG$59))</f>
        <v>3</v>
      </c>
      <c r="L39" s="20" cm="1">
        <f t="array" ref="L39">_xlfn.XLOOKUP($L$6, '16. Existing HQs and Projects'!$B$8:$Q$8, _xlfn.XLOOKUP(A39,'16. Existing HQs and Projects'!$A$9:$A$58, '16. Existing HQs and Projects'!$B$9:$Q$58))</f>
        <v>3</v>
      </c>
      <c r="M39" s="37">
        <f t="shared" si="1"/>
        <v>2.14</v>
      </c>
      <c r="N39" s="306" cm="1">
        <f t="array" ref="N39">_xlfn.IFS(M39&lt;$M$58, 1, M39&gt;$M$59, 3, M39&lt;$M$59, 2)</f>
        <v>3</v>
      </c>
    </row>
    <row r="40" spans="1:14" s="13" customFormat="1">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20" cm="1">
        <f t="array" ref="E40">_xlfn.XLOOKUP($E$6, 'Metric Categories 1-14'!$B$7:$FM$7, _xlfn.XLOOKUP(A40, 'Metric Categories 1-14'!$A$8:$A$57, 'Metric Categories 1-14'!$B$8:$FM$57))</f>
        <v>2.2000000000000002</v>
      </c>
      <c r="F40" s="35">
        <f t="shared" si="2"/>
        <v>1.2999999999999998</v>
      </c>
      <c r="G40" s="305" cm="1">
        <f t="array" ref="G40">_xlfn.IFS(F40&lt;$F$58, 1, F40&gt;$F$59, 3, F40&lt;$F$59, 2)</f>
        <v>2</v>
      </c>
      <c r="H40" s="20" cm="1">
        <f t="array" ref="H40">_xlfn.XLOOKUP($H$6, 'Metric Categories 1-14'!$B$7:$FM$7, _xlfn.XLOOKUP(A40, 'Metric Categories 1-14'!$A$8:$A$57, 'Metric Categories 1-14'!$B$8:$FM$57))</f>
        <v>2.6000000000000005</v>
      </c>
      <c r="I40" s="20" cm="1">
        <f t="array" ref="I40">_xlfn.XLOOKUP($I$6, 'Metric Categories 1-14'!$B$7:$FM$7, _xlfn.XLOOKUP(A40, 'Metric Categories 1-14'!$A$8:$A$57, 'Metric Categories 1-14'!$B$8:$FM$57))</f>
        <v>2</v>
      </c>
      <c r="J40" s="20" cm="1">
        <f t="array" ref="J40">_xlfn.XLOOKUP($J$6, 'Metric Categories 1-14'!$B$7:$FM$7, _xlfn.XLOOKUP(A40, 'Metric Categories 1-14'!$A$8:$A$57, 'Metric Categories 1-14'!$B$8:$FM$57))</f>
        <v>2.7</v>
      </c>
      <c r="K40" s="20" cm="1">
        <f t="array" ref="K40">_xlfn.XLOOKUP($K$6, '15. Workforce Calcs'!$B$8:$BG$8, _xlfn.XLOOKUP(A40, '15. Workforce Calcs'!$A$10:$A$59, '15. Workforce Calcs'!$B$10:$BG$59))</f>
        <v>1</v>
      </c>
      <c r="L40" s="20" cm="1">
        <f t="array" ref="L40">_xlfn.XLOOKUP($L$6, '16. Existing HQs and Projects'!$B$8:$Q$8, _xlfn.XLOOKUP(A40,'16. Existing HQs and Projects'!$A$9:$A$58, '16. Existing HQs and Projects'!$B$9:$Q$58))</f>
        <v>1</v>
      </c>
      <c r="M40" s="37">
        <f t="shared" si="1"/>
        <v>2.1850000000000001</v>
      </c>
      <c r="N40" s="306" cm="1">
        <f t="array" ref="N40">_xlfn.IFS(M40&lt;$M$58, 1, M40&gt;$M$59, 3, M40&lt;$M$59, 2)</f>
        <v>3</v>
      </c>
    </row>
    <row r="41" spans="1:14" s="13" customFormat="1">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20" cm="1">
        <f t="array" ref="E41">_xlfn.XLOOKUP($E$6, 'Metric Categories 1-14'!$B$7:$FM$7, _xlfn.XLOOKUP(A41, 'Metric Categories 1-14'!$A$8:$A$57, 'Metric Categories 1-14'!$B$8:$FM$57))</f>
        <v>1.2000000000000002</v>
      </c>
      <c r="F41" s="35">
        <f t="shared" si="2"/>
        <v>1.0499999999999998</v>
      </c>
      <c r="G41" s="305" cm="1">
        <f t="array" ref="G41">_xlfn.IFS(F41&lt;$F$58, 1, F41&gt;$F$59, 3, F41&lt;$F$59, 2)</f>
        <v>1</v>
      </c>
      <c r="H41" s="20" cm="1">
        <f t="array" ref="H41">_xlfn.XLOOKUP($H$6, 'Metric Categories 1-14'!$B$7:$FM$7, _xlfn.XLOOKUP(A41, 'Metric Categories 1-14'!$A$8:$A$57, 'Metric Categories 1-14'!$B$8:$FM$57))</f>
        <v>1.6</v>
      </c>
      <c r="I41" s="20" cm="1">
        <f t="array" ref="I41">_xlfn.XLOOKUP($I$6, 'Metric Categories 1-14'!$B$7:$FM$7, _xlfn.XLOOKUP(A41, 'Metric Categories 1-14'!$A$8:$A$57, 'Metric Categories 1-14'!$B$8:$FM$57))</f>
        <v>1.5</v>
      </c>
      <c r="J41" s="20" cm="1">
        <f t="array" ref="J41">_xlfn.XLOOKUP($J$6, 'Metric Categories 1-14'!$B$7:$FM$7, _xlfn.XLOOKUP(A41, 'Metric Categories 1-14'!$A$8:$A$57, 'Metric Categories 1-14'!$B$8:$FM$57))</f>
        <v>1.4</v>
      </c>
      <c r="K41" s="20" cm="1">
        <f t="array" ref="K41">_xlfn.XLOOKUP($K$6, '15. Workforce Calcs'!$B$8:$BG$8, _xlfn.XLOOKUP(A41, '15. Workforce Calcs'!$A$10:$A$59, '15. Workforce Calcs'!$B$10:$BG$59))</f>
        <v>3</v>
      </c>
      <c r="L41" s="20" cm="1">
        <f t="array" ref="L41">_xlfn.XLOOKUP($L$6, '16. Existing HQs and Projects'!$B$8:$Q$8, _xlfn.XLOOKUP(A41,'16. Existing HQs and Projects'!$A$9:$A$58, '16. Existing HQs and Projects'!$B$9:$Q$58))</f>
        <v>1</v>
      </c>
      <c r="M41" s="37">
        <f t="shared" si="1"/>
        <v>1.605</v>
      </c>
      <c r="N41" s="306" cm="1">
        <f t="array" ref="N41">_xlfn.IFS(M41&lt;$M$58, 1, M41&gt;$M$59, 3, M41&lt;$M$59, 2)</f>
        <v>1</v>
      </c>
    </row>
    <row r="42" spans="1:14" s="13" customFormat="1">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20" cm="1">
        <f t="array" ref="E42">_xlfn.XLOOKUP($E$6, 'Metric Categories 1-14'!$B$7:$FM$7, _xlfn.XLOOKUP(A42, 'Metric Categories 1-14'!$A$8:$A$57, 'Metric Categories 1-14'!$B$8:$FM$57))</f>
        <v>1.8</v>
      </c>
      <c r="F42" s="35">
        <f t="shared" si="2"/>
        <v>1.1200000000000001</v>
      </c>
      <c r="G42" s="305" cm="1">
        <f t="array" ref="G42">_xlfn.IFS(F42&lt;$F$58, 1, F42&gt;$F$59, 3, F42&lt;$F$59, 2)</f>
        <v>1</v>
      </c>
      <c r="H42" s="20" cm="1">
        <f t="array" ref="H42">_xlfn.XLOOKUP($H$6, 'Metric Categories 1-14'!$B$7:$FM$7, _xlfn.XLOOKUP(A42, 'Metric Categories 1-14'!$A$8:$A$57, 'Metric Categories 1-14'!$B$8:$FM$57))</f>
        <v>2.2000000000000002</v>
      </c>
      <c r="I42" s="20" cm="1">
        <f t="array" ref="I42">_xlfn.XLOOKUP($I$6, 'Metric Categories 1-14'!$B$7:$FM$7, _xlfn.XLOOKUP(A42, 'Metric Categories 1-14'!$A$8:$A$57, 'Metric Categories 1-14'!$B$8:$FM$57))</f>
        <v>2.25</v>
      </c>
      <c r="J42" s="20" cm="1">
        <f t="array" ref="J42">_xlfn.XLOOKUP($J$6, 'Metric Categories 1-14'!$B$7:$FM$7, _xlfn.XLOOKUP(A42, 'Metric Categories 1-14'!$A$8:$A$57, 'Metric Categories 1-14'!$B$8:$FM$57))</f>
        <v>2.7</v>
      </c>
      <c r="K42" s="20" cm="1">
        <f t="array" ref="K42">_xlfn.XLOOKUP($K$6, '15. Workforce Calcs'!$B$8:$BG$8, _xlfn.XLOOKUP(A42, '15. Workforce Calcs'!$A$10:$A$59, '15. Workforce Calcs'!$B$10:$BG$59))</f>
        <v>2</v>
      </c>
      <c r="L42" s="20" cm="1">
        <f t="array" ref="L42">_xlfn.XLOOKUP($L$6, '16. Existing HQs and Projects'!$B$8:$Q$8, _xlfn.XLOOKUP(A42,'16. Existing HQs and Projects'!$A$9:$A$58, '16. Existing HQs and Projects'!$B$9:$Q$58))</f>
        <v>3</v>
      </c>
      <c r="M42" s="37">
        <f t="shared" si="1"/>
        <v>2.4125000000000001</v>
      </c>
      <c r="N42" s="306" cm="1">
        <f t="array" ref="N42">_xlfn.IFS(M42&lt;$M$58, 1, M42&gt;$M$59, 3, M42&lt;$M$59, 2)</f>
        <v>3</v>
      </c>
    </row>
    <row r="43" spans="1:14" s="13" customFormat="1">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20" cm="1">
        <f t="array" ref="E43">_xlfn.XLOOKUP($E$6, 'Metric Categories 1-14'!$B$7:$FM$7, _xlfn.XLOOKUP(A43, 'Metric Categories 1-14'!$A$8:$A$57, 'Metric Categories 1-14'!$B$8:$FM$57))</f>
        <v>1.4000000000000001</v>
      </c>
      <c r="F43" s="35">
        <f t="shared" si="2"/>
        <v>1.53</v>
      </c>
      <c r="G43" s="305" cm="1">
        <f t="array" ref="G43">_xlfn.IFS(F43&lt;$F$58, 1, F43&gt;$F$59, 3, F43&lt;$F$59, 2)</f>
        <v>3</v>
      </c>
      <c r="H43" s="20" cm="1">
        <f t="array" ref="H43">_xlfn.XLOOKUP($H$6, 'Metric Categories 1-14'!$B$7:$FM$7, _xlfn.XLOOKUP(A43, 'Metric Categories 1-14'!$A$8:$A$57, 'Metric Categories 1-14'!$B$8:$FM$57))</f>
        <v>1.2000000000000002</v>
      </c>
      <c r="I43" s="20" cm="1">
        <f t="array" ref="I43">_xlfn.XLOOKUP($I$6, 'Metric Categories 1-14'!$B$7:$FM$7, _xlfn.XLOOKUP(A43, 'Metric Categories 1-14'!$A$8:$A$57, 'Metric Categories 1-14'!$B$8:$FM$57))</f>
        <v>2.5</v>
      </c>
      <c r="J43" s="20" cm="1">
        <f t="array" ref="J43">_xlfn.XLOOKUP($J$6, 'Metric Categories 1-14'!$B$7:$FM$7, _xlfn.XLOOKUP(A43, 'Metric Categories 1-14'!$A$8:$A$57, 'Metric Categories 1-14'!$B$8:$FM$57))</f>
        <v>2.8</v>
      </c>
      <c r="K43" s="20" cm="1">
        <f t="array" ref="K43">_xlfn.XLOOKUP($K$6, '15. Workforce Calcs'!$B$8:$BG$8, _xlfn.XLOOKUP(A43, '15. Workforce Calcs'!$A$10:$A$59, '15. Workforce Calcs'!$B$10:$BG$59))</f>
        <v>1</v>
      </c>
      <c r="L43" s="20" cm="1">
        <f t="array" ref="L43">_xlfn.XLOOKUP($L$6, '16. Existing HQs and Projects'!$B$8:$Q$8, _xlfn.XLOOKUP(A43,'16. Existing HQs and Projects'!$A$9:$A$58, '16. Existing HQs and Projects'!$B$9:$Q$58))</f>
        <v>3</v>
      </c>
      <c r="M43" s="37">
        <f t="shared" si="1"/>
        <v>2.2849999999999997</v>
      </c>
      <c r="N43" s="306" cm="1">
        <f t="array" ref="N43">_xlfn.IFS(M43&lt;$M$58, 1, M43&gt;$M$59, 3, M43&lt;$M$59, 2)</f>
        <v>3</v>
      </c>
    </row>
    <row r="44" spans="1:14" s="13" customFormat="1">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20" cm="1">
        <f t="array" ref="E44">_xlfn.XLOOKUP($E$6, 'Metric Categories 1-14'!$B$7:$FM$7, _xlfn.XLOOKUP(A44, 'Metric Categories 1-14'!$A$8:$A$57, 'Metric Categories 1-14'!$B$8:$FM$57))</f>
        <v>1.4000000000000001</v>
      </c>
      <c r="F44" s="35">
        <f t="shared" si="2"/>
        <v>1.36</v>
      </c>
      <c r="G44" s="305" cm="1">
        <f t="array" ref="G44">_xlfn.IFS(F44&lt;$F$58, 1, F44&gt;$F$59, 3, F44&lt;$F$59, 2)</f>
        <v>2</v>
      </c>
      <c r="H44" s="20" cm="1">
        <f t="array" ref="H44">_xlfn.XLOOKUP($H$6, 'Metric Categories 1-14'!$B$7:$FM$7, _xlfn.XLOOKUP(A44, 'Metric Categories 1-14'!$A$8:$A$57, 'Metric Categories 1-14'!$B$8:$FM$57))</f>
        <v>1.2000000000000002</v>
      </c>
      <c r="I44" s="20" cm="1">
        <f t="array" ref="I44">_xlfn.XLOOKUP($I$6, 'Metric Categories 1-14'!$B$7:$FM$7, _xlfn.XLOOKUP(A44, 'Metric Categories 1-14'!$A$8:$A$57, 'Metric Categories 1-14'!$B$8:$FM$57))</f>
        <v>2.5</v>
      </c>
      <c r="J44" s="20" cm="1">
        <f t="array" ref="J44">_xlfn.XLOOKUP($J$6, 'Metric Categories 1-14'!$B$7:$FM$7, _xlfn.XLOOKUP(A44, 'Metric Categories 1-14'!$A$8:$A$57, 'Metric Categories 1-14'!$B$8:$FM$57))</f>
        <v>1.2</v>
      </c>
      <c r="K44" s="20" cm="1">
        <f t="array" ref="K44">_xlfn.XLOOKUP($K$6, '15. Workforce Calcs'!$B$8:$BG$8, _xlfn.XLOOKUP(A44, '15. Workforce Calcs'!$A$10:$A$59, '15. Workforce Calcs'!$B$10:$BG$59))</f>
        <v>3</v>
      </c>
      <c r="L44" s="20" cm="1">
        <f t="array" ref="L44">_xlfn.XLOOKUP($L$6, '16. Existing HQs and Projects'!$B$8:$Q$8, _xlfn.XLOOKUP(A44,'16. Existing HQs and Projects'!$A$9:$A$58, '16. Existing HQs and Projects'!$B$9:$Q$58))</f>
        <v>3</v>
      </c>
      <c r="M44" s="37">
        <f t="shared" si="1"/>
        <v>1.9249999999999998</v>
      </c>
      <c r="N44" s="306" cm="1">
        <f t="array" ref="N44">_xlfn.IFS(M44&lt;$M$58, 1, M44&gt;$M$59, 3, M44&lt;$M$59, 2)</f>
        <v>2</v>
      </c>
    </row>
    <row r="45" spans="1:14" s="13" customFormat="1">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20" cm="1">
        <f t="array" ref="E45">_xlfn.XLOOKUP($E$6, 'Metric Categories 1-14'!$B$7:$FM$7, _xlfn.XLOOKUP(A45, 'Metric Categories 1-14'!$A$8:$A$57, 'Metric Categories 1-14'!$B$8:$FM$57))</f>
        <v>1.4000000000000001</v>
      </c>
      <c r="F45" s="35">
        <f t="shared" si="2"/>
        <v>1.47</v>
      </c>
      <c r="G45" s="305" cm="1">
        <f t="array" ref="G45">_xlfn.IFS(F45&lt;$F$58, 1, F45&gt;$F$59, 3, F45&lt;$F$59, 2)</f>
        <v>2</v>
      </c>
      <c r="H45" s="20" cm="1">
        <f t="array" ref="H45">_xlfn.XLOOKUP($H$6, 'Metric Categories 1-14'!$B$7:$FM$7, _xlfn.XLOOKUP(A45, 'Metric Categories 1-14'!$A$8:$A$57, 'Metric Categories 1-14'!$B$8:$FM$57))</f>
        <v>1</v>
      </c>
      <c r="I45" s="20" cm="1">
        <f t="array" ref="I45">_xlfn.XLOOKUP($I$6, 'Metric Categories 1-14'!$B$7:$FM$7, _xlfn.XLOOKUP(A45, 'Metric Categories 1-14'!$A$8:$A$57, 'Metric Categories 1-14'!$B$8:$FM$57))</f>
        <v>1</v>
      </c>
      <c r="J45" s="20" cm="1">
        <f t="array" ref="J45">_xlfn.XLOOKUP($J$6, 'Metric Categories 1-14'!$B$7:$FM$7, _xlfn.XLOOKUP(A45, 'Metric Categories 1-14'!$A$8:$A$57, 'Metric Categories 1-14'!$B$8:$FM$57))</f>
        <v>1.5</v>
      </c>
      <c r="K45" s="20" cm="1">
        <f t="array" ref="K45">_xlfn.XLOOKUP($K$6, '15. Workforce Calcs'!$B$8:$BG$8, _xlfn.XLOOKUP(A45, '15. Workforce Calcs'!$A$10:$A$59, '15. Workforce Calcs'!$B$10:$BG$59))</f>
        <v>1</v>
      </c>
      <c r="L45" s="20" cm="1">
        <f t="array" ref="L45">_xlfn.XLOOKUP($L$6, '16. Existing HQs and Projects'!$B$8:$Q$8, _xlfn.XLOOKUP(A45,'16. Existing HQs and Projects'!$A$9:$A$58, '16. Existing HQs and Projects'!$B$9:$Q$58))</f>
        <v>1</v>
      </c>
      <c r="M45" s="37">
        <f t="shared" si="1"/>
        <v>1.175</v>
      </c>
      <c r="N45" s="306" cm="1">
        <f t="array" ref="N45">_xlfn.IFS(M45&lt;$M$58, 1, M45&gt;$M$59, 3, M45&lt;$M$59, 2)</f>
        <v>1</v>
      </c>
    </row>
    <row r="46" spans="1:14" s="13" customFormat="1">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20" cm="1">
        <f t="array" ref="E46">_xlfn.XLOOKUP($E$6, 'Metric Categories 1-14'!$B$7:$FM$7, _xlfn.XLOOKUP(A46, 'Metric Categories 1-14'!$A$8:$A$57, 'Metric Categories 1-14'!$B$8:$FM$57))</f>
        <v>1.2000000000000002</v>
      </c>
      <c r="F46" s="35">
        <f t="shared" si="2"/>
        <v>1.1499999999999999</v>
      </c>
      <c r="G46" s="305" cm="1">
        <f t="array" ref="G46">_xlfn.IFS(F46&lt;$F$58, 1, F46&gt;$F$59, 3, F46&lt;$F$59, 2)</f>
        <v>1</v>
      </c>
      <c r="H46" s="20" cm="1">
        <f t="array" ref="H46">_xlfn.XLOOKUP($H$6, 'Metric Categories 1-14'!$B$7:$FM$7, _xlfn.XLOOKUP(A46, 'Metric Categories 1-14'!$A$8:$A$57, 'Metric Categories 1-14'!$B$8:$FM$57))</f>
        <v>1</v>
      </c>
      <c r="I46" s="20" cm="1">
        <f t="array" ref="I46">_xlfn.XLOOKUP($I$6, 'Metric Categories 1-14'!$B$7:$FM$7, _xlfn.XLOOKUP(A46, 'Metric Categories 1-14'!$A$8:$A$57, 'Metric Categories 1-14'!$B$8:$FM$57))</f>
        <v>2</v>
      </c>
      <c r="J46" s="20" cm="1">
        <f t="array" ref="J46">_xlfn.XLOOKUP($J$6, 'Metric Categories 1-14'!$B$7:$FM$7, _xlfn.XLOOKUP(A46, 'Metric Categories 1-14'!$A$8:$A$57, 'Metric Categories 1-14'!$B$8:$FM$57))</f>
        <v>1.9000000000000001</v>
      </c>
      <c r="K46" s="20" cm="1">
        <f t="array" ref="K46">_xlfn.XLOOKUP($K$6, '15. Workforce Calcs'!$B$8:$BG$8, _xlfn.XLOOKUP(A46, '15. Workforce Calcs'!$A$10:$A$59, '15. Workforce Calcs'!$B$10:$BG$59))</f>
        <v>3</v>
      </c>
      <c r="L46" s="20" cm="1">
        <f t="array" ref="L46">_xlfn.XLOOKUP($L$6, '16. Existing HQs and Projects'!$B$8:$Q$8, _xlfn.XLOOKUP(A46,'16. Existing HQs and Projects'!$A$9:$A$58, '16. Existing HQs and Projects'!$B$9:$Q$58))</f>
        <v>1</v>
      </c>
      <c r="M46" s="37">
        <f t="shared" si="1"/>
        <v>1.8650000000000002</v>
      </c>
      <c r="N46" s="306" cm="1">
        <f t="array" ref="N46">_xlfn.IFS(M46&lt;$M$58, 1, M46&gt;$M$59, 3, M46&lt;$M$59, 2)</f>
        <v>2</v>
      </c>
    </row>
    <row r="47" spans="1:14" s="13" customFormat="1">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20" cm="1">
        <f t="array" ref="E47">_xlfn.XLOOKUP($E$6, 'Metric Categories 1-14'!$B$7:$FM$7, _xlfn.XLOOKUP(A47, 'Metric Categories 1-14'!$A$8:$A$57, 'Metric Categories 1-14'!$B$8:$FM$57))</f>
        <v>1.6</v>
      </c>
      <c r="F47" s="35">
        <f t="shared" si="2"/>
        <v>1.2399999999999998</v>
      </c>
      <c r="G47" s="305" cm="1">
        <f t="array" ref="G47">_xlfn.IFS(F47&lt;$F$58, 1, F47&gt;$F$59, 3, F47&lt;$F$59, 2)</f>
        <v>1</v>
      </c>
      <c r="H47" s="20" cm="1">
        <f t="array" ref="H47">_xlfn.XLOOKUP($H$6, 'Metric Categories 1-14'!$B$7:$FM$7, _xlfn.XLOOKUP(A47, 'Metric Categories 1-14'!$A$8:$A$57, 'Metric Categories 1-14'!$B$8:$FM$57))</f>
        <v>1.4</v>
      </c>
      <c r="I47" s="20" cm="1">
        <f t="array" ref="I47">_xlfn.XLOOKUP($I$6, 'Metric Categories 1-14'!$B$7:$FM$7, _xlfn.XLOOKUP(A47, 'Metric Categories 1-14'!$A$8:$A$57, 'Metric Categories 1-14'!$B$8:$FM$57))</f>
        <v>1.5</v>
      </c>
      <c r="J47" s="20" cm="1">
        <f t="array" ref="J47">_xlfn.XLOOKUP($J$6, 'Metric Categories 1-14'!$B$7:$FM$7, _xlfn.XLOOKUP(A47, 'Metric Categories 1-14'!$A$8:$A$57, 'Metric Categories 1-14'!$B$8:$FM$57))</f>
        <v>2.6000000000000005</v>
      </c>
      <c r="K47" s="20" cm="1">
        <f t="array" ref="K47">_xlfn.XLOOKUP($K$6, '15. Workforce Calcs'!$B$8:$BG$8, _xlfn.XLOOKUP(A47, '15. Workforce Calcs'!$A$10:$A$59, '15. Workforce Calcs'!$B$10:$BG$59))</f>
        <v>1</v>
      </c>
      <c r="L47" s="20" cm="1">
        <f t="array" ref="L47">_xlfn.XLOOKUP($L$6, '16. Existing HQs and Projects'!$B$8:$Q$8, _xlfn.XLOOKUP(A47,'16. Existing HQs and Projects'!$A$9:$A$58, '16. Existing HQs and Projects'!$B$9:$Q$58))</f>
        <v>1</v>
      </c>
      <c r="M47" s="37">
        <f t="shared" si="1"/>
        <v>1.7950000000000002</v>
      </c>
      <c r="N47" s="306" cm="1">
        <f t="array" ref="N47">_xlfn.IFS(M47&lt;$M$58, 1, M47&gt;$M$59, 3, M47&lt;$M$59, 2)</f>
        <v>2</v>
      </c>
    </row>
    <row r="48" spans="1:14" s="13" customFormat="1">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20" cm="1">
        <f t="array" ref="E48">_xlfn.XLOOKUP($E$6, 'Metric Categories 1-14'!$B$7:$FM$7, _xlfn.XLOOKUP(A48, 'Metric Categories 1-14'!$A$8:$A$57, 'Metric Categories 1-14'!$B$8:$FM$57))</f>
        <v>1.2000000000000002</v>
      </c>
      <c r="F48" s="35">
        <f t="shared" si="2"/>
        <v>1.0499999999999998</v>
      </c>
      <c r="G48" s="305" cm="1">
        <f t="array" ref="G48">_xlfn.IFS(F48&lt;$F$58, 1, F48&gt;$F$59, 3, F48&lt;$F$59, 2)</f>
        <v>1</v>
      </c>
      <c r="H48" s="20" cm="1">
        <f t="array" ref="H48">_xlfn.XLOOKUP($H$6, 'Metric Categories 1-14'!$B$7:$FM$7, _xlfn.XLOOKUP(A48, 'Metric Categories 1-14'!$A$8:$A$57, 'Metric Categories 1-14'!$B$8:$FM$57))</f>
        <v>1</v>
      </c>
      <c r="I48" s="20" cm="1">
        <f t="array" ref="I48">_xlfn.XLOOKUP($I$6, 'Metric Categories 1-14'!$B$7:$FM$7, _xlfn.XLOOKUP(A48, 'Metric Categories 1-14'!$A$8:$A$57, 'Metric Categories 1-14'!$B$8:$FM$57))</f>
        <v>1.75</v>
      </c>
      <c r="J48" s="20" cm="1">
        <f t="array" ref="J48">_xlfn.XLOOKUP($J$6, 'Metric Categories 1-14'!$B$7:$FM$7, _xlfn.XLOOKUP(A48, 'Metric Categories 1-14'!$A$8:$A$57, 'Metric Categories 1-14'!$B$8:$FM$57))</f>
        <v>1.8</v>
      </c>
      <c r="K48" s="20" cm="1">
        <f t="array" ref="K48">_xlfn.XLOOKUP($K$6, '15. Workforce Calcs'!$B$8:$BG$8, _xlfn.XLOOKUP(A48, '15. Workforce Calcs'!$A$10:$A$59, '15. Workforce Calcs'!$B$10:$BG$59))</f>
        <v>3</v>
      </c>
      <c r="L48" s="20" cm="1">
        <f t="array" ref="L48">_xlfn.XLOOKUP($L$6, '16. Existing HQs and Projects'!$B$8:$Q$8, _xlfn.XLOOKUP(A48,'16. Existing HQs and Projects'!$A$9:$A$58, '16. Existing HQs and Projects'!$B$9:$Q$58))</f>
        <v>3</v>
      </c>
      <c r="M48" s="37">
        <f t="shared" si="1"/>
        <v>1.8425000000000002</v>
      </c>
      <c r="N48" s="306" cm="1">
        <f t="array" ref="N48">_xlfn.IFS(M48&lt;$M$58, 1, M48&gt;$M$59, 3, M48&lt;$M$59, 2)</f>
        <v>2</v>
      </c>
    </row>
    <row r="49" spans="1:14" s="13" customFormat="1">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20" cm="1">
        <f t="array" ref="E49">_xlfn.XLOOKUP($E$6, 'Metric Categories 1-14'!$B$7:$FM$7, _xlfn.XLOOKUP(A49, 'Metric Categories 1-14'!$A$8:$A$57, 'Metric Categories 1-14'!$B$8:$FM$57))</f>
        <v>2.3000000000000003</v>
      </c>
      <c r="F49" s="35">
        <f t="shared" si="2"/>
        <v>1.325</v>
      </c>
      <c r="G49" s="305" cm="1">
        <f t="array" ref="G49">_xlfn.IFS(F49&lt;$F$58, 1, F49&gt;$F$59, 3, F49&lt;$F$59, 2)</f>
        <v>2</v>
      </c>
      <c r="H49" s="20" cm="1">
        <f t="array" ref="H49">_xlfn.XLOOKUP($H$6, 'Metric Categories 1-14'!$B$7:$FM$7, _xlfn.XLOOKUP(A49, 'Metric Categories 1-14'!$A$8:$A$57, 'Metric Categories 1-14'!$B$8:$FM$57))</f>
        <v>2.6000000000000005</v>
      </c>
      <c r="I49" s="20" cm="1">
        <f t="array" ref="I49">_xlfn.XLOOKUP($I$6, 'Metric Categories 1-14'!$B$7:$FM$7, _xlfn.XLOOKUP(A49, 'Metric Categories 1-14'!$A$8:$A$57, 'Metric Categories 1-14'!$B$8:$FM$57))</f>
        <v>2.5</v>
      </c>
      <c r="J49" s="20" cm="1">
        <f t="array" ref="J49">_xlfn.XLOOKUP($J$6, 'Metric Categories 1-14'!$B$7:$FM$7, _xlfn.XLOOKUP(A49, 'Metric Categories 1-14'!$A$8:$A$57, 'Metric Categories 1-14'!$B$8:$FM$57))</f>
        <v>2.1</v>
      </c>
      <c r="K49" s="20" cm="1">
        <f t="array" ref="K49">_xlfn.XLOOKUP($K$6, '15. Workforce Calcs'!$B$8:$BG$8, _xlfn.XLOOKUP(A49, '15. Workforce Calcs'!$A$10:$A$59, '15. Workforce Calcs'!$B$10:$BG$59))</f>
        <v>3</v>
      </c>
      <c r="L49" s="20" cm="1">
        <f t="array" ref="L49">_xlfn.XLOOKUP($L$6, '16. Existing HQs and Projects'!$B$8:$Q$8, _xlfn.XLOOKUP(A49,'16. Existing HQs and Projects'!$A$9:$A$58, '16. Existing HQs and Projects'!$B$9:$Q$58))</f>
        <v>3</v>
      </c>
      <c r="M49" s="37">
        <f t="shared" si="1"/>
        <v>2.4499999999999997</v>
      </c>
      <c r="N49" s="306" cm="1">
        <f t="array" ref="N49">_xlfn.IFS(M49&lt;$M$58, 1, M49&gt;$M$59, 3, M49&lt;$M$59, 2)</f>
        <v>3</v>
      </c>
    </row>
    <row r="50" spans="1:14" s="13" customFormat="1">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20" cm="1">
        <f t="array" ref="E50">_xlfn.XLOOKUP($E$6, 'Metric Categories 1-14'!$B$7:$FM$7, _xlfn.XLOOKUP(A50, 'Metric Categories 1-14'!$A$8:$A$57, 'Metric Categories 1-14'!$B$8:$FM$57))</f>
        <v>1.2000000000000002</v>
      </c>
      <c r="F50" s="35">
        <f t="shared" si="2"/>
        <v>1.0499999999999998</v>
      </c>
      <c r="G50" s="305" cm="1">
        <f t="array" ref="G50">_xlfn.IFS(F50&lt;$F$58, 1, F50&gt;$F$59, 3, F50&lt;$F$59, 2)</f>
        <v>1</v>
      </c>
      <c r="H50" s="20" cm="1">
        <f t="array" ref="H50">_xlfn.XLOOKUP($H$6, 'Metric Categories 1-14'!$B$7:$FM$7, _xlfn.XLOOKUP(A50, 'Metric Categories 1-14'!$A$8:$A$57, 'Metric Categories 1-14'!$B$8:$FM$57))</f>
        <v>1.6</v>
      </c>
      <c r="I50" s="20" cm="1">
        <f t="array" ref="I50">_xlfn.XLOOKUP($I$6, 'Metric Categories 1-14'!$B$7:$FM$7, _xlfn.XLOOKUP(A50, 'Metric Categories 1-14'!$A$8:$A$57, 'Metric Categories 1-14'!$B$8:$FM$57))</f>
        <v>2.5</v>
      </c>
      <c r="J50" s="20" cm="1">
        <f t="array" ref="J50">_xlfn.XLOOKUP($J$6, 'Metric Categories 1-14'!$B$7:$FM$7, _xlfn.XLOOKUP(A50, 'Metric Categories 1-14'!$A$8:$A$57, 'Metric Categories 1-14'!$B$8:$FM$57))</f>
        <v>2</v>
      </c>
      <c r="K50" s="20" cm="1">
        <f t="array" ref="K50">_xlfn.XLOOKUP($K$6, '15. Workforce Calcs'!$B$8:$BG$8, _xlfn.XLOOKUP(A50, '15. Workforce Calcs'!$A$10:$A$59, '15. Workforce Calcs'!$B$10:$BG$59))</f>
        <v>2</v>
      </c>
      <c r="L50" s="20" cm="1">
        <f t="array" ref="L50">_xlfn.XLOOKUP($L$6, '16. Existing HQs and Projects'!$B$8:$Q$8, _xlfn.XLOOKUP(A50,'16. Existing HQs and Projects'!$A$9:$A$58, '16. Existing HQs and Projects'!$B$9:$Q$58))</f>
        <v>1</v>
      </c>
      <c r="M50" s="37">
        <f t="shared" si="1"/>
        <v>2.0649999999999999</v>
      </c>
      <c r="N50" s="306" cm="1">
        <f t="array" ref="N50">_xlfn.IFS(M50&lt;$M$58, 1, M50&gt;$M$59, 3, M50&lt;$M$59, 2)</f>
        <v>3</v>
      </c>
    </row>
    <row r="51" spans="1:14" s="13" customFormat="1">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20" cm="1">
        <f t="array" ref="E51">_xlfn.XLOOKUP($E$6, 'Metric Categories 1-14'!$B$7:$FM$7, _xlfn.XLOOKUP(A51, 'Metric Categories 1-14'!$A$8:$A$57, 'Metric Categories 1-14'!$B$8:$FM$57))</f>
        <v>1.4000000000000001</v>
      </c>
      <c r="F51" s="35">
        <f t="shared" si="2"/>
        <v>1.3900000000000001</v>
      </c>
      <c r="G51" s="305" cm="1">
        <f t="array" ref="G51">_xlfn.IFS(F51&lt;$F$58, 1, F51&gt;$F$59, 3, F51&lt;$F$59, 2)</f>
        <v>2</v>
      </c>
      <c r="H51" s="20" cm="1">
        <f t="array" ref="H51">_xlfn.XLOOKUP($H$6, 'Metric Categories 1-14'!$B$7:$FM$7, _xlfn.XLOOKUP(A51, 'Metric Categories 1-14'!$A$8:$A$57, 'Metric Categories 1-14'!$B$8:$FM$57))</f>
        <v>1</v>
      </c>
      <c r="I51" s="20" cm="1">
        <f t="array" ref="I51">_xlfn.XLOOKUP($I$6, 'Metric Categories 1-14'!$B$7:$FM$7, _xlfn.XLOOKUP(A51, 'Metric Categories 1-14'!$A$8:$A$57, 'Metric Categories 1-14'!$B$8:$FM$57))</f>
        <v>1.75</v>
      </c>
      <c r="J51" s="20" cm="1">
        <f t="array" ref="J51">_xlfn.XLOOKUP($J$6, 'Metric Categories 1-14'!$B$7:$FM$7, _xlfn.XLOOKUP(A51, 'Metric Categories 1-14'!$A$8:$A$57, 'Metric Categories 1-14'!$B$8:$FM$57))</f>
        <v>1.9000000000000004</v>
      </c>
      <c r="K51" s="20" cm="1">
        <f t="array" ref="K51">_xlfn.XLOOKUP($K$6, '15. Workforce Calcs'!$B$8:$BG$8, _xlfn.XLOOKUP(A51, '15. Workforce Calcs'!$A$10:$A$59, '15. Workforce Calcs'!$B$10:$BG$59))</f>
        <v>1</v>
      </c>
      <c r="L51" s="20" cm="1">
        <f t="array" ref="L51">_xlfn.XLOOKUP($L$6, '16. Existing HQs and Projects'!$B$8:$Q$8, _xlfn.XLOOKUP(A51,'16. Existing HQs and Projects'!$A$9:$A$58, '16. Existing HQs and Projects'!$B$9:$Q$58))</f>
        <v>1</v>
      </c>
      <c r="M51" s="37">
        <f t="shared" si="1"/>
        <v>1.5775000000000001</v>
      </c>
      <c r="N51" s="306" cm="1">
        <f t="array" ref="N51">_xlfn.IFS(M51&lt;$M$58, 1, M51&gt;$M$59, 3, M51&lt;$M$59, 2)</f>
        <v>1</v>
      </c>
    </row>
    <row r="52" spans="1:14" s="13" customFormat="1">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20" cm="1">
        <f t="array" ref="E52">_xlfn.XLOOKUP($E$6, 'Metric Categories 1-14'!$B$7:$FM$7, _xlfn.XLOOKUP(A52, 'Metric Categories 1-14'!$A$8:$A$57, 'Metric Categories 1-14'!$B$8:$FM$57))</f>
        <v>1.6</v>
      </c>
      <c r="F52" s="35">
        <f t="shared" si="2"/>
        <v>1.6099999999999999</v>
      </c>
      <c r="G52" s="305" cm="1">
        <f t="array" ref="G52">_xlfn.IFS(F52&lt;$F$58, 1, F52&gt;$F$59, 3, F52&lt;$F$59, 2)</f>
        <v>3</v>
      </c>
      <c r="H52" s="20" cm="1">
        <f t="array" ref="H52">_xlfn.XLOOKUP($H$6, 'Metric Categories 1-14'!$B$7:$FM$7, _xlfn.XLOOKUP(A52, 'Metric Categories 1-14'!$A$8:$A$57, 'Metric Categories 1-14'!$B$8:$FM$57))</f>
        <v>1</v>
      </c>
      <c r="I52" s="20" cm="1">
        <f t="array" ref="I52">_xlfn.XLOOKUP($I$6, 'Metric Categories 1-14'!$B$7:$FM$7, _xlfn.XLOOKUP(A52, 'Metric Categories 1-14'!$A$8:$A$57, 'Metric Categories 1-14'!$B$8:$FM$57))</f>
        <v>2</v>
      </c>
      <c r="J52" s="20" cm="1">
        <f t="array" ref="J52">_xlfn.XLOOKUP($J$6, 'Metric Categories 1-14'!$B$7:$FM$7, _xlfn.XLOOKUP(A52, 'Metric Categories 1-14'!$A$8:$A$57, 'Metric Categories 1-14'!$B$8:$FM$57))</f>
        <v>1.7</v>
      </c>
      <c r="K52" s="20" cm="1">
        <f t="array" ref="K52">_xlfn.XLOOKUP($K$6, '15. Workforce Calcs'!$B$8:$BG$8, _xlfn.XLOOKUP(A52, '15. Workforce Calcs'!$A$10:$A$59, '15. Workforce Calcs'!$B$10:$BG$59))</f>
        <v>2</v>
      </c>
      <c r="L52" s="20" cm="1">
        <f t="array" ref="L52">_xlfn.XLOOKUP($L$6, '16. Existing HQs and Projects'!$B$8:$Q$8, _xlfn.XLOOKUP(A52,'16. Existing HQs and Projects'!$A$9:$A$58, '16. Existing HQs and Projects'!$B$9:$Q$58))</f>
        <v>1</v>
      </c>
      <c r="M52" s="37">
        <f t="shared" si="1"/>
        <v>1.6949999999999998</v>
      </c>
      <c r="N52" s="306" cm="1">
        <f t="array" ref="N52">_xlfn.IFS(M52&lt;$M$58, 1, M52&gt;$M$59, 3, M52&lt;$M$59, 2)</f>
        <v>2</v>
      </c>
    </row>
    <row r="53" spans="1:14" s="13" customFormat="1">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20" cm="1">
        <f t="array" ref="E53">_xlfn.XLOOKUP($E$6, 'Metric Categories 1-14'!$B$7:$FM$7, _xlfn.XLOOKUP(A53, 'Metric Categories 1-14'!$A$8:$A$57, 'Metric Categories 1-14'!$B$8:$FM$57))</f>
        <v>1.8000000000000003</v>
      </c>
      <c r="F53" s="35">
        <f t="shared" si="2"/>
        <v>2.04</v>
      </c>
      <c r="G53" s="305" cm="1">
        <f t="array" ref="G53">_xlfn.IFS(F53&lt;$F$58, 1, F53&gt;$F$59, 3, F53&lt;$F$59, 2)</f>
        <v>3</v>
      </c>
      <c r="H53" s="20" cm="1">
        <f t="array" ref="H53">_xlfn.XLOOKUP($H$6, 'Metric Categories 1-14'!$B$7:$FM$7, _xlfn.XLOOKUP(A53, 'Metric Categories 1-14'!$A$8:$A$57, 'Metric Categories 1-14'!$B$8:$FM$57))</f>
        <v>1.2000000000000002</v>
      </c>
      <c r="I53" s="20" cm="1">
        <f t="array" ref="I53">_xlfn.XLOOKUP($I$6, 'Metric Categories 1-14'!$B$7:$FM$7, _xlfn.XLOOKUP(A53, 'Metric Categories 1-14'!$A$8:$A$57, 'Metric Categories 1-14'!$B$8:$FM$57))</f>
        <v>3</v>
      </c>
      <c r="J53" s="20" cm="1">
        <f t="array" ref="J53">_xlfn.XLOOKUP($J$6, 'Metric Categories 1-14'!$B$7:$FM$7, _xlfn.XLOOKUP(A53, 'Metric Categories 1-14'!$A$8:$A$57, 'Metric Categories 1-14'!$B$8:$FM$57))</f>
        <v>2.7</v>
      </c>
      <c r="K53" s="20" cm="1">
        <f t="array" ref="K53">_xlfn.XLOOKUP($K$6, '15. Workforce Calcs'!$B$8:$BG$8, _xlfn.XLOOKUP(A53, '15. Workforce Calcs'!$A$10:$A$59, '15. Workforce Calcs'!$B$10:$BG$59))</f>
        <v>2</v>
      </c>
      <c r="L53" s="20" cm="1">
        <f t="array" ref="L53">_xlfn.XLOOKUP($L$6, '16. Existing HQs and Projects'!$B$8:$Q$8, _xlfn.XLOOKUP(A53,'16. Existing HQs and Projects'!$A$9:$A$58, '16. Existing HQs and Projects'!$B$9:$Q$58))</f>
        <v>3</v>
      </c>
      <c r="M53" s="37">
        <f t="shared" si="1"/>
        <v>2.5249999999999999</v>
      </c>
      <c r="N53" s="306" cm="1">
        <f t="array" ref="N53">_xlfn.IFS(M53&lt;$M$58, 1, M53&gt;$M$59, 3, M53&lt;$M$59, 2)</f>
        <v>3</v>
      </c>
    </row>
    <row r="54" spans="1:14" s="13" customFormat="1">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20" cm="1">
        <f t="array" ref="E54">_xlfn.XLOOKUP($E$6, 'Metric Categories 1-14'!$B$7:$FM$7, _xlfn.XLOOKUP(A54, 'Metric Categories 1-14'!$A$8:$A$57, 'Metric Categories 1-14'!$B$8:$FM$57))</f>
        <v>1.9</v>
      </c>
      <c r="F54" s="35">
        <f t="shared" si="2"/>
        <v>1.3149999999999999</v>
      </c>
      <c r="G54" s="305" cm="1">
        <f t="array" ref="G54">_xlfn.IFS(F54&lt;$F$58, 1, F54&gt;$F$59, 3, F54&lt;$F$59, 2)</f>
        <v>2</v>
      </c>
      <c r="H54" s="20" cm="1">
        <f t="array" ref="H54">_xlfn.XLOOKUP($H$6, 'Metric Categories 1-14'!$B$7:$FM$7, _xlfn.XLOOKUP(A54, 'Metric Categories 1-14'!$A$8:$A$57, 'Metric Categories 1-14'!$B$8:$FM$57))</f>
        <v>1.4</v>
      </c>
      <c r="I54" s="20" cm="1">
        <f t="array" ref="I54">_xlfn.XLOOKUP($I$6, 'Metric Categories 1-14'!$B$7:$FM$7, _xlfn.XLOOKUP(A54, 'Metric Categories 1-14'!$A$8:$A$57, 'Metric Categories 1-14'!$B$8:$FM$57))</f>
        <v>1.5</v>
      </c>
      <c r="J54" s="20" cm="1">
        <f t="array" ref="J54">_xlfn.XLOOKUP($J$6, 'Metric Categories 1-14'!$B$7:$FM$7, _xlfn.XLOOKUP(A54, 'Metric Categories 1-14'!$A$8:$A$57, 'Metric Categories 1-14'!$B$8:$FM$57))</f>
        <v>1.2000000000000002</v>
      </c>
      <c r="K54" s="20" cm="1">
        <f t="array" ref="K54">_xlfn.XLOOKUP($K$6, '15. Workforce Calcs'!$B$8:$BG$8, _xlfn.XLOOKUP(A54, '15. Workforce Calcs'!$A$10:$A$59, '15. Workforce Calcs'!$B$10:$BG$59))</f>
        <v>1</v>
      </c>
      <c r="L54" s="20" cm="1">
        <f t="array" ref="L54">_xlfn.XLOOKUP($L$6, '16. Existing HQs and Projects'!$B$8:$Q$8, _xlfn.XLOOKUP(A54,'16. Existing HQs and Projects'!$A$9:$A$58, '16. Existing HQs and Projects'!$B$9:$Q$58))</f>
        <v>1</v>
      </c>
      <c r="M54" s="37">
        <f t="shared" si="1"/>
        <v>1.3049999999999999</v>
      </c>
      <c r="N54" s="306" cm="1">
        <f t="array" ref="N54">_xlfn.IFS(M54&lt;$M$58, 1, M54&gt;$M$59, 3, M54&lt;$M$59, 2)</f>
        <v>1</v>
      </c>
    </row>
    <row r="55" spans="1:14" s="13" customFormat="1">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20" cm="1">
        <f t="array" ref="E55">_xlfn.XLOOKUP($E$6, 'Metric Categories 1-14'!$B$7:$FM$7, _xlfn.XLOOKUP(A55, 'Metric Categories 1-14'!$A$8:$A$57, 'Metric Categories 1-14'!$B$8:$FM$57))</f>
        <v>1.2000000000000002</v>
      </c>
      <c r="F55" s="35">
        <f t="shared" si="2"/>
        <v>1.19</v>
      </c>
      <c r="G55" s="305" cm="1">
        <f t="array" ref="G55">_xlfn.IFS(F55&lt;$F$58, 1, F55&gt;$F$59, 3, F55&lt;$F$59, 2)</f>
        <v>1</v>
      </c>
      <c r="H55" s="20" cm="1">
        <f t="array" ref="H55">_xlfn.XLOOKUP($H$6, 'Metric Categories 1-14'!$B$7:$FM$7, _xlfn.XLOOKUP(A55, 'Metric Categories 1-14'!$A$8:$A$57, 'Metric Categories 1-14'!$B$8:$FM$57))</f>
        <v>1</v>
      </c>
      <c r="I55" s="20" cm="1">
        <f t="array" ref="I55">_xlfn.XLOOKUP($I$6, 'Metric Categories 1-14'!$B$7:$FM$7, _xlfn.XLOOKUP(A55, 'Metric Categories 1-14'!$A$8:$A$57, 'Metric Categories 1-14'!$B$8:$FM$57))</f>
        <v>2</v>
      </c>
      <c r="J55" s="20" cm="1">
        <f t="array" ref="J55">_xlfn.XLOOKUP($J$6, 'Metric Categories 1-14'!$B$7:$FM$7, _xlfn.XLOOKUP(A55, 'Metric Categories 1-14'!$A$8:$A$57, 'Metric Categories 1-14'!$B$8:$FM$57))</f>
        <v>1.2</v>
      </c>
      <c r="K55" s="20" cm="1">
        <f t="array" ref="K55">_xlfn.XLOOKUP($K$6, '15. Workforce Calcs'!$B$8:$BG$8, _xlfn.XLOOKUP(A55, '15. Workforce Calcs'!$A$10:$A$59, '15. Workforce Calcs'!$B$10:$BG$59))</f>
        <v>3</v>
      </c>
      <c r="L55" s="20" cm="1">
        <f t="array" ref="L55">_xlfn.XLOOKUP($L$6, '16. Existing HQs and Projects'!$B$8:$Q$8, _xlfn.XLOOKUP(A55,'16. Existing HQs and Projects'!$A$9:$A$58, '16. Existing HQs and Projects'!$B$9:$Q$58))</f>
        <v>1</v>
      </c>
      <c r="M55" s="37">
        <f t="shared" si="1"/>
        <v>1.62</v>
      </c>
      <c r="N55" s="306" cm="1">
        <f t="array" ref="N55">_xlfn.IFS(M55&lt;$M$58, 1, M55&gt;$M$59, 3, M55&lt;$M$59, 2)</f>
        <v>1</v>
      </c>
    </row>
    <row r="56" spans="1:14" s="13" customFormat="1">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20" cm="1">
        <f t="array" ref="E56">_xlfn.XLOOKUP($E$6, 'Metric Categories 1-14'!$B$7:$FM$7, _xlfn.XLOOKUP(A56, 'Metric Categories 1-14'!$A$8:$A$57, 'Metric Categories 1-14'!$B$8:$FM$57))</f>
        <v>2.6000000000000005</v>
      </c>
      <c r="F56" s="35">
        <f t="shared" si="2"/>
        <v>1.4100000000000001</v>
      </c>
      <c r="G56" s="305" cm="1">
        <f t="array" ref="G56">_xlfn.IFS(F56&lt;$F$58, 1, F56&gt;$F$59, 3, F56&lt;$F$59, 2)</f>
        <v>2</v>
      </c>
      <c r="H56" s="20" cm="1">
        <f t="array" ref="H56">_xlfn.XLOOKUP($H$6, 'Metric Categories 1-14'!$B$7:$FM$7, _xlfn.XLOOKUP(A56, 'Metric Categories 1-14'!$A$8:$A$57, 'Metric Categories 1-14'!$B$8:$FM$57))</f>
        <v>2.2000000000000002</v>
      </c>
      <c r="I56" s="20" cm="1">
        <f t="array" ref="I56">_xlfn.XLOOKUP($I$6, 'Metric Categories 1-14'!$B$7:$FM$7, _xlfn.XLOOKUP(A56, 'Metric Categories 1-14'!$A$8:$A$57, 'Metric Categories 1-14'!$B$8:$FM$57))</f>
        <v>2.5</v>
      </c>
      <c r="J56" s="20" cm="1">
        <f t="array" ref="J56">_xlfn.XLOOKUP($J$6, 'Metric Categories 1-14'!$B$7:$FM$7, _xlfn.XLOOKUP(A56, 'Metric Categories 1-14'!$A$8:$A$57, 'Metric Categories 1-14'!$B$8:$FM$57))</f>
        <v>2.8</v>
      </c>
      <c r="K56" s="20" cm="1">
        <f t="array" ref="K56">_xlfn.XLOOKUP($K$6, '15. Workforce Calcs'!$B$8:$BG$8, _xlfn.XLOOKUP(A56, '15. Workforce Calcs'!$A$10:$A$59, '15. Workforce Calcs'!$B$10:$BG$59))</f>
        <v>1</v>
      </c>
      <c r="L56" s="20" cm="1">
        <f t="array" ref="L56">_xlfn.XLOOKUP($L$6, '16. Existing HQs and Projects'!$B$8:$Q$8, _xlfn.XLOOKUP(A56,'16. Existing HQs and Projects'!$A$9:$A$58, '16. Existing HQs and Projects'!$B$9:$Q$58))</f>
        <v>3</v>
      </c>
      <c r="M56" s="37">
        <f t="shared" si="1"/>
        <v>2.4350000000000001</v>
      </c>
      <c r="N56" s="306" cm="1">
        <f t="array" ref="N56">_xlfn.IFS(M56&lt;$M$58, 1, M56&gt;$M$59, 3, M56&lt;$M$59, 2)</f>
        <v>3</v>
      </c>
    </row>
    <row r="57" spans="1:14" s="13" customFormat="1">
      <c r="A57" s="16"/>
      <c r="B57" s="20"/>
      <c r="C57" s="20"/>
      <c r="D57" s="20"/>
      <c r="E57" s="20"/>
      <c r="F57"/>
      <c r="G57"/>
      <c r="H57" s="20"/>
      <c r="I57" s="20"/>
      <c r="J57" s="20"/>
      <c r="K57" s="20"/>
      <c r="L57" s="20"/>
      <c r="M57"/>
      <c r="N57"/>
    </row>
    <row r="58" spans="1:14" s="13" customFormat="1">
      <c r="A58" s="16"/>
      <c r="F58" s="35">
        <f>PERCENTILE(F7:F56, 1/3)</f>
        <v>1.2433333333333332</v>
      </c>
      <c r="G58"/>
      <c r="M58" s="37">
        <f>PERCENTILE(M7:M56, 1/3)</f>
        <v>1.6916666666666667</v>
      </c>
      <c r="N58"/>
    </row>
    <row r="59" spans="1:14" s="13" customFormat="1">
      <c r="A59" s="16"/>
      <c r="F59" s="35">
        <f>PERCENTILE(F7:F56, 2/3)</f>
        <v>1.4766666666666666</v>
      </c>
      <c r="G59"/>
      <c r="M59" s="37">
        <f>PERCENTILE(M7:M56, 2/3)</f>
        <v>2.0616666666666665</v>
      </c>
      <c r="N59"/>
    </row>
    <row r="60" spans="1:14" s="13" customFormat="1">
      <c r="A60" s="16"/>
      <c r="F60"/>
      <c r="G60"/>
      <c r="M60"/>
      <c r="N60"/>
    </row>
    <row r="61" spans="1:14" s="13" customFormat="1">
      <c r="A61" s="16"/>
      <c r="F61"/>
      <c r="G61"/>
      <c r="M61"/>
      <c r="N61"/>
    </row>
    <row r="62" spans="1:14" s="13" customFormat="1">
      <c r="A62" s="16"/>
      <c r="F62"/>
      <c r="G62"/>
      <c r="M62"/>
      <c r="N62"/>
    </row>
    <row r="63" spans="1:14" s="13" customFormat="1">
      <c r="A63" s="16"/>
      <c r="F63"/>
      <c r="G63"/>
      <c r="M63"/>
      <c r="N63"/>
    </row>
    <row r="64" spans="1:14" s="13" customFormat="1">
      <c r="A64" s="16"/>
      <c r="F64"/>
      <c r="G64"/>
      <c r="M64"/>
      <c r="N64"/>
    </row>
    <row r="65" spans="1:14" s="13" customFormat="1">
      <c r="A65" s="16"/>
      <c r="F65"/>
      <c r="G65"/>
      <c r="M65"/>
      <c r="N65"/>
    </row>
    <row r="66" spans="1:14" s="13" customFormat="1">
      <c r="A66" s="16"/>
      <c r="F66"/>
      <c r="G66"/>
      <c r="M66"/>
      <c r="N66"/>
    </row>
    <row r="67" spans="1:14" s="13" customFormat="1">
      <c r="A67" s="16"/>
      <c r="F67"/>
      <c r="G67"/>
      <c r="M67"/>
      <c r="N67"/>
    </row>
    <row r="68" spans="1:14" s="13" customFormat="1">
      <c r="A68" s="16"/>
      <c r="F68"/>
      <c r="G68"/>
      <c r="M68"/>
      <c r="N68"/>
    </row>
    <row r="69" spans="1:14" s="13" customFormat="1">
      <c r="A69" s="16"/>
      <c r="F69"/>
      <c r="G69"/>
      <c r="M69"/>
      <c r="N69"/>
    </row>
    <row r="70" spans="1:14" s="13" customFormat="1">
      <c r="A70" s="16"/>
      <c r="F70"/>
      <c r="G70"/>
      <c r="M70"/>
      <c r="N70"/>
    </row>
    <row r="71" spans="1:14" s="13" customFormat="1">
      <c r="A71" s="16"/>
      <c r="F71"/>
      <c r="G71"/>
      <c r="M71"/>
      <c r="N71"/>
    </row>
    <row r="72" spans="1:14" s="13" customFormat="1">
      <c r="A72" s="16"/>
      <c r="F72"/>
      <c r="G72"/>
      <c r="M72"/>
      <c r="N72"/>
    </row>
    <row r="73" spans="1:14" s="13" customFormat="1">
      <c r="A73" s="16"/>
      <c r="F73"/>
      <c r="G73"/>
      <c r="M73"/>
      <c r="N73"/>
    </row>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sheetData>
  <mergeCells count="2">
    <mergeCell ref="B4:F4"/>
    <mergeCell ref="H4:L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3C429-16C0-A14D-ABD9-7593C8E5E568}">
  <sheetPr>
    <tabColor rgb="FF7F7F7F"/>
  </sheetPr>
  <dimension ref="A1:AH77"/>
  <sheetViews>
    <sheetView zoomScaleNormal="100" workbookViewId="0">
      <selection activeCell="D1" sqref="D1"/>
    </sheetView>
  </sheetViews>
  <sheetFormatPr defaultColWidth="0" defaultRowHeight="15.95" customHeight="1"/>
  <cols>
    <col min="1" max="17" width="15.85546875" customWidth="1"/>
    <col min="18" max="34" width="0" hidden="1" customWidth="1"/>
    <col min="35" max="16384" width="10.85546875" hidden="1"/>
  </cols>
  <sheetData>
    <row r="1" spans="1:17" ht="27.95" customHeight="1">
      <c r="A1" s="4"/>
      <c r="B1" s="4"/>
      <c r="C1" s="2" t="s">
        <v>0</v>
      </c>
      <c r="D1" s="2"/>
      <c r="E1" s="4"/>
      <c r="F1" s="4"/>
      <c r="G1" s="4"/>
      <c r="H1" s="4"/>
      <c r="I1" s="4"/>
      <c r="J1" s="4"/>
      <c r="K1" s="4"/>
      <c r="L1" s="4"/>
      <c r="M1" s="4"/>
      <c r="N1" s="4"/>
      <c r="O1" s="4"/>
      <c r="P1" s="4"/>
      <c r="Q1" s="4"/>
    </row>
    <row r="2" spans="1:17" ht="36.950000000000003" customHeight="1" thickBot="1">
      <c r="A2" s="5"/>
      <c r="B2" s="5"/>
      <c r="C2" s="307" t="s">
        <v>705</v>
      </c>
      <c r="D2" s="3"/>
      <c r="E2" s="5"/>
      <c r="F2" s="5"/>
      <c r="G2" s="5"/>
      <c r="H2" s="5"/>
      <c r="I2" s="5"/>
      <c r="J2" s="5"/>
      <c r="K2" s="5"/>
      <c r="L2" s="5"/>
      <c r="M2" s="5"/>
      <c r="N2" s="5"/>
      <c r="O2" s="5"/>
      <c r="P2" s="5"/>
      <c r="Q2" s="5"/>
    </row>
    <row r="3" spans="1:17" ht="15.95" customHeight="1" thickTop="1">
      <c r="A3" s="6"/>
      <c r="B3" s="7"/>
      <c r="C3" s="6"/>
      <c r="D3" s="6"/>
      <c r="E3" s="8"/>
      <c r="F3" s="6"/>
      <c r="G3" s="6"/>
      <c r="H3" s="6"/>
      <c r="I3" s="6"/>
      <c r="J3" s="6"/>
      <c r="K3" s="6"/>
      <c r="L3" s="6"/>
      <c r="M3" s="6"/>
      <c r="N3" s="6"/>
      <c r="O3" s="6"/>
      <c r="P3" s="6"/>
      <c r="Q3" s="6"/>
    </row>
    <row r="4" spans="1:17" ht="15.95" customHeight="1">
      <c r="A4" s="21"/>
      <c r="B4" s="576" t="s">
        <v>699</v>
      </c>
      <c r="C4" s="577"/>
      <c r="D4" s="577"/>
      <c r="E4" s="577"/>
      <c r="F4" s="577"/>
      <c r="G4" s="22"/>
      <c r="H4" s="578" t="s">
        <v>700</v>
      </c>
      <c r="I4" s="578"/>
      <c r="J4" s="578"/>
      <c r="K4" s="578"/>
      <c r="L4" s="578"/>
      <c r="M4" s="578"/>
      <c r="N4" s="579"/>
      <c r="O4" s="23"/>
      <c r="P4" s="23"/>
      <c r="Q4" s="13"/>
    </row>
    <row r="5" spans="1:17" ht="15.95" customHeight="1">
      <c r="A5" s="21" t="s">
        <v>440</v>
      </c>
      <c r="B5" s="26">
        <v>0.2</v>
      </c>
      <c r="C5" s="26">
        <v>0.2</v>
      </c>
      <c r="D5" s="26">
        <v>0.3</v>
      </c>
      <c r="E5" s="26">
        <v>0.3</v>
      </c>
      <c r="F5" s="26">
        <f>SUM(B5:E5)</f>
        <v>1</v>
      </c>
      <c r="G5" s="27"/>
      <c r="H5" s="28">
        <v>0.2</v>
      </c>
      <c r="I5" s="28">
        <v>0.15</v>
      </c>
      <c r="J5" s="28">
        <v>0.2</v>
      </c>
      <c r="K5" s="28">
        <v>0.2</v>
      </c>
      <c r="L5" s="28">
        <v>0.1</v>
      </c>
      <c r="M5" s="28">
        <v>0.1</v>
      </c>
      <c r="N5" s="28">
        <v>0.05</v>
      </c>
      <c r="O5" s="29">
        <v>1</v>
      </c>
      <c r="P5" s="23"/>
      <c r="Q5" s="13"/>
    </row>
    <row r="6" spans="1:17" ht="69" customHeight="1" thickBot="1">
      <c r="A6" s="30" t="s">
        <v>75</v>
      </c>
      <c r="B6" s="15" t="s">
        <v>82</v>
      </c>
      <c r="C6" s="15" t="s">
        <v>84</v>
      </c>
      <c r="D6" s="15" t="s">
        <v>86</v>
      </c>
      <c r="E6" s="15" t="s">
        <v>89</v>
      </c>
      <c r="F6" s="302" t="s">
        <v>701</v>
      </c>
      <c r="G6" s="32" t="s">
        <v>702</v>
      </c>
      <c r="H6" s="15" t="s">
        <v>105</v>
      </c>
      <c r="I6" s="15" t="s">
        <v>113</v>
      </c>
      <c r="J6" s="15" t="s">
        <v>116</v>
      </c>
      <c r="K6" s="15" t="s">
        <v>109</v>
      </c>
      <c r="L6" s="15" t="s">
        <v>653</v>
      </c>
      <c r="M6" s="15" t="s">
        <v>122</v>
      </c>
      <c r="N6" s="15" t="s">
        <v>684</v>
      </c>
      <c r="O6" s="33" t="s">
        <v>703</v>
      </c>
      <c r="P6" s="33" t="s">
        <v>704</v>
      </c>
      <c r="Q6" s="34"/>
    </row>
    <row r="7" spans="1:17" ht="15.95" customHeigh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20" cm="1">
        <f t="array" ref="E7">_xlfn.XLOOKUP($E$6, 'Metric Categories 1-14'!$B$7:$FM$7, _xlfn.XLOOKUP(A7, 'Metric Categories 1-14'!$A$8:$A$57, 'Metric Categories 1-14'!$B$8:$FM$57))</f>
        <v>1.4000000000000001</v>
      </c>
      <c r="F7" s="35">
        <f>IF(H7=0, 0, (SUMPRODUCT($B$5:$E$5, B7:E7)))</f>
        <v>1.1200000000000001</v>
      </c>
      <c r="G7" s="36" cm="1">
        <f t="array" ref="G7">_xlfn.IFS(F7=0, 1, F7&lt;$F$59, 2, F7&gt;$F$59, 3)</f>
        <v>2</v>
      </c>
      <c r="H7" s="20" cm="1">
        <f t="array" ref="H7">_xlfn.XLOOKUP($H$6, 'Metric Categories 1-14'!$B$7:$FM$7, _xlfn.XLOOKUP(A7, 'Metric Categories 1-14'!$A$8:$A$57, 'Metric Categories 1-14'!$B$8:$FM$57))</f>
        <v>2</v>
      </c>
      <c r="I7" s="20" cm="1">
        <f t="array" ref="I7">_xlfn.XLOOKUP($I$6, 'Metric Categories 1-14'!$B$7:$FM$7, _xlfn.XLOOKUP(A7, 'Metric Categories 1-14'!$A$8:$A$57, 'Metric Categories 1-14'!$B$8:$FM$57))</f>
        <v>1.4</v>
      </c>
      <c r="J7" s="20" cm="1">
        <f t="array" ref="J7">_xlfn.XLOOKUP($J$6, 'Metric Categories 1-14'!$B$7:$FM$7, _xlfn.XLOOKUP(A7, 'Metric Categories 1-14'!$A$8:$A$57, 'Metric Categories 1-14'!$B$8:$FM$57))</f>
        <v>2.25</v>
      </c>
      <c r="K7" s="20" cm="1">
        <f t="array" ref="K7">_xlfn.XLOOKUP($K$6, 'Metric Categories 1-14'!$B$7:$FM$7, _xlfn.XLOOKUP(A7, 'Metric Categories 1-14'!$A$8:$A$57, 'Metric Categories 1-14'!$B$8:$FM$57))</f>
        <v>1.8</v>
      </c>
      <c r="L7" s="20" cm="1">
        <f t="array" ref="L7">_xlfn.XLOOKUP($L$6, '15. Workforce Calcs'!$B$8:$BG$8, _xlfn.XLOOKUP(A7, '15. Workforce Calcs'!$A$10:$A$59, '15. Workforce Calcs'!$B$10:$BG$59))</f>
        <v>2</v>
      </c>
      <c r="M7" s="20" cm="1">
        <f t="array" ref="M7">_xlfn.XLOOKUP($M$6, 'Metric Categories 1-14'!$B$7:$FM$7, _xlfn.XLOOKUP(A7, 'Metric Categories 1-14'!$A$8:$A$57, 'Metric Categories 1-14'!$B$8:$FM$57))</f>
        <v>1</v>
      </c>
      <c r="N7" s="20" cm="1">
        <f t="array" ref="N7">_xlfn.XLOOKUP($N$6, '16. Existing HQs and Projects'!$B$8:$Q$8, _xlfn.XLOOKUP(A7,'16. Existing HQs and Projects'!$A$9:$A$58, '16. Existing HQs and Projects'!$B$9:$Q$58))</f>
        <v>1</v>
      </c>
      <c r="O7" s="37">
        <f>IF(H7=0, 0, (SUMPRODUCT($H$5:$N$5, H7:N7)))</f>
        <v>1.7700000000000002</v>
      </c>
      <c r="P7" s="37" cm="1">
        <f t="array" ref="P7">_xlfn.IFS(O7=0, 1, O7&gt;$O$59, 3, O7=$O$59, 3, O7&lt;$O$59, 2)</f>
        <v>2</v>
      </c>
      <c r="Q7" s="13"/>
    </row>
    <row r="8" spans="1:17" ht="15.95" customHeight="1">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20" cm="1">
        <f t="array" ref="E8">_xlfn.XLOOKUP($E$6, 'Metric Categories 1-14'!$B$7:$FM$7, _xlfn.XLOOKUP(A8, 'Metric Categories 1-14'!$A$8:$A$57, 'Metric Categories 1-14'!$B$8:$FM$57))</f>
        <v>1.5</v>
      </c>
      <c r="F8" s="35">
        <f t="shared" ref="F8:F56" si="0">IF(H8=0, 0, (SUMPRODUCT($B$5:$E$5, B8:E8)))</f>
        <v>1.1499999999999999</v>
      </c>
      <c r="G8" s="36" cm="1">
        <f t="array" ref="G8">_xlfn.IFS(F8=0, 1, F8&lt;$F$59, 2, F8&gt;$F$59, 3)</f>
        <v>2</v>
      </c>
      <c r="H8" s="20" cm="1">
        <f t="array" ref="H8">_xlfn.XLOOKUP($H$6, 'Metric Categories 1-14'!$B$7:$FM$7, _xlfn.XLOOKUP(A8, 'Metric Categories 1-14'!$A$8:$A$57, 'Metric Categories 1-14'!$B$8:$FM$57))</f>
        <v>2.75</v>
      </c>
      <c r="I8" s="20" cm="1">
        <f t="array" ref="I8">_xlfn.XLOOKUP($I$6, 'Metric Categories 1-14'!$B$7:$FM$7, _xlfn.XLOOKUP(A8, 'Metric Categories 1-14'!$A$8:$A$57, 'Metric Categories 1-14'!$B$8:$FM$57))</f>
        <v>1</v>
      </c>
      <c r="J8" s="20" cm="1">
        <f t="array" ref="J8">_xlfn.XLOOKUP($J$6, 'Metric Categories 1-14'!$B$7:$FM$7, _xlfn.XLOOKUP(A8, 'Metric Categories 1-14'!$A$8:$A$57, 'Metric Categories 1-14'!$B$8:$FM$57))</f>
        <v>2.5</v>
      </c>
      <c r="K8" s="20" cm="1">
        <f t="array" ref="K8">_xlfn.XLOOKUP($K$6, 'Metric Categories 1-14'!$B$7:$FM$7, _xlfn.XLOOKUP(A8, 'Metric Categories 1-14'!$A$8:$A$57, 'Metric Categories 1-14'!$B$8:$FM$57))</f>
        <v>0.99999999999999989</v>
      </c>
      <c r="L8" s="20" cm="1">
        <f t="array" ref="L8">_xlfn.XLOOKUP($L$6, '15. Workforce Calcs'!$B$8:$BG$8, _xlfn.XLOOKUP(A8, '15. Workforce Calcs'!$A$10:$A$59, '15. Workforce Calcs'!$B$10:$BG$59))</f>
        <v>1</v>
      </c>
      <c r="M8" s="20" cm="1">
        <f t="array" ref="M8">_xlfn.XLOOKUP($M$6, 'Metric Categories 1-14'!$B$7:$FM$7, _xlfn.XLOOKUP(A8, 'Metric Categories 1-14'!$A$8:$A$57, 'Metric Categories 1-14'!$B$8:$FM$57))</f>
        <v>2</v>
      </c>
      <c r="N8" s="20" cm="1">
        <f t="array" ref="N8">_xlfn.XLOOKUP($N$6, '16. Existing HQs and Projects'!$B$8:$Q$8, _xlfn.XLOOKUP(A8,'16. Existing HQs and Projects'!$A$9:$A$58, '16. Existing HQs and Projects'!$B$9:$Q$58))</f>
        <v>1</v>
      </c>
      <c r="O8" s="37">
        <f t="shared" ref="O8:O56" si="1">IF(H8=0, 0, (SUMPRODUCT($H$5:$N$5, H8:N8)))</f>
        <v>1.7500000000000002</v>
      </c>
      <c r="P8" s="37" cm="1">
        <f t="array" ref="P8">_xlfn.IFS(O8=0, 1, O8&gt;$O$59, 3, O8=$O$59, 3, O8&lt;$O$59, 2)</f>
        <v>2</v>
      </c>
      <c r="Q8" s="13"/>
    </row>
    <row r="9" spans="1:17" ht="15.95" customHeight="1">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20" cm="1">
        <f t="array" ref="E9">_xlfn.XLOOKUP($E$6, 'Metric Categories 1-14'!$B$7:$FM$7, _xlfn.XLOOKUP(A9, 'Metric Categories 1-14'!$A$8:$A$57, 'Metric Categories 1-14'!$B$8:$FM$57))</f>
        <v>1.5</v>
      </c>
      <c r="F9" s="35">
        <f t="shared" si="0"/>
        <v>0</v>
      </c>
      <c r="G9" s="36" cm="1">
        <f t="array" ref="G9">_xlfn.IFS(F9=0, 1, F9&lt;$F$59, 2, F9&gt;$F$59, 3)</f>
        <v>1</v>
      </c>
      <c r="H9" s="20" cm="1">
        <f t="array" ref="H9">_xlfn.XLOOKUP($H$6, 'Metric Categories 1-14'!$B$7:$FM$7, _xlfn.XLOOKUP(A9, 'Metric Categories 1-14'!$A$8:$A$57, 'Metric Categories 1-14'!$B$8:$FM$57))</f>
        <v>0</v>
      </c>
      <c r="I9" s="20" cm="1">
        <f t="array" ref="I9">_xlfn.XLOOKUP($I$6, 'Metric Categories 1-14'!$B$7:$FM$7, _xlfn.XLOOKUP(A9, 'Metric Categories 1-14'!$A$8:$A$57, 'Metric Categories 1-14'!$B$8:$FM$57))</f>
        <v>1.2000000000000002</v>
      </c>
      <c r="J9" s="20" cm="1">
        <f t="array" ref="J9">_xlfn.XLOOKUP($J$6, 'Metric Categories 1-14'!$B$7:$FM$7, _xlfn.XLOOKUP(A9, 'Metric Categories 1-14'!$A$8:$A$57, 'Metric Categories 1-14'!$B$8:$FM$57))</f>
        <v>1.5</v>
      </c>
      <c r="K9" s="20" cm="1">
        <f t="array" ref="K9">_xlfn.XLOOKUP($K$6, 'Metric Categories 1-14'!$B$7:$FM$7, _xlfn.XLOOKUP(A9, 'Metric Categories 1-14'!$A$8:$A$57, 'Metric Categories 1-14'!$B$8:$FM$57))</f>
        <v>2.5</v>
      </c>
      <c r="L9" s="20" cm="1">
        <f t="array" ref="L9">_xlfn.XLOOKUP($L$6, '15. Workforce Calcs'!$B$8:$BG$8, _xlfn.XLOOKUP(A9, '15. Workforce Calcs'!$A$10:$A$59, '15. Workforce Calcs'!$B$10:$BG$59))</f>
        <v>2</v>
      </c>
      <c r="M9" s="20" cm="1">
        <f t="array" ref="M9">_xlfn.XLOOKUP($M$6, 'Metric Categories 1-14'!$B$7:$FM$7, _xlfn.XLOOKUP(A9, 'Metric Categories 1-14'!$A$8:$A$57, 'Metric Categories 1-14'!$B$8:$FM$57))</f>
        <v>3</v>
      </c>
      <c r="N9" s="20" cm="1">
        <f t="array" ref="N9">_xlfn.XLOOKUP($N$6, '16. Existing HQs and Projects'!$B$8:$Q$8, _xlfn.XLOOKUP(A9,'16. Existing HQs and Projects'!$A$9:$A$58, '16. Existing HQs and Projects'!$B$9:$Q$58))</f>
        <v>1</v>
      </c>
      <c r="O9" s="37">
        <f t="shared" si="1"/>
        <v>0</v>
      </c>
      <c r="P9" s="37" cm="1">
        <f t="array" ref="P9">_xlfn.IFS(O9=0, 1, O9&gt;$O$59, 3, O9=$O$59, 3, O9&lt;$O$59, 2)</f>
        <v>1</v>
      </c>
      <c r="Q9" s="13"/>
    </row>
    <row r="10" spans="1:17" ht="15.95" customHeight="1">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20" cm="1">
        <f t="array" ref="E10">_xlfn.XLOOKUP($E$6, 'Metric Categories 1-14'!$B$7:$FM$7, _xlfn.XLOOKUP(A10, 'Metric Categories 1-14'!$A$8:$A$57, 'Metric Categories 1-14'!$B$8:$FM$57))</f>
        <v>1.4000000000000001</v>
      </c>
      <c r="F10" s="35">
        <f t="shared" si="0"/>
        <v>0</v>
      </c>
      <c r="G10" s="36" cm="1">
        <f t="array" ref="G10">_xlfn.IFS(F10=0, 1, F10&lt;$F$59, 2, F10&gt;$F$59, 3)</f>
        <v>1</v>
      </c>
      <c r="H10" s="20" cm="1">
        <f t="array" ref="H10">_xlfn.XLOOKUP($H$6, 'Metric Categories 1-14'!$B$7:$FM$7, _xlfn.XLOOKUP(A10, 'Metric Categories 1-14'!$A$8:$A$57, 'Metric Categories 1-14'!$B$8:$FM$57))</f>
        <v>0</v>
      </c>
      <c r="I10" s="20" cm="1">
        <f t="array" ref="I10">_xlfn.XLOOKUP($I$6, 'Metric Categories 1-14'!$B$7:$FM$7, _xlfn.XLOOKUP(A10, 'Metric Categories 1-14'!$A$8:$A$57, 'Metric Categories 1-14'!$B$8:$FM$57))</f>
        <v>1.2000000000000002</v>
      </c>
      <c r="J10" s="20" cm="1">
        <f t="array" ref="J10">_xlfn.XLOOKUP($J$6, 'Metric Categories 1-14'!$B$7:$FM$7, _xlfn.XLOOKUP(A10, 'Metric Categories 1-14'!$A$8:$A$57, 'Metric Categories 1-14'!$B$8:$FM$57))</f>
        <v>1.75</v>
      </c>
      <c r="K10" s="20" cm="1">
        <f t="array" ref="K10">_xlfn.XLOOKUP($K$6, 'Metric Categories 1-14'!$B$7:$FM$7, _xlfn.XLOOKUP(A10, 'Metric Categories 1-14'!$A$8:$A$57, 'Metric Categories 1-14'!$B$8:$FM$57))</f>
        <v>2.1</v>
      </c>
      <c r="L10" s="20" cm="1">
        <f t="array" ref="L10">_xlfn.XLOOKUP($L$6, '15. Workforce Calcs'!$B$8:$BG$8, _xlfn.XLOOKUP(A10, '15. Workforce Calcs'!$A$10:$A$59, '15. Workforce Calcs'!$B$10:$BG$59))</f>
        <v>2</v>
      </c>
      <c r="M10" s="20" cm="1">
        <f t="array" ref="M10">_xlfn.XLOOKUP($M$6, 'Metric Categories 1-14'!$B$7:$FM$7, _xlfn.XLOOKUP(A10, 'Metric Categories 1-14'!$A$8:$A$57, 'Metric Categories 1-14'!$B$8:$FM$57))</f>
        <v>1</v>
      </c>
      <c r="N10" s="20" cm="1">
        <f t="array" ref="N10">_xlfn.XLOOKUP($N$6, '16. Existing HQs and Projects'!$B$8:$Q$8, _xlfn.XLOOKUP(A10,'16. Existing HQs and Projects'!$A$9:$A$58, '16. Existing HQs and Projects'!$B$9:$Q$58))</f>
        <v>1</v>
      </c>
      <c r="O10" s="37">
        <f t="shared" si="1"/>
        <v>0</v>
      </c>
      <c r="P10" s="37" cm="1">
        <f t="array" ref="P10">_xlfn.IFS(O10=0, 1, O10&gt;$O$59, 3, O10=$O$59, 3, O10&lt;$O$59, 2)</f>
        <v>1</v>
      </c>
      <c r="Q10" s="13"/>
    </row>
    <row r="11" spans="1:17" ht="15.95" customHeight="1">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20" cm="1">
        <f t="array" ref="E11">_xlfn.XLOOKUP($E$6, 'Metric Categories 1-14'!$B$7:$FM$7, _xlfn.XLOOKUP(A11, 'Metric Categories 1-14'!$A$8:$A$57, 'Metric Categories 1-14'!$B$8:$FM$57))</f>
        <v>2</v>
      </c>
      <c r="F11" s="35">
        <f t="shared" si="0"/>
        <v>2.3849999999999998</v>
      </c>
      <c r="G11" s="36" cm="1">
        <f t="array" ref="G11">_xlfn.IFS(F11=0, 1, F11&lt;$F$59, 2, F11&gt;$F$59, 3)</f>
        <v>3</v>
      </c>
      <c r="H11" s="20" cm="1">
        <f t="array" ref="H11">_xlfn.XLOOKUP($H$6, 'Metric Categories 1-14'!$B$7:$FM$7, _xlfn.XLOOKUP(A11, 'Metric Categories 1-14'!$A$8:$A$57, 'Metric Categories 1-14'!$B$8:$FM$57))</f>
        <v>2.25</v>
      </c>
      <c r="I11" s="20" cm="1">
        <f t="array" ref="I11">_xlfn.XLOOKUP($I$6, 'Metric Categories 1-14'!$B$7:$FM$7, _xlfn.XLOOKUP(A11, 'Metric Categories 1-14'!$A$8:$A$57, 'Metric Categories 1-14'!$B$8:$FM$57))</f>
        <v>2.2000000000000002</v>
      </c>
      <c r="J11" s="20" cm="1">
        <f t="array" ref="J11">_xlfn.XLOOKUP($J$6, 'Metric Categories 1-14'!$B$7:$FM$7, _xlfn.XLOOKUP(A11, 'Metric Categories 1-14'!$A$8:$A$57, 'Metric Categories 1-14'!$B$8:$FM$57))</f>
        <v>3</v>
      </c>
      <c r="K11" s="20" cm="1">
        <f t="array" ref="K11">_xlfn.XLOOKUP($K$6, 'Metric Categories 1-14'!$B$7:$FM$7, _xlfn.XLOOKUP(A11, 'Metric Categories 1-14'!$A$8:$A$57, 'Metric Categories 1-14'!$B$8:$FM$57))</f>
        <v>2.8999999999999995</v>
      </c>
      <c r="L11" s="20" cm="1">
        <f t="array" ref="L11">_xlfn.XLOOKUP($L$6, '15. Workforce Calcs'!$B$8:$BG$8, _xlfn.XLOOKUP(A11, '15. Workforce Calcs'!$A$10:$A$59, '15. Workforce Calcs'!$B$10:$BG$59))</f>
        <v>3</v>
      </c>
      <c r="M11" s="20" cm="1">
        <f t="array" ref="M11">_xlfn.XLOOKUP($M$6, 'Metric Categories 1-14'!$B$7:$FM$7, _xlfn.XLOOKUP(A11, 'Metric Categories 1-14'!$A$8:$A$57, 'Metric Categories 1-14'!$B$8:$FM$57))</f>
        <v>3</v>
      </c>
      <c r="N11" s="20" cm="1">
        <f t="array" ref="N11">_xlfn.XLOOKUP($N$6, '16. Existing HQs and Projects'!$B$8:$Q$8, _xlfn.XLOOKUP(A11,'16. Existing HQs and Projects'!$A$9:$A$58, '16. Existing HQs and Projects'!$B$9:$Q$58))</f>
        <v>3</v>
      </c>
      <c r="O11" s="37">
        <f t="shared" si="1"/>
        <v>2.7099999999999995</v>
      </c>
      <c r="P11" s="37" cm="1">
        <f t="array" ref="P11">_xlfn.IFS(O11=0, 1, O11&gt;$O$59, 3, O11=$O$59, 3, O11&lt;$O$59, 2)</f>
        <v>3</v>
      </c>
      <c r="Q11" s="13"/>
    </row>
    <row r="12" spans="1:17" ht="15.95" customHeight="1">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20" cm="1">
        <f t="array" ref="E12">_xlfn.XLOOKUP($E$6, 'Metric Categories 1-14'!$B$7:$FM$7, _xlfn.XLOOKUP(A12, 'Metric Categories 1-14'!$A$8:$A$57, 'Metric Categories 1-14'!$B$8:$FM$57))</f>
        <v>1.2000000000000002</v>
      </c>
      <c r="F12" s="35">
        <f t="shared" si="0"/>
        <v>0</v>
      </c>
      <c r="G12" s="36" cm="1">
        <f t="array" ref="G12">_xlfn.IFS(F12=0, 1, F12&lt;$F$59, 2, F12&gt;$F$59, 3)</f>
        <v>1</v>
      </c>
      <c r="H12" s="20" cm="1">
        <f t="array" ref="H12">_xlfn.XLOOKUP($H$6, 'Metric Categories 1-14'!$B$7:$FM$7, _xlfn.XLOOKUP(A12, 'Metric Categories 1-14'!$A$8:$A$57, 'Metric Categories 1-14'!$B$8:$FM$57))</f>
        <v>0</v>
      </c>
      <c r="I12" s="20" cm="1">
        <f t="array" ref="I12">_xlfn.XLOOKUP($I$6, 'Metric Categories 1-14'!$B$7:$FM$7, _xlfn.XLOOKUP(A12, 'Metric Categories 1-14'!$A$8:$A$57, 'Metric Categories 1-14'!$B$8:$FM$57))</f>
        <v>2.2000000000000002</v>
      </c>
      <c r="J12" s="20" cm="1">
        <f t="array" ref="J12">_xlfn.XLOOKUP($J$6, 'Metric Categories 1-14'!$B$7:$FM$7, _xlfn.XLOOKUP(A12, 'Metric Categories 1-14'!$A$8:$A$57, 'Metric Categories 1-14'!$B$8:$FM$57))</f>
        <v>2.5</v>
      </c>
      <c r="K12" s="20" cm="1">
        <f t="array" ref="K12">_xlfn.XLOOKUP($K$6, 'Metric Categories 1-14'!$B$7:$FM$7, _xlfn.XLOOKUP(A12, 'Metric Categories 1-14'!$A$8:$A$57, 'Metric Categories 1-14'!$B$8:$FM$57))</f>
        <v>2.4000000000000004</v>
      </c>
      <c r="L12" s="20" cm="1">
        <f t="array" ref="L12">_xlfn.XLOOKUP($L$6, '15. Workforce Calcs'!$B$8:$BG$8, _xlfn.XLOOKUP(A12, '15. Workforce Calcs'!$A$10:$A$59, '15. Workforce Calcs'!$B$10:$BG$59))</f>
        <v>2</v>
      </c>
      <c r="M12" s="20" cm="1">
        <f t="array" ref="M12">_xlfn.XLOOKUP($M$6, 'Metric Categories 1-14'!$B$7:$FM$7, _xlfn.XLOOKUP(A12, 'Metric Categories 1-14'!$A$8:$A$57, 'Metric Categories 1-14'!$B$8:$FM$57))</f>
        <v>3</v>
      </c>
      <c r="N12" s="20" cm="1">
        <f t="array" ref="N12">_xlfn.XLOOKUP($N$6, '16. Existing HQs and Projects'!$B$8:$Q$8, _xlfn.XLOOKUP(A12,'16. Existing HQs and Projects'!$A$9:$A$58, '16. Existing HQs and Projects'!$B$9:$Q$58))</f>
        <v>1</v>
      </c>
      <c r="O12" s="37">
        <f t="shared" si="1"/>
        <v>0</v>
      </c>
      <c r="P12" s="37" cm="1">
        <f t="array" ref="P12">_xlfn.IFS(O12=0, 1, O12&gt;$O$59, 3, O12=$O$59, 3, O12&lt;$O$59, 2)</f>
        <v>1</v>
      </c>
      <c r="Q12" s="13"/>
    </row>
    <row r="13" spans="1:17" ht="15.95" customHeight="1">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20" cm="1">
        <f t="array" ref="E13">_xlfn.XLOOKUP($E$6, 'Metric Categories 1-14'!$B$7:$FM$7, _xlfn.XLOOKUP(A13, 'Metric Categories 1-14'!$A$8:$A$57, 'Metric Categories 1-14'!$B$8:$FM$57))</f>
        <v>1.4000000000000001</v>
      </c>
      <c r="F13" s="35">
        <f t="shared" si="0"/>
        <v>1.875</v>
      </c>
      <c r="G13" s="36" cm="1">
        <f t="array" ref="G13">_xlfn.IFS(F13=0, 1, F13&lt;$F$59, 2, F13&gt;$F$59, 3)</f>
        <v>3</v>
      </c>
      <c r="H13" s="20" cm="1">
        <f t="array" ref="H13">_xlfn.XLOOKUP($H$6, 'Metric Categories 1-14'!$B$7:$FM$7, _xlfn.XLOOKUP(A13, 'Metric Categories 1-14'!$A$8:$A$57, 'Metric Categories 1-14'!$B$8:$FM$57))</f>
        <v>2.5</v>
      </c>
      <c r="I13" s="20" cm="1">
        <f t="array" ref="I13">_xlfn.XLOOKUP($I$6, 'Metric Categories 1-14'!$B$7:$FM$7, _xlfn.XLOOKUP(A13, 'Metric Categories 1-14'!$A$8:$A$57, 'Metric Categories 1-14'!$B$8:$FM$57))</f>
        <v>1</v>
      </c>
      <c r="J13" s="20" cm="1">
        <f t="array" ref="J13">_xlfn.XLOOKUP($J$6, 'Metric Categories 1-14'!$B$7:$FM$7, _xlfn.XLOOKUP(A13, 'Metric Categories 1-14'!$A$8:$A$57, 'Metric Categories 1-14'!$B$8:$FM$57))</f>
        <v>1.5</v>
      </c>
      <c r="K13" s="20" cm="1">
        <f t="array" ref="K13">_xlfn.XLOOKUP($K$6, 'Metric Categories 1-14'!$B$7:$FM$7, _xlfn.XLOOKUP(A13, 'Metric Categories 1-14'!$A$8:$A$57, 'Metric Categories 1-14'!$B$8:$FM$57))</f>
        <v>1.7</v>
      </c>
      <c r="L13" s="20" cm="1">
        <f t="array" ref="L13">_xlfn.XLOOKUP($L$6, '15. Workforce Calcs'!$B$8:$BG$8, _xlfn.XLOOKUP(A13, '15. Workforce Calcs'!$A$10:$A$59, '15. Workforce Calcs'!$B$10:$BG$59))</f>
        <v>2</v>
      </c>
      <c r="M13" s="20" cm="1">
        <f t="array" ref="M13">_xlfn.XLOOKUP($M$6, 'Metric Categories 1-14'!$B$7:$FM$7, _xlfn.XLOOKUP(A13, 'Metric Categories 1-14'!$A$8:$A$57, 'Metric Categories 1-14'!$B$8:$FM$57))</f>
        <v>1</v>
      </c>
      <c r="N13" s="20" cm="1">
        <f t="array" ref="N13">_xlfn.XLOOKUP($N$6, '16. Existing HQs and Projects'!$B$8:$Q$8, _xlfn.XLOOKUP(A13,'16. Existing HQs and Projects'!$A$9:$A$58, '16. Existing HQs and Projects'!$B$9:$Q$58))</f>
        <v>1</v>
      </c>
      <c r="O13" s="37">
        <f t="shared" si="1"/>
        <v>1.6400000000000001</v>
      </c>
      <c r="P13" s="37" cm="1">
        <f t="array" ref="P13">_xlfn.IFS(O13=0, 1, O13&gt;$O$59, 3, O13=$O$59, 3, O13&lt;$O$59, 2)</f>
        <v>2</v>
      </c>
      <c r="Q13" s="13"/>
    </row>
    <row r="14" spans="1:17" ht="15.95" customHeight="1">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20" cm="1">
        <f t="array" ref="E14">_xlfn.XLOOKUP($E$6, 'Metric Categories 1-14'!$B$7:$FM$7, _xlfn.XLOOKUP(A14, 'Metric Categories 1-14'!$A$8:$A$57, 'Metric Categories 1-14'!$B$8:$FM$57))</f>
        <v>1.2000000000000002</v>
      </c>
      <c r="F14" s="35">
        <f t="shared" si="0"/>
        <v>1.415</v>
      </c>
      <c r="G14" s="36" cm="1">
        <f t="array" ref="G14">_xlfn.IFS(F14=0, 1, F14&lt;$F$59, 2, F14&gt;$F$59, 3)</f>
        <v>3</v>
      </c>
      <c r="H14" s="20" cm="1">
        <f t="array" ref="H14">_xlfn.XLOOKUP($H$6, 'Metric Categories 1-14'!$B$7:$FM$7, _xlfn.XLOOKUP(A14, 'Metric Categories 1-14'!$A$8:$A$57, 'Metric Categories 1-14'!$B$8:$FM$57))</f>
        <v>2.5</v>
      </c>
      <c r="I14" s="20" cm="1">
        <f t="array" ref="I14">_xlfn.XLOOKUP($I$6, 'Metric Categories 1-14'!$B$7:$FM$7, _xlfn.XLOOKUP(A14, 'Metric Categories 1-14'!$A$8:$A$57, 'Metric Categories 1-14'!$B$8:$FM$57))</f>
        <v>1</v>
      </c>
      <c r="J14" s="20" cm="1">
        <f t="array" ref="J14">_xlfn.XLOOKUP($J$6, 'Metric Categories 1-14'!$B$7:$FM$7, _xlfn.XLOOKUP(A14, 'Metric Categories 1-14'!$A$8:$A$57, 'Metric Categories 1-14'!$B$8:$FM$57))</f>
        <v>1.25</v>
      </c>
      <c r="K14" s="20" cm="1">
        <f t="array" ref="K14">_xlfn.XLOOKUP($K$6, 'Metric Categories 1-14'!$B$7:$FM$7, _xlfn.XLOOKUP(A14, 'Metric Categories 1-14'!$A$8:$A$57, 'Metric Categories 1-14'!$B$8:$FM$57))</f>
        <v>1.3</v>
      </c>
      <c r="L14" s="20" cm="1">
        <f t="array" ref="L14">_xlfn.XLOOKUP($L$6, '15. Workforce Calcs'!$B$8:$BG$8, _xlfn.XLOOKUP(A14, '15. Workforce Calcs'!$A$10:$A$59, '15. Workforce Calcs'!$B$10:$BG$59))</f>
        <v>1</v>
      </c>
      <c r="M14" s="20" cm="1">
        <f t="array" ref="M14">_xlfn.XLOOKUP($M$6, 'Metric Categories 1-14'!$B$7:$FM$7, _xlfn.XLOOKUP(A14, 'Metric Categories 1-14'!$A$8:$A$57, 'Metric Categories 1-14'!$B$8:$FM$57))</f>
        <v>1</v>
      </c>
      <c r="N14" s="20" cm="1">
        <f t="array" ref="N14">_xlfn.XLOOKUP($N$6, '16. Existing HQs and Projects'!$B$8:$Q$8, _xlfn.XLOOKUP(A14,'16. Existing HQs and Projects'!$A$9:$A$58, '16. Existing HQs and Projects'!$B$9:$Q$58))</f>
        <v>1</v>
      </c>
      <c r="O14" s="37">
        <f t="shared" si="1"/>
        <v>1.4100000000000004</v>
      </c>
      <c r="P14" s="37" cm="1">
        <f t="array" ref="P14">_xlfn.IFS(O14=0, 1, O14&gt;$O$59, 3, O14=$O$59, 3, O14&lt;$O$59, 2)</f>
        <v>2</v>
      </c>
      <c r="Q14" s="13"/>
    </row>
    <row r="15" spans="1:17" ht="15.95" customHeight="1">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20" cm="1">
        <f t="array" ref="E15">_xlfn.XLOOKUP($E$6, 'Metric Categories 1-14'!$B$7:$FM$7, _xlfn.XLOOKUP(A15, 'Metric Categories 1-14'!$A$8:$A$57, 'Metric Categories 1-14'!$B$8:$FM$57))</f>
        <v>1.4000000000000001</v>
      </c>
      <c r="F15" s="35">
        <f t="shared" si="0"/>
        <v>1.4500000000000002</v>
      </c>
      <c r="G15" s="36" cm="1">
        <f t="array" ref="G15">_xlfn.IFS(F15=0, 1, F15&lt;$F$59, 2, F15&gt;$F$59, 3)</f>
        <v>3</v>
      </c>
      <c r="H15" s="20" cm="1">
        <f t="array" ref="H15">_xlfn.XLOOKUP($H$6, 'Metric Categories 1-14'!$B$7:$FM$7, _xlfn.XLOOKUP(A15, 'Metric Categories 1-14'!$A$8:$A$57, 'Metric Categories 1-14'!$B$8:$FM$57))</f>
        <v>3</v>
      </c>
      <c r="I15" s="20" cm="1">
        <f t="array" ref="I15">_xlfn.XLOOKUP($I$6, 'Metric Categories 1-14'!$B$7:$FM$7, _xlfn.XLOOKUP(A15, 'Metric Categories 1-14'!$A$8:$A$57, 'Metric Categories 1-14'!$B$8:$FM$57))</f>
        <v>1.2000000000000002</v>
      </c>
      <c r="J15" s="20" cm="1">
        <f t="array" ref="J15">_xlfn.XLOOKUP($J$6, 'Metric Categories 1-14'!$B$7:$FM$7, _xlfn.XLOOKUP(A15, 'Metric Categories 1-14'!$A$8:$A$57, 'Metric Categories 1-14'!$B$8:$FM$57))</f>
        <v>2</v>
      </c>
      <c r="K15" s="20" cm="1">
        <f t="array" ref="K15">_xlfn.XLOOKUP($K$6, 'Metric Categories 1-14'!$B$7:$FM$7, _xlfn.XLOOKUP(A15, 'Metric Categories 1-14'!$A$8:$A$57, 'Metric Categories 1-14'!$B$8:$FM$57))</f>
        <v>1.2</v>
      </c>
      <c r="L15" s="20" cm="1">
        <f t="array" ref="L15">_xlfn.XLOOKUP($L$6, '15. Workforce Calcs'!$B$8:$BG$8, _xlfn.XLOOKUP(A15, '15. Workforce Calcs'!$A$10:$A$59, '15. Workforce Calcs'!$B$10:$BG$59))</f>
        <v>3</v>
      </c>
      <c r="M15" s="20" cm="1">
        <f t="array" ref="M15">_xlfn.XLOOKUP($M$6, 'Metric Categories 1-14'!$B$7:$FM$7, _xlfn.XLOOKUP(A15, 'Metric Categories 1-14'!$A$8:$A$57, 'Metric Categories 1-14'!$B$8:$FM$57))</f>
        <v>3</v>
      </c>
      <c r="N15" s="20" cm="1">
        <f t="array" ref="N15">_xlfn.XLOOKUP($N$6, '16. Existing HQs and Projects'!$B$8:$Q$8, _xlfn.XLOOKUP(A15,'16. Existing HQs and Projects'!$A$9:$A$58, '16. Existing HQs and Projects'!$B$9:$Q$58))</f>
        <v>1</v>
      </c>
      <c r="O15" s="37">
        <f t="shared" si="1"/>
        <v>2.0700000000000003</v>
      </c>
      <c r="P15" s="37" cm="1">
        <f t="array" ref="P15">_xlfn.IFS(O15=0, 1, O15&gt;$O$59, 3, O15=$O$59, 3, O15&lt;$O$59, 2)</f>
        <v>3</v>
      </c>
      <c r="Q15" s="13"/>
    </row>
    <row r="16" spans="1:17" ht="15.95" customHeight="1">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20" cm="1">
        <f t="array" ref="E16">_xlfn.XLOOKUP($E$6, 'Metric Categories 1-14'!$B$7:$FM$7, _xlfn.XLOOKUP(A16, 'Metric Categories 1-14'!$A$8:$A$57, 'Metric Categories 1-14'!$B$8:$FM$57))</f>
        <v>1.4000000000000001</v>
      </c>
      <c r="F16" s="35">
        <f t="shared" si="0"/>
        <v>1.2999999999999998</v>
      </c>
      <c r="G16" s="36" cm="1">
        <f t="array" ref="G16">_xlfn.IFS(F16=0, 1, F16&lt;$F$59, 2, F16&gt;$F$59, 3)</f>
        <v>2</v>
      </c>
      <c r="H16" s="20" cm="1">
        <f t="array" ref="H16">_xlfn.XLOOKUP($H$6, 'Metric Categories 1-14'!$B$7:$FM$7, _xlfn.XLOOKUP(A16, 'Metric Categories 1-14'!$A$8:$A$57, 'Metric Categories 1-14'!$B$8:$FM$57))</f>
        <v>2</v>
      </c>
      <c r="I16" s="20" cm="1">
        <f t="array" ref="I16">_xlfn.XLOOKUP($I$6, 'Metric Categories 1-14'!$B$7:$FM$7, _xlfn.XLOOKUP(A16, 'Metric Categories 1-14'!$A$8:$A$57, 'Metric Categories 1-14'!$B$8:$FM$57))</f>
        <v>1.2000000000000002</v>
      </c>
      <c r="J16" s="20" cm="1">
        <f t="array" ref="J16">_xlfn.XLOOKUP($J$6, 'Metric Categories 1-14'!$B$7:$FM$7, _xlfn.XLOOKUP(A16, 'Metric Categories 1-14'!$A$8:$A$57, 'Metric Categories 1-14'!$B$8:$FM$57))</f>
        <v>2.5</v>
      </c>
      <c r="K16" s="20" cm="1">
        <f t="array" ref="K16">_xlfn.XLOOKUP($K$6, 'Metric Categories 1-14'!$B$7:$FM$7, _xlfn.XLOOKUP(A16, 'Metric Categories 1-14'!$A$8:$A$57, 'Metric Categories 1-14'!$B$8:$FM$57))</f>
        <v>1.9999999999999998</v>
      </c>
      <c r="L16" s="20" cm="1">
        <f t="array" ref="L16">_xlfn.XLOOKUP($L$6, '15. Workforce Calcs'!$B$8:$BG$8, _xlfn.XLOOKUP(A16, '15. Workforce Calcs'!$A$10:$A$59, '15. Workforce Calcs'!$B$10:$BG$59))</f>
        <v>3</v>
      </c>
      <c r="M16" s="20" cm="1">
        <f t="array" ref="M16">_xlfn.XLOOKUP($M$6, 'Metric Categories 1-14'!$B$7:$FM$7, _xlfn.XLOOKUP(A16, 'Metric Categories 1-14'!$A$8:$A$57, 'Metric Categories 1-14'!$B$8:$FM$57))</f>
        <v>2</v>
      </c>
      <c r="N16" s="20" cm="1">
        <f t="array" ref="N16">_xlfn.XLOOKUP($N$6, '16. Existing HQs and Projects'!$B$8:$Q$8, _xlfn.XLOOKUP(A16,'16. Existing HQs and Projects'!$A$9:$A$58, '16. Existing HQs and Projects'!$B$9:$Q$58))</f>
        <v>1</v>
      </c>
      <c r="O16" s="37">
        <f t="shared" si="1"/>
        <v>2.0299999999999998</v>
      </c>
      <c r="P16" s="37" cm="1">
        <f t="array" ref="P16">_xlfn.IFS(O16=0, 1, O16&gt;$O$59, 3, O16=$O$59, 3, O16&lt;$O$59, 2)</f>
        <v>3</v>
      </c>
      <c r="Q16" s="13"/>
    </row>
    <row r="17" spans="1:17" ht="15.95" customHeight="1">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20" cm="1">
        <f t="array" ref="E17">_xlfn.XLOOKUP($E$6, 'Metric Categories 1-14'!$B$7:$FM$7, _xlfn.XLOOKUP(A17, 'Metric Categories 1-14'!$A$8:$A$57, 'Metric Categories 1-14'!$B$8:$FM$57))</f>
        <v>1.4000000000000001</v>
      </c>
      <c r="F17" s="35">
        <f t="shared" si="0"/>
        <v>1.5699999999999998</v>
      </c>
      <c r="G17" s="36" cm="1">
        <f t="array" ref="G17">_xlfn.IFS(F17=0, 1, F17&lt;$F$59, 2, F17&gt;$F$59, 3)</f>
        <v>3</v>
      </c>
      <c r="H17" s="20" cm="1">
        <f t="array" ref="H17">_xlfn.XLOOKUP($H$6, 'Metric Categories 1-14'!$B$7:$FM$7, _xlfn.XLOOKUP(A17, 'Metric Categories 1-14'!$A$8:$A$57, 'Metric Categories 1-14'!$B$8:$FM$57))</f>
        <v>2.75</v>
      </c>
      <c r="I17" s="20" cm="1">
        <f t="array" ref="I17">_xlfn.XLOOKUP($I$6, 'Metric Categories 1-14'!$B$7:$FM$7, _xlfn.XLOOKUP(A17, 'Metric Categories 1-14'!$A$8:$A$57, 'Metric Categories 1-14'!$B$8:$FM$57))</f>
        <v>1</v>
      </c>
      <c r="J17" s="20" cm="1">
        <f t="array" ref="J17">_xlfn.XLOOKUP($J$6, 'Metric Categories 1-14'!$B$7:$FM$7, _xlfn.XLOOKUP(A17, 'Metric Categories 1-14'!$A$8:$A$57, 'Metric Categories 1-14'!$B$8:$FM$57))</f>
        <v>1.25</v>
      </c>
      <c r="K17" s="20" cm="1">
        <f t="array" ref="K17">_xlfn.XLOOKUP($K$6, 'Metric Categories 1-14'!$B$7:$FM$7, _xlfn.XLOOKUP(A17, 'Metric Categories 1-14'!$A$8:$A$57, 'Metric Categories 1-14'!$B$8:$FM$57))</f>
        <v>1.8000000000000003</v>
      </c>
      <c r="L17" s="20" cm="1">
        <f t="array" ref="L17">_xlfn.XLOOKUP($L$6, '15. Workforce Calcs'!$B$8:$BG$8, _xlfn.XLOOKUP(A17, '15. Workforce Calcs'!$A$10:$A$59, '15. Workforce Calcs'!$B$10:$BG$59))</f>
        <v>1</v>
      </c>
      <c r="M17" s="20" cm="1">
        <f t="array" ref="M17">_xlfn.XLOOKUP($M$6, 'Metric Categories 1-14'!$B$7:$FM$7, _xlfn.XLOOKUP(A17, 'Metric Categories 1-14'!$A$8:$A$57, 'Metric Categories 1-14'!$B$8:$FM$57))</f>
        <v>1</v>
      </c>
      <c r="N17" s="20" cm="1">
        <f t="array" ref="N17">_xlfn.XLOOKUP($N$6, '16. Existing HQs and Projects'!$B$8:$Q$8, _xlfn.XLOOKUP(A17,'16. Existing HQs and Projects'!$A$9:$A$58, '16. Existing HQs and Projects'!$B$9:$Q$58))</f>
        <v>1</v>
      </c>
      <c r="O17" s="37">
        <f t="shared" si="1"/>
        <v>1.5600000000000003</v>
      </c>
      <c r="P17" s="37" cm="1">
        <f t="array" ref="P17">_xlfn.IFS(O17=0, 1, O17&gt;$O$59, 3, O17=$O$59, 3, O17&lt;$O$59, 2)</f>
        <v>2</v>
      </c>
      <c r="Q17" s="13"/>
    </row>
    <row r="18" spans="1:17" ht="15.95" customHeight="1">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20" cm="1">
        <f t="array" ref="E18">_xlfn.XLOOKUP($E$6, 'Metric Categories 1-14'!$B$7:$FM$7, _xlfn.XLOOKUP(A18, 'Metric Categories 1-14'!$A$8:$A$57, 'Metric Categories 1-14'!$B$8:$FM$57))</f>
        <v>1.2000000000000002</v>
      </c>
      <c r="F18" s="35">
        <f t="shared" si="0"/>
        <v>0</v>
      </c>
      <c r="G18" s="36" cm="1">
        <f t="array" ref="G18">_xlfn.IFS(F18=0, 1, F18&lt;$F$59, 2, F18&gt;$F$59, 3)</f>
        <v>1</v>
      </c>
      <c r="H18" s="20" cm="1">
        <f t="array" ref="H18">_xlfn.XLOOKUP($H$6, 'Metric Categories 1-14'!$B$7:$FM$7, _xlfn.XLOOKUP(A18, 'Metric Categories 1-14'!$A$8:$A$57, 'Metric Categories 1-14'!$B$8:$FM$57))</f>
        <v>0</v>
      </c>
      <c r="I18" s="20" cm="1">
        <f t="array" ref="I18">_xlfn.XLOOKUP($I$6, 'Metric Categories 1-14'!$B$7:$FM$7, _xlfn.XLOOKUP(A18, 'Metric Categories 1-14'!$A$8:$A$57, 'Metric Categories 1-14'!$B$8:$FM$57))</f>
        <v>1</v>
      </c>
      <c r="J18" s="20" cm="1">
        <f t="array" ref="J18">_xlfn.XLOOKUP($J$6, 'Metric Categories 1-14'!$B$7:$FM$7, _xlfn.XLOOKUP(A18, 'Metric Categories 1-14'!$A$8:$A$57, 'Metric Categories 1-14'!$B$8:$FM$57))</f>
        <v>1.75</v>
      </c>
      <c r="K18" s="20" cm="1">
        <f t="array" ref="K18">_xlfn.XLOOKUP($K$6, 'Metric Categories 1-14'!$B$7:$FM$7, _xlfn.XLOOKUP(A18, 'Metric Categories 1-14'!$A$8:$A$57, 'Metric Categories 1-14'!$B$8:$FM$57))</f>
        <v>2.8999999999999995</v>
      </c>
      <c r="L18" s="20" cm="1">
        <f t="array" ref="L18">_xlfn.XLOOKUP($L$6, '15. Workforce Calcs'!$B$8:$BG$8, _xlfn.XLOOKUP(A18, '15. Workforce Calcs'!$A$10:$A$59, '15. Workforce Calcs'!$B$10:$BG$59))</f>
        <v>1</v>
      </c>
      <c r="M18" s="20" cm="1">
        <f t="array" ref="M18">_xlfn.XLOOKUP($M$6, 'Metric Categories 1-14'!$B$7:$FM$7, _xlfn.XLOOKUP(A18, 'Metric Categories 1-14'!$A$8:$A$57, 'Metric Categories 1-14'!$B$8:$FM$57))</f>
        <v>3</v>
      </c>
      <c r="N18" s="20" cm="1">
        <f t="array" ref="N18">_xlfn.XLOOKUP($N$6, '16. Existing HQs and Projects'!$B$8:$Q$8, _xlfn.XLOOKUP(A18,'16. Existing HQs and Projects'!$A$9:$A$58, '16. Existing HQs and Projects'!$B$9:$Q$58))</f>
        <v>1</v>
      </c>
      <c r="O18" s="37">
        <f t="shared" si="1"/>
        <v>0</v>
      </c>
      <c r="P18" s="37" cm="1">
        <f t="array" ref="P18">_xlfn.IFS(O18=0, 1, O18&gt;$O$59, 3, O18=$O$59, 3, O18&lt;$O$59, 2)</f>
        <v>1</v>
      </c>
      <c r="Q18" s="13"/>
    </row>
    <row r="19" spans="1:17" ht="15.95" customHeight="1">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20" cm="1">
        <f t="array" ref="E19">_xlfn.XLOOKUP($E$6, 'Metric Categories 1-14'!$B$7:$FM$7, _xlfn.XLOOKUP(A19, 'Metric Categories 1-14'!$A$8:$A$57, 'Metric Categories 1-14'!$B$8:$FM$57))</f>
        <v>1.6</v>
      </c>
      <c r="F19" s="35">
        <f t="shared" si="0"/>
        <v>0</v>
      </c>
      <c r="G19" s="36" cm="1">
        <f t="array" ref="G19">_xlfn.IFS(F19=0, 1, F19&lt;$F$59, 2, F19&gt;$F$59, 3)</f>
        <v>1</v>
      </c>
      <c r="H19" s="20" cm="1">
        <f t="array" ref="H19">_xlfn.XLOOKUP($H$6, 'Metric Categories 1-14'!$B$7:$FM$7, _xlfn.XLOOKUP(A19, 'Metric Categories 1-14'!$A$8:$A$57, 'Metric Categories 1-14'!$B$8:$FM$57))</f>
        <v>0</v>
      </c>
      <c r="I19" s="20" cm="1">
        <f t="array" ref="I19">_xlfn.XLOOKUP($I$6, 'Metric Categories 1-14'!$B$7:$FM$7, _xlfn.XLOOKUP(A19, 'Metric Categories 1-14'!$A$8:$A$57, 'Metric Categories 1-14'!$B$8:$FM$57))</f>
        <v>2.2000000000000002</v>
      </c>
      <c r="J19" s="20" cm="1">
        <f t="array" ref="J19">_xlfn.XLOOKUP($J$6, 'Metric Categories 1-14'!$B$7:$FM$7, _xlfn.XLOOKUP(A19, 'Metric Categories 1-14'!$A$8:$A$57, 'Metric Categories 1-14'!$B$8:$FM$57))</f>
        <v>2.5</v>
      </c>
      <c r="K19" s="20" cm="1">
        <f t="array" ref="K19">_xlfn.XLOOKUP($K$6, 'Metric Categories 1-14'!$B$7:$FM$7, _xlfn.XLOOKUP(A19, 'Metric Categories 1-14'!$A$8:$A$57, 'Metric Categories 1-14'!$B$8:$FM$57))</f>
        <v>1.9999999999999998</v>
      </c>
      <c r="L19" s="20" cm="1">
        <f t="array" ref="L19">_xlfn.XLOOKUP($L$6, '15. Workforce Calcs'!$B$8:$BG$8, _xlfn.XLOOKUP(A19, '15. Workforce Calcs'!$A$10:$A$59, '15. Workforce Calcs'!$B$10:$BG$59))</f>
        <v>3</v>
      </c>
      <c r="M19" s="20" cm="1">
        <f t="array" ref="M19">_xlfn.XLOOKUP($M$6, 'Metric Categories 1-14'!$B$7:$FM$7, _xlfn.XLOOKUP(A19, 'Metric Categories 1-14'!$A$8:$A$57, 'Metric Categories 1-14'!$B$8:$FM$57))</f>
        <v>3</v>
      </c>
      <c r="N19" s="20" cm="1">
        <f t="array" ref="N19">_xlfn.XLOOKUP($N$6, '16. Existing HQs and Projects'!$B$8:$Q$8, _xlfn.XLOOKUP(A19,'16. Existing HQs and Projects'!$A$9:$A$58, '16. Existing HQs and Projects'!$B$9:$Q$58))</f>
        <v>1</v>
      </c>
      <c r="O19" s="37">
        <f t="shared" si="1"/>
        <v>0</v>
      </c>
      <c r="P19" s="37" cm="1">
        <f t="array" ref="P19">_xlfn.IFS(O19=0, 1, O19&gt;$O$59, 3, O19=$O$59, 3, O19&lt;$O$59, 2)</f>
        <v>1</v>
      </c>
      <c r="Q19" s="13"/>
    </row>
    <row r="20" spans="1:17" ht="15.95" customHeight="1">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20" cm="1">
        <f t="array" ref="E20">_xlfn.XLOOKUP($E$6, 'Metric Categories 1-14'!$B$7:$FM$7, _xlfn.XLOOKUP(A20, 'Metric Categories 1-14'!$A$8:$A$57, 'Metric Categories 1-14'!$B$8:$FM$57))</f>
        <v>2.2000000000000002</v>
      </c>
      <c r="F20" s="35">
        <f t="shared" si="0"/>
        <v>0</v>
      </c>
      <c r="G20" s="36" cm="1">
        <f t="array" ref="G20">_xlfn.IFS(F20=0, 1, F20&lt;$F$59, 2, F20&gt;$F$59, 3)</f>
        <v>1</v>
      </c>
      <c r="H20" s="20" cm="1">
        <f t="array" ref="H20">_xlfn.XLOOKUP($H$6, 'Metric Categories 1-14'!$B$7:$FM$7, _xlfn.XLOOKUP(A20, 'Metric Categories 1-14'!$A$8:$A$57, 'Metric Categories 1-14'!$B$8:$FM$57))</f>
        <v>0</v>
      </c>
      <c r="I20" s="20" cm="1">
        <f t="array" ref="I20">_xlfn.XLOOKUP($I$6, 'Metric Categories 1-14'!$B$7:$FM$7, _xlfn.XLOOKUP(A20, 'Metric Categories 1-14'!$A$8:$A$57, 'Metric Categories 1-14'!$B$8:$FM$57))</f>
        <v>2.2000000000000002</v>
      </c>
      <c r="J20" s="20" cm="1">
        <f t="array" ref="J20">_xlfn.XLOOKUP($J$6, 'Metric Categories 1-14'!$B$7:$FM$7, _xlfn.XLOOKUP(A20, 'Metric Categories 1-14'!$A$8:$A$57, 'Metric Categories 1-14'!$B$8:$FM$57))</f>
        <v>2</v>
      </c>
      <c r="K20" s="20" cm="1">
        <f t="array" ref="K20">_xlfn.XLOOKUP($K$6, 'Metric Categories 1-14'!$B$7:$FM$7, _xlfn.XLOOKUP(A20, 'Metric Categories 1-14'!$A$8:$A$57, 'Metric Categories 1-14'!$B$8:$FM$57))</f>
        <v>1.7999999999999998</v>
      </c>
      <c r="L20" s="20" cm="1">
        <f t="array" ref="L20">_xlfn.XLOOKUP($L$6, '15. Workforce Calcs'!$B$8:$BG$8, _xlfn.XLOOKUP(A20, '15. Workforce Calcs'!$A$10:$A$59, '15. Workforce Calcs'!$B$10:$BG$59))</f>
        <v>3</v>
      </c>
      <c r="M20" s="20" cm="1">
        <f t="array" ref="M20">_xlfn.XLOOKUP($M$6, 'Metric Categories 1-14'!$B$7:$FM$7, _xlfn.XLOOKUP(A20, 'Metric Categories 1-14'!$A$8:$A$57, 'Metric Categories 1-14'!$B$8:$FM$57))</f>
        <v>3</v>
      </c>
      <c r="N20" s="20" cm="1">
        <f t="array" ref="N20">_xlfn.XLOOKUP($N$6, '16. Existing HQs and Projects'!$B$8:$Q$8, _xlfn.XLOOKUP(A20,'16. Existing HQs and Projects'!$A$9:$A$58, '16. Existing HQs and Projects'!$B$9:$Q$58))</f>
        <v>1</v>
      </c>
      <c r="O20" s="37">
        <f t="shared" si="1"/>
        <v>0</v>
      </c>
      <c r="P20" s="37" cm="1">
        <f t="array" ref="P20">_xlfn.IFS(O20=0, 1, O20&gt;$O$59, 3, O20=$O$59, 3, O20&lt;$O$59, 2)</f>
        <v>1</v>
      </c>
      <c r="Q20" s="13"/>
    </row>
    <row r="21" spans="1:17" ht="15.95" customHeight="1">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20" cm="1">
        <f t="array" ref="E21">_xlfn.XLOOKUP($E$6, 'Metric Categories 1-14'!$B$7:$FM$7, _xlfn.XLOOKUP(A21, 'Metric Categories 1-14'!$A$8:$A$57, 'Metric Categories 1-14'!$B$8:$FM$57))</f>
        <v>1.6</v>
      </c>
      <c r="F21" s="35">
        <f t="shared" si="0"/>
        <v>0</v>
      </c>
      <c r="G21" s="36" cm="1">
        <f t="array" ref="G21">_xlfn.IFS(F21=0, 1, F21&lt;$F$59, 2, F21&gt;$F$59, 3)</f>
        <v>1</v>
      </c>
      <c r="H21" s="20" cm="1">
        <f t="array" ref="H21">_xlfn.XLOOKUP($H$6, 'Metric Categories 1-14'!$B$7:$FM$7, _xlfn.XLOOKUP(A21, 'Metric Categories 1-14'!$A$8:$A$57, 'Metric Categories 1-14'!$B$8:$FM$57))</f>
        <v>0</v>
      </c>
      <c r="I21" s="20" cm="1">
        <f t="array" ref="I21">_xlfn.XLOOKUP($I$6, 'Metric Categories 1-14'!$B$7:$FM$7, _xlfn.XLOOKUP(A21, 'Metric Categories 1-14'!$A$8:$A$57, 'Metric Categories 1-14'!$B$8:$FM$57))</f>
        <v>1.4</v>
      </c>
      <c r="J21" s="20" cm="1">
        <f t="array" ref="J21">_xlfn.XLOOKUP($J$6, 'Metric Categories 1-14'!$B$7:$FM$7, _xlfn.XLOOKUP(A21, 'Metric Categories 1-14'!$A$8:$A$57, 'Metric Categories 1-14'!$B$8:$FM$57))</f>
        <v>1</v>
      </c>
      <c r="K21" s="20" cm="1">
        <f t="array" ref="K21">_xlfn.XLOOKUP($K$6, 'Metric Categories 1-14'!$B$7:$FM$7, _xlfn.XLOOKUP(A21, 'Metric Categories 1-14'!$A$8:$A$57, 'Metric Categories 1-14'!$B$8:$FM$57))</f>
        <v>2.5000000000000004</v>
      </c>
      <c r="L21" s="20" cm="1">
        <f t="array" ref="L21">_xlfn.XLOOKUP($L$6, '15. Workforce Calcs'!$B$8:$BG$8, _xlfn.XLOOKUP(A21, '15. Workforce Calcs'!$A$10:$A$59, '15. Workforce Calcs'!$B$10:$BG$59))</f>
        <v>2</v>
      </c>
      <c r="M21" s="20" cm="1">
        <f t="array" ref="M21">_xlfn.XLOOKUP($M$6, 'Metric Categories 1-14'!$B$7:$FM$7, _xlfn.XLOOKUP(A21, 'Metric Categories 1-14'!$A$8:$A$57, 'Metric Categories 1-14'!$B$8:$FM$57))</f>
        <v>3</v>
      </c>
      <c r="N21" s="20" cm="1">
        <f t="array" ref="N21">_xlfn.XLOOKUP($N$6, '16. Existing HQs and Projects'!$B$8:$Q$8, _xlfn.XLOOKUP(A21,'16. Existing HQs and Projects'!$A$9:$A$58, '16. Existing HQs and Projects'!$B$9:$Q$58))</f>
        <v>1</v>
      </c>
      <c r="O21" s="37">
        <f t="shared" si="1"/>
        <v>0</v>
      </c>
      <c r="P21" s="37" cm="1">
        <f t="array" ref="P21">_xlfn.IFS(O21=0, 1, O21&gt;$O$59, 3, O21=$O$59, 3, O21&lt;$O$59, 2)</f>
        <v>1</v>
      </c>
      <c r="Q21" s="13"/>
    </row>
    <row r="22" spans="1:17" ht="15.95" customHeight="1">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20" cm="1">
        <f t="array" ref="E22">_xlfn.XLOOKUP($E$6, 'Metric Categories 1-14'!$B$7:$FM$7, _xlfn.XLOOKUP(A22, 'Metric Categories 1-14'!$A$8:$A$57, 'Metric Categories 1-14'!$B$8:$FM$57))</f>
        <v>1.4000000000000001</v>
      </c>
      <c r="F22" s="35">
        <f t="shared" si="0"/>
        <v>0</v>
      </c>
      <c r="G22" s="36" cm="1">
        <f t="array" ref="G22">_xlfn.IFS(F22=0, 1, F22&lt;$F$59, 2, F22&gt;$F$59, 3)</f>
        <v>1</v>
      </c>
      <c r="H22" s="20" cm="1">
        <f t="array" ref="H22">_xlfn.XLOOKUP($H$6, 'Metric Categories 1-14'!$B$7:$FM$7, _xlfn.XLOOKUP(A22, 'Metric Categories 1-14'!$A$8:$A$57, 'Metric Categories 1-14'!$B$8:$FM$57))</f>
        <v>0</v>
      </c>
      <c r="I22" s="20" cm="1">
        <f t="array" ref="I22">_xlfn.XLOOKUP($I$6, 'Metric Categories 1-14'!$B$7:$FM$7, _xlfn.XLOOKUP(A22, 'Metric Categories 1-14'!$A$8:$A$57, 'Metric Categories 1-14'!$B$8:$FM$57))</f>
        <v>1.8000000000000003</v>
      </c>
      <c r="J22" s="20" cm="1">
        <f t="array" ref="J22">_xlfn.XLOOKUP($J$6, 'Metric Categories 1-14'!$B$7:$FM$7, _xlfn.XLOOKUP(A22, 'Metric Categories 1-14'!$A$8:$A$57, 'Metric Categories 1-14'!$B$8:$FM$57))</f>
        <v>2.25</v>
      </c>
      <c r="K22" s="20" cm="1">
        <f t="array" ref="K22">_xlfn.XLOOKUP($K$6, 'Metric Categories 1-14'!$B$7:$FM$7, _xlfn.XLOOKUP(A22, 'Metric Categories 1-14'!$A$8:$A$57, 'Metric Categories 1-14'!$B$8:$FM$57))</f>
        <v>2.8</v>
      </c>
      <c r="L22" s="20" cm="1">
        <f t="array" ref="L22">_xlfn.XLOOKUP($L$6, '15. Workforce Calcs'!$B$8:$BG$8, _xlfn.XLOOKUP(A22, '15. Workforce Calcs'!$A$10:$A$59, '15. Workforce Calcs'!$B$10:$BG$59))</f>
        <v>2</v>
      </c>
      <c r="M22" s="20" cm="1">
        <f t="array" ref="M22">_xlfn.XLOOKUP($M$6, 'Metric Categories 1-14'!$B$7:$FM$7, _xlfn.XLOOKUP(A22, 'Metric Categories 1-14'!$A$8:$A$57, 'Metric Categories 1-14'!$B$8:$FM$57))</f>
        <v>3</v>
      </c>
      <c r="N22" s="20" cm="1">
        <f t="array" ref="N22">_xlfn.XLOOKUP($N$6, '16. Existing HQs and Projects'!$B$8:$Q$8, _xlfn.XLOOKUP(A22,'16. Existing HQs and Projects'!$A$9:$A$58, '16. Existing HQs and Projects'!$B$9:$Q$58))</f>
        <v>1</v>
      </c>
      <c r="O22" s="37">
        <f t="shared" si="1"/>
        <v>0</v>
      </c>
      <c r="P22" s="37" cm="1">
        <f t="array" ref="P22">_xlfn.IFS(O22=0, 1, O22&gt;$O$59, 3, O22=$O$59, 3, O22&lt;$O$59, 2)</f>
        <v>1</v>
      </c>
      <c r="Q22" s="13"/>
    </row>
    <row r="23" spans="1:17" ht="15.95" customHeight="1">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20" cm="1">
        <f t="array" ref="E23">_xlfn.XLOOKUP($E$6, 'Metric Categories 1-14'!$B$7:$FM$7, _xlfn.XLOOKUP(A23, 'Metric Categories 1-14'!$A$8:$A$57, 'Metric Categories 1-14'!$B$8:$FM$57))</f>
        <v>1.8</v>
      </c>
      <c r="F23" s="35">
        <f t="shared" si="0"/>
        <v>0</v>
      </c>
      <c r="G23" s="36" cm="1">
        <f t="array" ref="G23">_xlfn.IFS(F23=0, 1, F23&lt;$F$59, 2, F23&gt;$F$59, 3)</f>
        <v>1</v>
      </c>
      <c r="H23" s="20" cm="1">
        <f t="array" ref="H23">_xlfn.XLOOKUP($H$6, 'Metric Categories 1-14'!$B$7:$FM$7, _xlfn.XLOOKUP(A23, 'Metric Categories 1-14'!$A$8:$A$57, 'Metric Categories 1-14'!$B$8:$FM$57))</f>
        <v>0</v>
      </c>
      <c r="I23" s="20" cm="1">
        <f t="array" ref="I23">_xlfn.XLOOKUP($I$6, 'Metric Categories 1-14'!$B$7:$FM$7, _xlfn.XLOOKUP(A23, 'Metric Categories 1-14'!$A$8:$A$57, 'Metric Categories 1-14'!$B$8:$FM$57))</f>
        <v>1.2000000000000002</v>
      </c>
      <c r="J23" s="20" cm="1">
        <f t="array" ref="J23">_xlfn.XLOOKUP($J$6, 'Metric Categories 1-14'!$B$7:$FM$7, _xlfn.XLOOKUP(A23, 'Metric Categories 1-14'!$A$8:$A$57, 'Metric Categories 1-14'!$B$8:$FM$57))</f>
        <v>1.75</v>
      </c>
      <c r="K23" s="20" cm="1">
        <f t="array" ref="K23">_xlfn.XLOOKUP($K$6, 'Metric Categories 1-14'!$B$7:$FM$7, _xlfn.XLOOKUP(A23, 'Metric Categories 1-14'!$A$8:$A$57, 'Metric Categories 1-14'!$B$8:$FM$57))</f>
        <v>1.2</v>
      </c>
      <c r="L23" s="20" cm="1">
        <f t="array" ref="L23">_xlfn.XLOOKUP($L$6, '15. Workforce Calcs'!$B$8:$BG$8, _xlfn.XLOOKUP(A23, '15. Workforce Calcs'!$A$10:$A$59, '15. Workforce Calcs'!$B$10:$BG$59))</f>
        <v>2</v>
      </c>
      <c r="M23" s="20" cm="1">
        <f t="array" ref="M23">_xlfn.XLOOKUP($M$6, 'Metric Categories 1-14'!$B$7:$FM$7, _xlfn.XLOOKUP(A23, 'Metric Categories 1-14'!$A$8:$A$57, 'Metric Categories 1-14'!$B$8:$FM$57))</f>
        <v>2</v>
      </c>
      <c r="N23" s="20" cm="1">
        <f t="array" ref="N23">_xlfn.XLOOKUP($N$6, '16. Existing HQs and Projects'!$B$8:$Q$8, _xlfn.XLOOKUP(A23,'16. Existing HQs and Projects'!$A$9:$A$58, '16. Existing HQs and Projects'!$B$9:$Q$58))</f>
        <v>1</v>
      </c>
      <c r="O23" s="37">
        <f t="shared" si="1"/>
        <v>0</v>
      </c>
      <c r="P23" s="37" cm="1">
        <f t="array" ref="P23">_xlfn.IFS(O23=0, 1, O23&gt;$O$59, 3, O23=$O$59, 3, O23&lt;$O$59, 2)</f>
        <v>1</v>
      </c>
      <c r="Q23" s="13"/>
    </row>
    <row r="24" spans="1:17" ht="15.95" customHeight="1">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20" cm="1">
        <f t="array" ref="E24">_xlfn.XLOOKUP($E$6, 'Metric Categories 1-14'!$B$7:$FM$7, _xlfn.XLOOKUP(A24, 'Metric Categories 1-14'!$A$8:$A$57, 'Metric Categories 1-14'!$B$8:$FM$57))</f>
        <v>2.4000000000000004</v>
      </c>
      <c r="F24" s="35">
        <f t="shared" si="0"/>
        <v>1.6600000000000001</v>
      </c>
      <c r="G24" s="36" cm="1">
        <f t="array" ref="G24">_xlfn.IFS(F24=0, 1, F24&lt;$F$59, 2, F24&gt;$F$59, 3)</f>
        <v>3</v>
      </c>
      <c r="H24" s="20" cm="1">
        <f t="array" ref="H24">_xlfn.XLOOKUP($H$6, 'Metric Categories 1-14'!$B$7:$FM$7, _xlfn.XLOOKUP(A24, 'Metric Categories 1-14'!$A$8:$A$57, 'Metric Categories 1-14'!$B$8:$FM$57))</f>
        <v>3</v>
      </c>
      <c r="I24" s="20" cm="1">
        <f t="array" ref="I24">_xlfn.XLOOKUP($I$6, 'Metric Categories 1-14'!$B$7:$FM$7, _xlfn.XLOOKUP(A24, 'Metric Categories 1-14'!$A$8:$A$57, 'Metric Categories 1-14'!$B$8:$FM$57))</f>
        <v>3.0000000000000004</v>
      </c>
      <c r="J24" s="20" cm="1">
        <f t="array" ref="J24">_xlfn.XLOOKUP($J$6, 'Metric Categories 1-14'!$B$7:$FM$7, _xlfn.XLOOKUP(A24, 'Metric Categories 1-14'!$A$8:$A$57, 'Metric Categories 1-14'!$B$8:$FM$57))</f>
        <v>2</v>
      </c>
      <c r="K24" s="20" cm="1">
        <f t="array" ref="K24">_xlfn.XLOOKUP($K$6, 'Metric Categories 1-14'!$B$7:$FM$7, _xlfn.XLOOKUP(A24, 'Metric Categories 1-14'!$A$8:$A$57, 'Metric Categories 1-14'!$B$8:$FM$57))</f>
        <v>1.2999999999999998</v>
      </c>
      <c r="L24" s="20" cm="1">
        <f t="array" ref="L24">_xlfn.XLOOKUP($L$6, '15. Workforce Calcs'!$B$8:$BG$8, _xlfn.XLOOKUP(A24, '15. Workforce Calcs'!$A$10:$A$59, '15. Workforce Calcs'!$B$10:$BG$59))</f>
        <v>3</v>
      </c>
      <c r="M24" s="20" cm="1">
        <f t="array" ref="M24">_xlfn.XLOOKUP($M$6, 'Metric Categories 1-14'!$B$7:$FM$7, _xlfn.XLOOKUP(A24, 'Metric Categories 1-14'!$A$8:$A$57, 'Metric Categories 1-14'!$B$8:$FM$57))</f>
        <v>1</v>
      </c>
      <c r="N24" s="20" cm="1">
        <f t="array" ref="N24">_xlfn.XLOOKUP($N$6, '16. Existing HQs and Projects'!$B$8:$Q$8, _xlfn.XLOOKUP(A24,'16. Existing HQs and Projects'!$A$9:$A$58, '16. Existing HQs and Projects'!$B$9:$Q$58))</f>
        <v>1</v>
      </c>
      <c r="O24" s="37">
        <f t="shared" si="1"/>
        <v>2.16</v>
      </c>
      <c r="P24" s="37" cm="1">
        <f t="array" ref="P24">_xlfn.IFS(O24=0, 1, O24&gt;$O$59, 3, O24=$O$59, 3, O24&lt;$O$59, 2)</f>
        <v>3</v>
      </c>
      <c r="Q24" s="13"/>
    </row>
    <row r="25" spans="1:17" ht="15.95" customHeight="1">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20" cm="1">
        <f t="array" ref="E25">_xlfn.XLOOKUP($E$6, 'Metric Categories 1-14'!$B$7:$FM$7, _xlfn.XLOOKUP(A25, 'Metric Categories 1-14'!$A$8:$A$57, 'Metric Categories 1-14'!$B$8:$FM$57))</f>
        <v>1.2000000000000002</v>
      </c>
      <c r="F25" s="35">
        <f t="shared" si="0"/>
        <v>1.4550000000000001</v>
      </c>
      <c r="G25" s="36" cm="1">
        <f t="array" ref="G25">_xlfn.IFS(F25=0, 1, F25&lt;$F$59, 2, F25&gt;$F$59, 3)</f>
        <v>3</v>
      </c>
      <c r="H25" s="20" cm="1">
        <f t="array" ref="H25">_xlfn.XLOOKUP($H$6, 'Metric Categories 1-14'!$B$7:$FM$7, _xlfn.XLOOKUP(A25, 'Metric Categories 1-14'!$A$8:$A$57, 'Metric Categories 1-14'!$B$8:$FM$57))</f>
        <v>2.5</v>
      </c>
      <c r="I25" s="20" cm="1">
        <f t="array" ref="I25">_xlfn.XLOOKUP($I$6, 'Metric Categories 1-14'!$B$7:$FM$7, _xlfn.XLOOKUP(A25, 'Metric Categories 1-14'!$A$8:$A$57, 'Metric Categories 1-14'!$B$8:$FM$57))</f>
        <v>1</v>
      </c>
      <c r="J25" s="20" cm="1">
        <f t="array" ref="J25">_xlfn.XLOOKUP($J$6, 'Metric Categories 1-14'!$B$7:$FM$7, _xlfn.XLOOKUP(A25, 'Metric Categories 1-14'!$A$8:$A$57, 'Metric Categories 1-14'!$B$8:$FM$57))</f>
        <v>2</v>
      </c>
      <c r="K25" s="20" cm="1">
        <f t="array" ref="K25">_xlfn.XLOOKUP($K$6, 'Metric Categories 1-14'!$B$7:$FM$7, _xlfn.XLOOKUP(A25, 'Metric Categories 1-14'!$A$8:$A$57, 'Metric Categories 1-14'!$B$8:$FM$57))</f>
        <v>2.5</v>
      </c>
      <c r="L25" s="20" cm="1">
        <f t="array" ref="L25">_xlfn.XLOOKUP($L$6, '15. Workforce Calcs'!$B$8:$BG$8, _xlfn.XLOOKUP(A25, '15. Workforce Calcs'!$A$10:$A$59, '15. Workforce Calcs'!$B$10:$BG$59))</f>
        <v>1</v>
      </c>
      <c r="M25" s="20" cm="1">
        <f t="array" ref="M25">_xlfn.XLOOKUP($M$6, 'Metric Categories 1-14'!$B$7:$FM$7, _xlfn.XLOOKUP(A25, 'Metric Categories 1-14'!$A$8:$A$57, 'Metric Categories 1-14'!$B$8:$FM$57))</f>
        <v>1</v>
      </c>
      <c r="N25" s="20" cm="1">
        <f t="array" ref="N25">_xlfn.XLOOKUP($N$6, '16. Existing HQs and Projects'!$B$8:$Q$8, _xlfn.XLOOKUP(A25,'16. Existing HQs and Projects'!$A$9:$A$58, '16. Existing HQs and Projects'!$B$9:$Q$58))</f>
        <v>1</v>
      </c>
      <c r="O25" s="37">
        <f t="shared" si="1"/>
        <v>1.8000000000000003</v>
      </c>
      <c r="P25" s="37" cm="1">
        <f t="array" ref="P25">_xlfn.IFS(O25=0, 1, O25&gt;$O$59, 3, O25=$O$59, 3, O25&lt;$O$59, 2)</f>
        <v>3</v>
      </c>
      <c r="Q25" s="13"/>
    </row>
    <row r="26" spans="1:17" ht="15.95" customHeight="1">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20" cm="1">
        <f t="array" ref="E26">_xlfn.XLOOKUP($E$6, 'Metric Categories 1-14'!$B$7:$FM$7, _xlfn.XLOOKUP(A26, 'Metric Categories 1-14'!$A$8:$A$57, 'Metric Categories 1-14'!$B$8:$FM$57))</f>
        <v>1.6</v>
      </c>
      <c r="F26" s="35">
        <f t="shared" si="0"/>
        <v>1.7749999999999999</v>
      </c>
      <c r="G26" s="36" cm="1">
        <f t="array" ref="G26">_xlfn.IFS(F26=0, 1, F26&lt;$F$59, 2, F26&gt;$F$59, 3)</f>
        <v>3</v>
      </c>
      <c r="H26" s="20" cm="1">
        <f t="array" ref="H26">_xlfn.XLOOKUP($H$6, 'Metric Categories 1-14'!$B$7:$FM$7, _xlfn.XLOOKUP(A26, 'Metric Categories 1-14'!$A$8:$A$57, 'Metric Categories 1-14'!$B$8:$FM$57))</f>
        <v>2.75</v>
      </c>
      <c r="I26" s="20" cm="1">
        <f t="array" ref="I26">_xlfn.XLOOKUP($I$6, 'Metric Categories 1-14'!$B$7:$FM$7, _xlfn.XLOOKUP(A26, 'Metric Categories 1-14'!$A$8:$A$57, 'Metric Categories 1-14'!$B$8:$FM$57))</f>
        <v>1</v>
      </c>
      <c r="J26" s="20" cm="1">
        <f t="array" ref="J26">_xlfn.XLOOKUP($J$6, 'Metric Categories 1-14'!$B$7:$FM$7, _xlfn.XLOOKUP(A26, 'Metric Categories 1-14'!$A$8:$A$57, 'Metric Categories 1-14'!$B$8:$FM$57))</f>
        <v>2.25</v>
      </c>
      <c r="K26" s="20" cm="1">
        <f t="array" ref="K26">_xlfn.XLOOKUP($K$6, 'Metric Categories 1-14'!$B$7:$FM$7, _xlfn.XLOOKUP(A26, 'Metric Categories 1-14'!$A$8:$A$57, 'Metric Categories 1-14'!$B$8:$FM$57))</f>
        <v>1.2</v>
      </c>
      <c r="L26" s="20" cm="1">
        <f t="array" ref="L26">_xlfn.XLOOKUP($L$6, '15. Workforce Calcs'!$B$8:$BG$8, _xlfn.XLOOKUP(A26, '15. Workforce Calcs'!$A$10:$A$59, '15. Workforce Calcs'!$B$10:$BG$59))</f>
        <v>2</v>
      </c>
      <c r="M26" s="20" cm="1">
        <f t="array" ref="M26">_xlfn.XLOOKUP($M$6, 'Metric Categories 1-14'!$B$7:$FM$7, _xlfn.XLOOKUP(A26, 'Metric Categories 1-14'!$A$8:$A$57, 'Metric Categories 1-14'!$B$8:$FM$57))</f>
        <v>1</v>
      </c>
      <c r="N26" s="20" cm="1">
        <f t="array" ref="N26">_xlfn.XLOOKUP($N$6, '16. Existing HQs and Projects'!$B$8:$Q$8, _xlfn.XLOOKUP(A26,'16. Existing HQs and Projects'!$A$9:$A$58, '16. Existing HQs and Projects'!$B$9:$Q$58))</f>
        <v>1</v>
      </c>
      <c r="O26" s="37">
        <f t="shared" si="1"/>
        <v>1.7400000000000002</v>
      </c>
      <c r="P26" s="37" cm="1">
        <f t="array" ref="P26">_xlfn.IFS(O26=0, 1, O26&gt;$O$59, 3, O26=$O$59, 3, O26&lt;$O$59, 2)</f>
        <v>2</v>
      </c>
      <c r="Q26" s="13"/>
    </row>
    <row r="27" spans="1:17" ht="15.95" customHeight="1">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20" cm="1">
        <f t="array" ref="E27">_xlfn.XLOOKUP($E$6, 'Metric Categories 1-14'!$B$7:$FM$7, _xlfn.XLOOKUP(A27, 'Metric Categories 1-14'!$A$8:$A$57, 'Metric Categories 1-14'!$B$8:$FM$57))</f>
        <v>1.2000000000000002</v>
      </c>
      <c r="F27" s="35">
        <f t="shared" si="0"/>
        <v>1.9949999999999999</v>
      </c>
      <c r="G27" s="36" cm="1">
        <f t="array" ref="G27">_xlfn.IFS(F27=0, 1, F27&lt;$F$59, 2, F27&gt;$F$59, 3)</f>
        <v>3</v>
      </c>
      <c r="H27" s="20" cm="1">
        <f t="array" ref="H27">_xlfn.XLOOKUP($H$6, 'Metric Categories 1-14'!$B$7:$FM$7, _xlfn.XLOOKUP(A27, 'Metric Categories 1-14'!$A$8:$A$57, 'Metric Categories 1-14'!$B$8:$FM$57))</f>
        <v>2.5</v>
      </c>
      <c r="I27" s="20" cm="1">
        <f t="array" ref="I27">_xlfn.XLOOKUP($I$6, 'Metric Categories 1-14'!$B$7:$FM$7, _xlfn.XLOOKUP(A27, 'Metric Categories 1-14'!$A$8:$A$57, 'Metric Categories 1-14'!$B$8:$FM$57))</f>
        <v>1</v>
      </c>
      <c r="J27" s="20" cm="1">
        <f t="array" ref="J27">_xlfn.XLOOKUP($J$6, 'Metric Categories 1-14'!$B$7:$FM$7, _xlfn.XLOOKUP(A27, 'Metric Categories 1-14'!$A$8:$A$57, 'Metric Categories 1-14'!$B$8:$FM$57))</f>
        <v>1.5</v>
      </c>
      <c r="K27" s="20" cm="1">
        <f t="array" ref="K27">_xlfn.XLOOKUP($K$6, 'Metric Categories 1-14'!$B$7:$FM$7, _xlfn.XLOOKUP(A27, 'Metric Categories 1-14'!$A$8:$A$57, 'Metric Categories 1-14'!$B$8:$FM$57))</f>
        <v>1.4000000000000001</v>
      </c>
      <c r="L27" s="20" cm="1">
        <f t="array" ref="L27">_xlfn.XLOOKUP($L$6, '15. Workforce Calcs'!$B$8:$BG$8, _xlfn.XLOOKUP(A27, '15. Workforce Calcs'!$A$10:$A$59, '15. Workforce Calcs'!$B$10:$BG$59))</f>
        <v>2</v>
      </c>
      <c r="M27" s="20" cm="1">
        <f t="array" ref="M27">_xlfn.XLOOKUP($M$6, 'Metric Categories 1-14'!$B$7:$FM$7, _xlfn.XLOOKUP(A27, 'Metric Categories 1-14'!$A$8:$A$57, 'Metric Categories 1-14'!$B$8:$FM$57))</f>
        <v>2</v>
      </c>
      <c r="N27" s="20" cm="1">
        <f t="array" ref="N27">_xlfn.XLOOKUP($N$6, '16. Existing HQs and Projects'!$B$8:$Q$8, _xlfn.XLOOKUP(A27,'16. Existing HQs and Projects'!$A$9:$A$58, '16. Existing HQs and Projects'!$B$9:$Q$58))</f>
        <v>1</v>
      </c>
      <c r="O27" s="37">
        <f t="shared" si="1"/>
        <v>1.68</v>
      </c>
      <c r="P27" s="37" cm="1">
        <f t="array" ref="P27">_xlfn.IFS(O27=0, 1, O27&gt;$O$59, 3, O27=$O$59, 3, O27&lt;$O$59, 2)</f>
        <v>2</v>
      </c>
      <c r="Q27" s="13"/>
    </row>
    <row r="28" spans="1:17" ht="15.95" customHeight="1">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20" cm="1">
        <f t="array" ref="E28">_xlfn.XLOOKUP($E$6, 'Metric Categories 1-14'!$B$7:$FM$7, _xlfn.XLOOKUP(A28, 'Metric Categories 1-14'!$A$8:$A$57, 'Metric Categories 1-14'!$B$8:$FM$57))</f>
        <v>1.8</v>
      </c>
      <c r="F28" s="35">
        <f t="shared" si="0"/>
        <v>0</v>
      </c>
      <c r="G28" s="36" cm="1">
        <f t="array" ref="G28">_xlfn.IFS(F28=0, 1, F28&lt;$F$59, 2, F28&gt;$F$59, 3)</f>
        <v>1</v>
      </c>
      <c r="H28" s="20" cm="1">
        <f t="array" ref="H28">_xlfn.XLOOKUP($H$6, 'Metric Categories 1-14'!$B$7:$FM$7, _xlfn.XLOOKUP(A28, 'Metric Categories 1-14'!$A$8:$A$57, 'Metric Categories 1-14'!$B$8:$FM$57))</f>
        <v>0</v>
      </c>
      <c r="I28" s="20" cm="1">
        <f t="array" ref="I28">_xlfn.XLOOKUP($I$6, 'Metric Categories 1-14'!$B$7:$FM$7, _xlfn.XLOOKUP(A28, 'Metric Categories 1-14'!$A$8:$A$57, 'Metric Categories 1-14'!$B$8:$FM$57))</f>
        <v>1.4</v>
      </c>
      <c r="J28" s="20" cm="1">
        <f t="array" ref="J28">_xlfn.XLOOKUP($J$6, 'Metric Categories 1-14'!$B$7:$FM$7, _xlfn.XLOOKUP(A28, 'Metric Categories 1-14'!$A$8:$A$57, 'Metric Categories 1-14'!$B$8:$FM$57))</f>
        <v>2</v>
      </c>
      <c r="K28" s="20" cm="1">
        <f t="array" ref="K28">_xlfn.XLOOKUP($K$6, 'Metric Categories 1-14'!$B$7:$FM$7, _xlfn.XLOOKUP(A28, 'Metric Categories 1-14'!$A$8:$A$57, 'Metric Categories 1-14'!$B$8:$FM$57))</f>
        <v>1.4999999999999998</v>
      </c>
      <c r="L28" s="20" cm="1">
        <f t="array" ref="L28">_xlfn.XLOOKUP($L$6, '15. Workforce Calcs'!$B$8:$BG$8, _xlfn.XLOOKUP(A28, '15. Workforce Calcs'!$A$10:$A$59, '15. Workforce Calcs'!$B$10:$BG$59))</f>
        <v>3</v>
      </c>
      <c r="M28" s="20" cm="1">
        <f t="array" ref="M28">_xlfn.XLOOKUP($M$6, 'Metric Categories 1-14'!$B$7:$FM$7, _xlfn.XLOOKUP(A28, 'Metric Categories 1-14'!$A$8:$A$57, 'Metric Categories 1-14'!$B$8:$FM$57))</f>
        <v>2</v>
      </c>
      <c r="N28" s="20" cm="1">
        <f t="array" ref="N28">_xlfn.XLOOKUP($N$6, '16. Existing HQs and Projects'!$B$8:$Q$8, _xlfn.XLOOKUP(A28,'16. Existing HQs and Projects'!$A$9:$A$58, '16. Existing HQs and Projects'!$B$9:$Q$58))</f>
        <v>1</v>
      </c>
      <c r="O28" s="37">
        <f t="shared" si="1"/>
        <v>0</v>
      </c>
      <c r="P28" s="37" cm="1">
        <f t="array" ref="P28">_xlfn.IFS(O28=0, 1, O28&gt;$O$59, 3, O28=$O$59, 3, O28&lt;$O$59, 2)</f>
        <v>1</v>
      </c>
      <c r="Q28" s="13"/>
    </row>
    <row r="29" spans="1:17" ht="15.95" customHeight="1">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20" cm="1">
        <f t="array" ref="E29">_xlfn.XLOOKUP($E$6, 'Metric Categories 1-14'!$B$7:$FM$7, _xlfn.XLOOKUP(A29, 'Metric Categories 1-14'!$A$8:$A$57, 'Metric Categories 1-14'!$B$8:$FM$57))</f>
        <v>1.6</v>
      </c>
      <c r="F29" s="35">
        <f t="shared" si="0"/>
        <v>0</v>
      </c>
      <c r="G29" s="36" cm="1">
        <f t="array" ref="G29">_xlfn.IFS(F29=0, 1, F29&lt;$F$59, 2, F29&gt;$F$59, 3)</f>
        <v>1</v>
      </c>
      <c r="H29" s="20" cm="1">
        <f t="array" ref="H29">_xlfn.XLOOKUP($H$6, 'Metric Categories 1-14'!$B$7:$FM$7, _xlfn.XLOOKUP(A29, 'Metric Categories 1-14'!$A$8:$A$57, 'Metric Categories 1-14'!$B$8:$FM$57))</f>
        <v>0</v>
      </c>
      <c r="I29" s="20" cm="1">
        <f t="array" ref="I29">_xlfn.XLOOKUP($I$6, 'Metric Categories 1-14'!$B$7:$FM$7, _xlfn.XLOOKUP(A29, 'Metric Categories 1-14'!$A$8:$A$57, 'Metric Categories 1-14'!$B$8:$FM$57))</f>
        <v>1.4</v>
      </c>
      <c r="J29" s="20" cm="1">
        <f t="array" ref="J29">_xlfn.XLOOKUP($J$6, 'Metric Categories 1-14'!$B$7:$FM$7, _xlfn.XLOOKUP(A29, 'Metric Categories 1-14'!$A$8:$A$57, 'Metric Categories 1-14'!$B$8:$FM$57))</f>
        <v>2</v>
      </c>
      <c r="K29" s="20" cm="1">
        <f t="array" ref="K29">_xlfn.XLOOKUP($K$6, 'Metric Categories 1-14'!$B$7:$FM$7, _xlfn.XLOOKUP(A29, 'Metric Categories 1-14'!$A$8:$A$57, 'Metric Categories 1-14'!$B$8:$FM$57))</f>
        <v>1.9000000000000001</v>
      </c>
      <c r="L29" s="20" cm="1">
        <f t="array" ref="L29">_xlfn.XLOOKUP($L$6, '15. Workforce Calcs'!$B$8:$BG$8, _xlfn.XLOOKUP(A29, '15. Workforce Calcs'!$A$10:$A$59, '15. Workforce Calcs'!$B$10:$BG$59))</f>
        <v>2</v>
      </c>
      <c r="M29" s="20" cm="1">
        <f t="array" ref="M29">_xlfn.XLOOKUP($M$6, 'Metric Categories 1-14'!$B$7:$FM$7, _xlfn.XLOOKUP(A29, 'Metric Categories 1-14'!$A$8:$A$57, 'Metric Categories 1-14'!$B$8:$FM$57))</f>
        <v>3</v>
      </c>
      <c r="N29" s="20" cm="1">
        <f t="array" ref="N29">_xlfn.XLOOKUP($N$6, '16. Existing HQs and Projects'!$B$8:$Q$8, _xlfn.XLOOKUP(A29,'16. Existing HQs and Projects'!$A$9:$A$58, '16. Existing HQs and Projects'!$B$9:$Q$58))</f>
        <v>1</v>
      </c>
      <c r="O29" s="37">
        <f t="shared" si="1"/>
        <v>0</v>
      </c>
      <c r="P29" s="37" cm="1">
        <f t="array" ref="P29">_xlfn.IFS(O29=0, 1, O29&gt;$O$59, 3, O29=$O$59, 3, O29&lt;$O$59, 2)</f>
        <v>1</v>
      </c>
      <c r="Q29" s="13"/>
    </row>
    <row r="30" spans="1:17" ht="15.95" customHeight="1">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20" cm="1">
        <f t="array" ref="E30">_xlfn.XLOOKUP($E$6, 'Metric Categories 1-14'!$B$7:$FM$7, _xlfn.XLOOKUP(A30, 'Metric Categories 1-14'!$A$8:$A$57, 'Metric Categories 1-14'!$B$8:$FM$57))</f>
        <v>1.4000000000000001</v>
      </c>
      <c r="F30" s="35">
        <f t="shared" si="0"/>
        <v>1.18</v>
      </c>
      <c r="G30" s="36" cm="1">
        <f t="array" ref="G30">_xlfn.IFS(F30=0, 1, F30&lt;$F$59, 2, F30&gt;$F$59, 3)</f>
        <v>2</v>
      </c>
      <c r="H30" s="20" cm="1">
        <f t="array" ref="H30">_xlfn.XLOOKUP($H$6, 'Metric Categories 1-14'!$B$7:$FM$7, _xlfn.XLOOKUP(A30, 'Metric Categories 1-14'!$A$8:$A$57, 'Metric Categories 1-14'!$B$8:$FM$57))</f>
        <v>2</v>
      </c>
      <c r="I30" s="20" cm="1">
        <f t="array" ref="I30">_xlfn.XLOOKUP($I$6, 'Metric Categories 1-14'!$B$7:$FM$7, _xlfn.XLOOKUP(A30, 'Metric Categories 1-14'!$A$8:$A$57, 'Metric Categories 1-14'!$B$8:$FM$57))</f>
        <v>2</v>
      </c>
      <c r="J30" s="20" cm="1">
        <f t="array" ref="J30">_xlfn.XLOOKUP($J$6, 'Metric Categories 1-14'!$B$7:$FM$7, _xlfn.XLOOKUP(A30, 'Metric Categories 1-14'!$A$8:$A$57, 'Metric Categories 1-14'!$B$8:$FM$57))</f>
        <v>2</v>
      </c>
      <c r="K30" s="20" cm="1">
        <f t="array" ref="K30">_xlfn.XLOOKUP($K$6, 'Metric Categories 1-14'!$B$7:$FM$7, _xlfn.XLOOKUP(A30, 'Metric Categories 1-14'!$A$8:$A$57, 'Metric Categories 1-14'!$B$8:$FM$57))</f>
        <v>1.4000000000000001</v>
      </c>
      <c r="L30" s="20" cm="1">
        <f t="array" ref="L30">_xlfn.XLOOKUP($L$6, '15. Workforce Calcs'!$B$8:$BG$8, _xlfn.XLOOKUP(A30, '15. Workforce Calcs'!$A$10:$A$59, '15. Workforce Calcs'!$B$10:$BG$59))</f>
        <v>2</v>
      </c>
      <c r="M30" s="20" cm="1">
        <f t="array" ref="M30">_xlfn.XLOOKUP($M$6, 'Metric Categories 1-14'!$B$7:$FM$7, _xlfn.XLOOKUP(A30, 'Metric Categories 1-14'!$A$8:$A$57, 'Metric Categories 1-14'!$B$8:$FM$57))</f>
        <v>2</v>
      </c>
      <c r="N30" s="20" cm="1">
        <f t="array" ref="N30">_xlfn.XLOOKUP($N$6, '16. Existing HQs and Projects'!$B$8:$Q$8, _xlfn.XLOOKUP(A30,'16. Existing HQs and Projects'!$A$9:$A$58, '16. Existing HQs and Projects'!$B$9:$Q$58))</f>
        <v>1</v>
      </c>
      <c r="O30" s="37">
        <f t="shared" si="1"/>
        <v>1.83</v>
      </c>
      <c r="P30" s="37" cm="1">
        <f t="array" ref="P30">_xlfn.IFS(O30=0, 1, O30&gt;$O$59, 3, O30=$O$59, 3, O30&lt;$O$59, 2)</f>
        <v>3</v>
      </c>
      <c r="Q30" s="13"/>
    </row>
    <row r="31" spans="1:17" ht="15.95" customHeight="1">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20" cm="1">
        <f t="array" ref="E31">_xlfn.XLOOKUP($E$6, 'Metric Categories 1-14'!$B$7:$FM$7, _xlfn.XLOOKUP(A31, 'Metric Categories 1-14'!$A$8:$A$57, 'Metric Categories 1-14'!$B$8:$FM$57))</f>
        <v>1.2000000000000002</v>
      </c>
      <c r="F31" s="35">
        <f t="shared" si="0"/>
        <v>0</v>
      </c>
      <c r="G31" s="36" cm="1">
        <f t="array" ref="G31">_xlfn.IFS(F31=0, 1, F31&lt;$F$59, 2, F31&gt;$F$59, 3)</f>
        <v>1</v>
      </c>
      <c r="H31" s="20" cm="1">
        <f t="array" ref="H31">_xlfn.XLOOKUP($H$6, 'Metric Categories 1-14'!$B$7:$FM$7, _xlfn.XLOOKUP(A31, 'Metric Categories 1-14'!$A$8:$A$57, 'Metric Categories 1-14'!$B$8:$FM$57))</f>
        <v>0</v>
      </c>
      <c r="I31" s="20" cm="1">
        <f t="array" ref="I31">_xlfn.XLOOKUP($I$6, 'Metric Categories 1-14'!$B$7:$FM$7, _xlfn.XLOOKUP(A31, 'Metric Categories 1-14'!$A$8:$A$57, 'Metric Categories 1-14'!$B$8:$FM$57))</f>
        <v>1.2000000000000002</v>
      </c>
      <c r="J31" s="20" cm="1">
        <f t="array" ref="J31">_xlfn.XLOOKUP($J$6, 'Metric Categories 1-14'!$B$7:$FM$7, _xlfn.XLOOKUP(A31, 'Metric Categories 1-14'!$A$8:$A$57, 'Metric Categories 1-14'!$B$8:$FM$57))</f>
        <v>1</v>
      </c>
      <c r="K31" s="20" cm="1">
        <f t="array" ref="K31">_xlfn.XLOOKUP($K$6, 'Metric Categories 1-14'!$B$7:$FM$7, _xlfn.XLOOKUP(A31, 'Metric Categories 1-14'!$A$8:$A$57, 'Metric Categories 1-14'!$B$8:$FM$57))</f>
        <v>1.6999999999999997</v>
      </c>
      <c r="L31" s="20" cm="1">
        <f t="array" ref="L31">_xlfn.XLOOKUP($L$6, '15. Workforce Calcs'!$B$8:$BG$8, _xlfn.XLOOKUP(A31, '15. Workforce Calcs'!$A$10:$A$59, '15. Workforce Calcs'!$B$10:$BG$59))</f>
        <v>3</v>
      </c>
      <c r="M31" s="20" cm="1">
        <f t="array" ref="M31">_xlfn.XLOOKUP($M$6, 'Metric Categories 1-14'!$B$7:$FM$7, _xlfn.XLOOKUP(A31, 'Metric Categories 1-14'!$A$8:$A$57, 'Metric Categories 1-14'!$B$8:$FM$57))</f>
        <v>3</v>
      </c>
      <c r="N31" s="20" cm="1">
        <f t="array" ref="N31">_xlfn.XLOOKUP($N$6, '16. Existing HQs and Projects'!$B$8:$Q$8, _xlfn.XLOOKUP(A31,'16. Existing HQs and Projects'!$A$9:$A$58, '16. Existing HQs and Projects'!$B$9:$Q$58))</f>
        <v>1</v>
      </c>
      <c r="O31" s="37">
        <f t="shared" si="1"/>
        <v>0</v>
      </c>
      <c r="P31" s="37" cm="1">
        <f t="array" ref="P31">_xlfn.IFS(O31=0, 1, O31&gt;$O$59, 3, O31=$O$59, 3, O31&lt;$O$59, 2)</f>
        <v>1</v>
      </c>
      <c r="Q31" s="13"/>
    </row>
    <row r="32" spans="1:17" ht="15.95" customHeight="1">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20" cm="1">
        <f t="array" ref="E32">_xlfn.XLOOKUP($E$6, 'Metric Categories 1-14'!$B$7:$FM$7, _xlfn.XLOOKUP(A32, 'Metric Categories 1-14'!$A$8:$A$57, 'Metric Categories 1-14'!$B$8:$FM$57))</f>
        <v>2.4000000000000004</v>
      </c>
      <c r="F32" s="35">
        <f t="shared" si="0"/>
        <v>0</v>
      </c>
      <c r="G32" s="36" cm="1">
        <f t="array" ref="G32">_xlfn.IFS(F32=0, 1, F32&lt;$F$59, 2, F32&gt;$F$59, 3)</f>
        <v>1</v>
      </c>
      <c r="H32" s="20" cm="1">
        <f t="array" ref="H32">_xlfn.XLOOKUP($H$6, 'Metric Categories 1-14'!$B$7:$FM$7, _xlfn.XLOOKUP(A32, 'Metric Categories 1-14'!$A$8:$A$57, 'Metric Categories 1-14'!$B$8:$FM$57))</f>
        <v>0</v>
      </c>
      <c r="I32" s="20" cm="1">
        <f t="array" ref="I32">_xlfn.XLOOKUP($I$6, 'Metric Categories 1-14'!$B$7:$FM$7, _xlfn.XLOOKUP(A32, 'Metric Categories 1-14'!$A$8:$A$57, 'Metric Categories 1-14'!$B$8:$FM$57))</f>
        <v>2</v>
      </c>
      <c r="J32" s="20" cm="1">
        <f t="array" ref="J32">_xlfn.XLOOKUP($J$6, 'Metric Categories 1-14'!$B$7:$FM$7, _xlfn.XLOOKUP(A32, 'Metric Categories 1-14'!$A$8:$A$57, 'Metric Categories 1-14'!$B$8:$FM$57))</f>
        <v>2.75</v>
      </c>
      <c r="K32" s="20" cm="1">
        <f t="array" ref="K32">_xlfn.XLOOKUP($K$6, 'Metric Categories 1-14'!$B$7:$FM$7, _xlfn.XLOOKUP(A32, 'Metric Categories 1-14'!$A$8:$A$57, 'Metric Categories 1-14'!$B$8:$FM$57))</f>
        <v>2.8</v>
      </c>
      <c r="L32" s="20" cm="1">
        <f t="array" ref="L32">_xlfn.XLOOKUP($L$6, '15. Workforce Calcs'!$B$8:$BG$8, _xlfn.XLOOKUP(A32, '15. Workforce Calcs'!$A$10:$A$59, '15. Workforce Calcs'!$B$10:$BG$59))</f>
        <v>1</v>
      </c>
      <c r="M32" s="20" cm="1">
        <f t="array" ref="M32">_xlfn.XLOOKUP($M$6, 'Metric Categories 1-14'!$B$7:$FM$7, _xlfn.XLOOKUP(A32, 'Metric Categories 1-14'!$A$8:$A$57, 'Metric Categories 1-14'!$B$8:$FM$57))</f>
        <v>2</v>
      </c>
      <c r="N32" s="20" cm="1">
        <f t="array" ref="N32">_xlfn.XLOOKUP($N$6, '16. Existing HQs and Projects'!$B$8:$Q$8, _xlfn.XLOOKUP(A32,'16. Existing HQs and Projects'!$A$9:$A$58, '16. Existing HQs and Projects'!$B$9:$Q$58))</f>
        <v>1</v>
      </c>
      <c r="O32" s="37">
        <f t="shared" si="1"/>
        <v>0</v>
      </c>
      <c r="P32" s="37" cm="1">
        <f t="array" ref="P32">_xlfn.IFS(O32=0, 1, O32&gt;$O$59, 3, O32=$O$59, 3, O32&lt;$O$59, 2)</f>
        <v>1</v>
      </c>
      <c r="Q32" s="13"/>
    </row>
    <row r="33" spans="1:17" ht="15.95" customHeight="1">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20" cm="1">
        <f t="array" ref="E33">_xlfn.XLOOKUP($E$6, 'Metric Categories 1-14'!$B$7:$FM$7, _xlfn.XLOOKUP(A33, 'Metric Categories 1-14'!$A$8:$A$57, 'Metric Categories 1-14'!$B$8:$FM$57))</f>
        <v>1.2000000000000002</v>
      </c>
      <c r="F33" s="35">
        <f t="shared" si="0"/>
        <v>0</v>
      </c>
      <c r="G33" s="36" cm="1">
        <f t="array" ref="G33">_xlfn.IFS(F33=0, 1, F33&lt;$F$59, 2, F33&gt;$F$59, 3)</f>
        <v>1</v>
      </c>
      <c r="H33" s="20" cm="1">
        <f t="array" ref="H33">_xlfn.XLOOKUP($H$6, 'Metric Categories 1-14'!$B$7:$FM$7, _xlfn.XLOOKUP(A33, 'Metric Categories 1-14'!$A$8:$A$57, 'Metric Categories 1-14'!$B$8:$FM$57))</f>
        <v>0</v>
      </c>
      <c r="I33" s="20" cm="1">
        <f t="array" ref="I33">_xlfn.XLOOKUP($I$6, 'Metric Categories 1-14'!$B$7:$FM$7, _xlfn.XLOOKUP(A33, 'Metric Categories 1-14'!$A$8:$A$57, 'Metric Categories 1-14'!$B$8:$FM$57))</f>
        <v>1.4</v>
      </c>
      <c r="J33" s="20" cm="1">
        <f t="array" ref="J33">_xlfn.XLOOKUP($J$6, 'Metric Categories 1-14'!$B$7:$FM$7, _xlfn.XLOOKUP(A33, 'Metric Categories 1-14'!$A$8:$A$57, 'Metric Categories 1-14'!$B$8:$FM$57))</f>
        <v>1.5</v>
      </c>
      <c r="K33" s="20" cm="1">
        <f t="array" ref="K33">_xlfn.XLOOKUP($K$6, 'Metric Categories 1-14'!$B$7:$FM$7, _xlfn.XLOOKUP(A33, 'Metric Categories 1-14'!$A$8:$A$57, 'Metric Categories 1-14'!$B$8:$FM$57))</f>
        <v>2.3000000000000003</v>
      </c>
      <c r="L33" s="20" cm="1">
        <f t="array" ref="L33">_xlfn.XLOOKUP($L$6, '15. Workforce Calcs'!$B$8:$BG$8, _xlfn.XLOOKUP(A33, '15. Workforce Calcs'!$A$10:$A$59, '15. Workforce Calcs'!$B$10:$BG$59))</f>
        <v>1</v>
      </c>
      <c r="M33" s="20" cm="1">
        <f t="array" ref="M33">_xlfn.XLOOKUP($M$6, 'Metric Categories 1-14'!$B$7:$FM$7, _xlfn.XLOOKUP(A33, 'Metric Categories 1-14'!$A$8:$A$57, 'Metric Categories 1-14'!$B$8:$FM$57))</f>
        <v>2</v>
      </c>
      <c r="N33" s="20" cm="1">
        <f t="array" ref="N33">_xlfn.XLOOKUP($N$6, '16. Existing HQs and Projects'!$B$8:$Q$8, _xlfn.XLOOKUP(A33,'16. Existing HQs and Projects'!$A$9:$A$58, '16. Existing HQs and Projects'!$B$9:$Q$58))</f>
        <v>1</v>
      </c>
      <c r="O33" s="37">
        <f t="shared" si="1"/>
        <v>0</v>
      </c>
      <c r="P33" s="37" cm="1">
        <f t="array" ref="P33">_xlfn.IFS(O33=0, 1, O33&gt;$O$59, 3, O33=$O$59, 3, O33&lt;$O$59, 2)</f>
        <v>1</v>
      </c>
      <c r="Q33" s="13"/>
    </row>
    <row r="34" spans="1:17" ht="15.95" customHeight="1">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20" cm="1">
        <f t="array" ref="E34">_xlfn.XLOOKUP($E$6, 'Metric Categories 1-14'!$B$7:$FM$7, _xlfn.XLOOKUP(A34, 'Metric Categories 1-14'!$A$8:$A$57, 'Metric Categories 1-14'!$B$8:$FM$57))</f>
        <v>1.4000000000000001</v>
      </c>
      <c r="F34" s="35">
        <f t="shared" si="0"/>
        <v>0</v>
      </c>
      <c r="G34" s="36" cm="1">
        <f t="array" ref="G34">_xlfn.IFS(F34=0, 1, F34&lt;$F$59, 2, F34&gt;$F$59, 3)</f>
        <v>1</v>
      </c>
      <c r="H34" s="20" cm="1">
        <f t="array" ref="H34">_xlfn.XLOOKUP($H$6, 'Metric Categories 1-14'!$B$7:$FM$7, _xlfn.XLOOKUP(A34, 'Metric Categories 1-14'!$A$8:$A$57, 'Metric Categories 1-14'!$B$8:$FM$57))</f>
        <v>0</v>
      </c>
      <c r="I34" s="20" cm="1">
        <f t="array" ref="I34">_xlfn.XLOOKUP($I$6, 'Metric Categories 1-14'!$B$7:$FM$7, _xlfn.XLOOKUP(A34, 'Metric Categories 1-14'!$A$8:$A$57, 'Metric Categories 1-14'!$B$8:$FM$57))</f>
        <v>1</v>
      </c>
      <c r="J34" s="20" cm="1">
        <f t="array" ref="J34">_xlfn.XLOOKUP($J$6, 'Metric Categories 1-14'!$B$7:$FM$7, _xlfn.XLOOKUP(A34, 'Metric Categories 1-14'!$A$8:$A$57, 'Metric Categories 1-14'!$B$8:$FM$57))</f>
        <v>2</v>
      </c>
      <c r="K34" s="20" cm="1">
        <f t="array" ref="K34">_xlfn.XLOOKUP($K$6, 'Metric Categories 1-14'!$B$7:$FM$7, _xlfn.XLOOKUP(A34, 'Metric Categories 1-14'!$A$8:$A$57, 'Metric Categories 1-14'!$B$8:$FM$57))</f>
        <v>2.8</v>
      </c>
      <c r="L34" s="20" cm="1">
        <f t="array" ref="L34">_xlfn.XLOOKUP($L$6, '15. Workforce Calcs'!$B$8:$BG$8, _xlfn.XLOOKUP(A34, '15. Workforce Calcs'!$A$10:$A$59, '15. Workforce Calcs'!$B$10:$BG$59))</f>
        <v>1</v>
      </c>
      <c r="M34" s="20" cm="1">
        <f t="array" ref="M34">_xlfn.XLOOKUP($M$6, 'Metric Categories 1-14'!$B$7:$FM$7, _xlfn.XLOOKUP(A34, 'Metric Categories 1-14'!$A$8:$A$57, 'Metric Categories 1-14'!$B$8:$FM$57))</f>
        <v>2</v>
      </c>
      <c r="N34" s="20" cm="1">
        <f t="array" ref="N34">_xlfn.XLOOKUP($N$6, '16. Existing HQs and Projects'!$B$8:$Q$8, _xlfn.XLOOKUP(A34,'16. Existing HQs and Projects'!$A$9:$A$58, '16. Existing HQs and Projects'!$B$9:$Q$58))</f>
        <v>1</v>
      </c>
      <c r="O34" s="37">
        <f t="shared" si="1"/>
        <v>0</v>
      </c>
      <c r="P34" s="37" cm="1">
        <f t="array" ref="P34">_xlfn.IFS(O34=0, 1, O34&gt;$O$59, 3, O34=$O$59, 3, O34&lt;$O$59, 2)</f>
        <v>1</v>
      </c>
      <c r="Q34" s="13"/>
    </row>
    <row r="35" spans="1:17" ht="15.95" customHeight="1">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20" cm="1">
        <f t="array" ref="E35">_xlfn.XLOOKUP($E$6, 'Metric Categories 1-14'!$B$7:$FM$7, _xlfn.XLOOKUP(A35, 'Metric Categories 1-14'!$A$8:$A$57, 'Metric Categories 1-14'!$B$8:$FM$57))</f>
        <v>1.4000000000000001</v>
      </c>
      <c r="F35" s="35">
        <f t="shared" si="0"/>
        <v>1.385</v>
      </c>
      <c r="G35" s="36" cm="1">
        <f t="array" ref="G35">_xlfn.IFS(F35=0, 1, F35&lt;$F$59, 2, F35&gt;$F$59, 3)</f>
        <v>2</v>
      </c>
      <c r="H35" s="20" cm="1">
        <f t="array" ref="H35">_xlfn.XLOOKUP($H$6, 'Metric Categories 1-14'!$B$7:$FM$7, _xlfn.XLOOKUP(A35, 'Metric Categories 1-14'!$A$8:$A$57, 'Metric Categories 1-14'!$B$8:$FM$57))</f>
        <v>1.75</v>
      </c>
      <c r="I35" s="20" cm="1">
        <f t="array" ref="I35">_xlfn.XLOOKUP($I$6, 'Metric Categories 1-14'!$B$7:$FM$7, _xlfn.XLOOKUP(A35, 'Metric Categories 1-14'!$A$8:$A$57, 'Metric Categories 1-14'!$B$8:$FM$57))</f>
        <v>1</v>
      </c>
      <c r="J35" s="20" cm="1">
        <f t="array" ref="J35">_xlfn.XLOOKUP($J$6, 'Metric Categories 1-14'!$B$7:$FM$7, _xlfn.XLOOKUP(A35, 'Metric Categories 1-14'!$A$8:$A$57, 'Metric Categories 1-14'!$B$8:$FM$57))</f>
        <v>1.25</v>
      </c>
      <c r="K35" s="20" cm="1">
        <f t="array" ref="K35">_xlfn.XLOOKUP($K$6, 'Metric Categories 1-14'!$B$7:$FM$7, _xlfn.XLOOKUP(A35, 'Metric Categories 1-14'!$A$8:$A$57, 'Metric Categories 1-14'!$B$8:$FM$57))</f>
        <v>2.1</v>
      </c>
      <c r="L35" s="20" cm="1">
        <f t="array" ref="L35">_xlfn.XLOOKUP($L$6, '15. Workforce Calcs'!$B$8:$BG$8, _xlfn.XLOOKUP(A35, '15. Workforce Calcs'!$A$10:$A$59, '15. Workforce Calcs'!$B$10:$BG$59))</f>
        <v>1</v>
      </c>
      <c r="M35" s="20" cm="1">
        <f t="array" ref="M35">_xlfn.XLOOKUP($M$6, 'Metric Categories 1-14'!$B$7:$FM$7, _xlfn.XLOOKUP(A35, 'Metric Categories 1-14'!$A$8:$A$57, 'Metric Categories 1-14'!$B$8:$FM$57))</f>
        <v>3</v>
      </c>
      <c r="N35" s="20" cm="1">
        <f t="array" ref="N35">_xlfn.XLOOKUP($N$6, '16. Existing HQs and Projects'!$B$8:$Q$8, _xlfn.XLOOKUP(A35,'16. Existing HQs and Projects'!$A$9:$A$58, '16. Existing HQs and Projects'!$B$9:$Q$58))</f>
        <v>1</v>
      </c>
      <c r="O35" s="37">
        <f t="shared" si="1"/>
        <v>1.62</v>
      </c>
      <c r="P35" s="37" cm="1">
        <f t="array" ref="P35">_xlfn.IFS(O35=0, 1, O35&gt;$O$59, 3, O35=$O$59, 3, O35&lt;$O$59, 2)</f>
        <v>2</v>
      </c>
      <c r="Q35" s="13"/>
    </row>
    <row r="36" spans="1:17" ht="15.95" customHeight="1">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20" cm="1">
        <f t="array" ref="E36">_xlfn.XLOOKUP($E$6, 'Metric Categories 1-14'!$B$7:$FM$7, _xlfn.XLOOKUP(A36, 'Metric Categories 1-14'!$A$8:$A$57, 'Metric Categories 1-14'!$B$8:$FM$57))</f>
        <v>1.4000000000000001</v>
      </c>
      <c r="F36" s="35">
        <f t="shared" si="0"/>
        <v>2.0249999999999999</v>
      </c>
      <c r="G36" s="36" cm="1">
        <f t="array" ref="G36">_xlfn.IFS(F36=0, 1, F36&lt;$F$59, 2, F36&gt;$F$59, 3)</f>
        <v>3</v>
      </c>
      <c r="H36" s="20" cm="1">
        <f t="array" ref="H36">_xlfn.XLOOKUP($H$6, 'Metric Categories 1-14'!$B$7:$FM$7, _xlfn.XLOOKUP(A36, 'Metric Categories 1-14'!$A$8:$A$57, 'Metric Categories 1-14'!$B$8:$FM$57))</f>
        <v>3</v>
      </c>
      <c r="I36" s="20" cm="1">
        <f t="array" ref="I36">_xlfn.XLOOKUP($I$6, 'Metric Categories 1-14'!$B$7:$FM$7, _xlfn.XLOOKUP(A36, 'Metric Categories 1-14'!$A$8:$A$57, 'Metric Categories 1-14'!$B$8:$FM$57))</f>
        <v>1</v>
      </c>
      <c r="J36" s="20" cm="1">
        <f t="array" ref="J36">_xlfn.XLOOKUP($J$6, 'Metric Categories 1-14'!$B$7:$FM$7, _xlfn.XLOOKUP(A36, 'Metric Categories 1-14'!$A$8:$A$57, 'Metric Categories 1-14'!$B$8:$FM$57))</f>
        <v>1.5</v>
      </c>
      <c r="K36" s="20" cm="1">
        <f t="array" ref="K36">_xlfn.XLOOKUP($K$6, 'Metric Categories 1-14'!$B$7:$FM$7, _xlfn.XLOOKUP(A36, 'Metric Categories 1-14'!$A$8:$A$57, 'Metric Categories 1-14'!$B$8:$FM$57))</f>
        <v>1.3</v>
      </c>
      <c r="L36" s="20" cm="1">
        <f t="array" ref="L36">_xlfn.XLOOKUP($L$6, '15. Workforce Calcs'!$B$8:$BG$8, _xlfn.XLOOKUP(A36, '15. Workforce Calcs'!$A$10:$A$59, '15. Workforce Calcs'!$B$10:$BG$59))</f>
        <v>3</v>
      </c>
      <c r="M36" s="20" cm="1">
        <f t="array" ref="M36">_xlfn.XLOOKUP($M$6, 'Metric Categories 1-14'!$B$7:$FM$7, _xlfn.XLOOKUP(A36, 'Metric Categories 1-14'!$A$8:$A$57, 'Metric Categories 1-14'!$B$8:$FM$57))</f>
        <v>2</v>
      </c>
      <c r="N36" s="20" cm="1">
        <f t="array" ref="N36">_xlfn.XLOOKUP($N$6, '16. Existing HQs and Projects'!$B$8:$Q$8, _xlfn.XLOOKUP(A36,'16. Existing HQs and Projects'!$A$9:$A$58, '16. Existing HQs and Projects'!$B$9:$Q$58))</f>
        <v>1</v>
      </c>
      <c r="O36" s="37">
        <f t="shared" si="1"/>
        <v>1.8600000000000003</v>
      </c>
      <c r="P36" s="37" cm="1">
        <f t="array" ref="P36">_xlfn.IFS(O36=0, 1, O36&gt;$O$59, 3, O36=$O$59, 3, O36&lt;$O$59, 2)</f>
        <v>3</v>
      </c>
      <c r="Q36" s="13"/>
    </row>
    <row r="37" spans="1:17" ht="15.95" customHeight="1">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20" cm="1">
        <f t="array" ref="E37">_xlfn.XLOOKUP($E$6, 'Metric Categories 1-14'!$B$7:$FM$7, _xlfn.XLOOKUP(A37, 'Metric Categories 1-14'!$A$8:$A$57, 'Metric Categories 1-14'!$B$8:$FM$57))</f>
        <v>1.8000000000000003</v>
      </c>
      <c r="F37" s="35">
        <f t="shared" si="0"/>
        <v>0</v>
      </c>
      <c r="G37" s="36" cm="1">
        <f t="array" ref="G37">_xlfn.IFS(F37=0, 1, F37&lt;$F$59, 2, F37&gt;$F$59, 3)</f>
        <v>1</v>
      </c>
      <c r="H37" s="20" cm="1">
        <f t="array" ref="H37">_xlfn.XLOOKUP($H$6, 'Metric Categories 1-14'!$B$7:$FM$7, _xlfn.XLOOKUP(A37, 'Metric Categories 1-14'!$A$8:$A$57, 'Metric Categories 1-14'!$B$8:$FM$57))</f>
        <v>0</v>
      </c>
      <c r="I37" s="20" cm="1">
        <f t="array" ref="I37">_xlfn.XLOOKUP($I$6, 'Metric Categories 1-14'!$B$7:$FM$7, _xlfn.XLOOKUP(A37, 'Metric Categories 1-14'!$A$8:$A$57, 'Metric Categories 1-14'!$B$8:$FM$57))</f>
        <v>2</v>
      </c>
      <c r="J37" s="20" cm="1">
        <f t="array" ref="J37">_xlfn.XLOOKUP($J$6, 'Metric Categories 1-14'!$B$7:$FM$7, _xlfn.XLOOKUP(A37, 'Metric Categories 1-14'!$A$8:$A$57, 'Metric Categories 1-14'!$B$8:$FM$57))</f>
        <v>2.5</v>
      </c>
      <c r="K37" s="20" cm="1">
        <f t="array" ref="K37">_xlfn.XLOOKUP($K$6, 'Metric Categories 1-14'!$B$7:$FM$7, _xlfn.XLOOKUP(A37, 'Metric Categories 1-14'!$A$8:$A$57, 'Metric Categories 1-14'!$B$8:$FM$57))</f>
        <v>2.8</v>
      </c>
      <c r="L37" s="20" cm="1">
        <f t="array" ref="L37">_xlfn.XLOOKUP($L$6, '15. Workforce Calcs'!$B$8:$BG$8, _xlfn.XLOOKUP(A37, '15. Workforce Calcs'!$A$10:$A$59, '15. Workforce Calcs'!$B$10:$BG$59))</f>
        <v>1</v>
      </c>
      <c r="M37" s="20" cm="1">
        <f t="array" ref="M37">_xlfn.XLOOKUP($M$6, 'Metric Categories 1-14'!$B$7:$FM$7, _xlfn.XLOOKUP(A37, 'Metric Categories 1-14'!$A$8:$A$57, 'Metric Categories 1-14'!$B$8:$FM$57))</f>
        <v>1</v>
      </c>
      <c r="N37" s="20" cm="1">
        <f t="array" ref="N37">_xlfn.XLOOKUP($N$6, '16. Existing HQs and Projects'!$B$8:$Q$8, _xlfn.XLOOKUP(A37,'16. Existing HQs and Projects'!$A$9:$A$58, '16. Existing HQs and Projects'!$B$9:$Q$58))</f>
        <v>1</v>
      </c>
      <c r="O37" s="37">
        <f t="shared" si="1"/>
        <v>0</v>
      </c>
      <c r="P37" s="37" cm="1">
        <f t="array" ref="P37">_xlfn.IFS(O37=0, 1, O37&gt;$O$59, 3, O37=$O$59, 3, O37&lt;$O$59, 2)</f>
        <v>1</v>
      </c>
      <c r="Q37" s="13"/>
    </row>
    <row r="38" spans="1:17" ht="15.95" customHeight="1">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20" cm="1">
        <f t="array" ref="E38">_xlfn.XLOOKUP($E$6, 'Metric Categories 1-14'!$B$7:$FM$7, _xlfn.XLOOKUP(A38, 'Metric Categories 1-14'!$A$8:$A$57, 'Metric Categories 1-14'!$B$8:$FM$57))</f>
        <v>1.6</v>
      </c>
      <c r="F38" s="35">
        <f t="shared" si="0"/>
        <v>2.1149999999999998</v>
      </c>
      <c r="G38" s="36" cm="1">
        <f t="array" ref="G38">_xlfn.IFS(F38=0, 1, F38&lt;$F$59, 2, F38&gt;$F$59, 3)</f>
        <v>3</v>
      </c>
      <c r="H38" s="20" cm="1">
        <f t="array" ref="H38">_xlfn.XLOOKUP($H$6, 'Metric Categories 1-14'!$B$7:$FM$7, _xlfn.XLOOKUP(A38, 'Metric Categories 1-14'!$A$8:$A$57, 'Metric Categories 1-14'!$B$8:$FM$57))</f>
        <v>2</v>
      </c>
      <c r="I38" s="20" cm="1">
        <f t="array" ref="I38">_xlfn.XLOOKUP($I$6, 'Metric Categories 1-14'!$B$7:$FM$7, _xlfn.XLOOKUP(A38, 'Metric Categories 1-14'!$A$8:$A$57, 'Metric Categories 1-14'!$B$8:$FM$57))</f>
        <v>1</v>
      </c>
      <c r="J38" s="20" cm="1">
        <f t="array" ref="J38">_xlfn.XLOOKUP($J$6, 'Metric Categories 1-14'!$B$7:$FM$7, _xlfn.XLOOKUP(A38, 'Metric Categories 1-14'!$A$8:$A$57, 'Metric Categories 1-14'!$B$8:$FM$57))</f>
        <v>2.25</v>
      </c>
      <c r="K38" s="20" cm="1">
        <f t="array" ref="K38">_xlfn.XLOOKUP($K$6, 'Metric Categories 1-14'!$B$7:$FM$7, _xlfn.XLOOKUP(A38, 'Metric Categories 1-14'!$A$8:$A$57, 'Metric Categories 1-14'!$B$8:$FM$57))</f>
        <v>2</v>
      </c>
      <c r="L38" s="20" cm="1">
        <f t="array" ref="L38">_xlfn.XLOOKUP($L$6, '15. Workforce Calcs'!$B$8:$BG$8, _xlfn.XLOOKUP(A38, '15. Workforce Calcs'!$A$10:$A$59, '15. Workforce Calcs'!$B$10:$BG$59))</f>
        <v>3</v>
      </c>
      <c r="M38" s="20" cm="1">
        <f t="array" ref="M38">_xlfn.XLOOKUP($M$6, 'Metric Categories 1-14'!$B$7:$FM$7, _xlfn.XLOOKUP(A38, 'Metric Categories 1-14'!$A$8:$A$57, 'Metric Categories 1-14'!$B$8:$FM$57))</f>
        <v>1</v>
      </c>
      <c r="N38" s="20" cm="1">
        <f t="array" ref="N38">_xlfn.XLOOKUP($N$6, '16. Existing HQs and Projects'!$B$8:$Q$8, _xlfn.XLOOKUP(A38,'16. Existing HQs and Projects'!$A$9:$A$58, '16. Existing HQs and Projects'!$B$9:$Q$58))</f>
        <v>1</v>
      </c>
      <c r="O38" s="37">
        <f t="shared" si="1"/>
        <v>1.85</v>
      </c>
      <c r="P38" s="37" cm="1">
        <f t="array" ref="P38">_xlfn.IFS(O38=0, 1, O38&gt;$O$59, 3, O38=$O$59, 3, O38&lt;$O$59, 2)</f>
        <v>3</v>
      </c>
      <c r="Q38" s="13"/>
    </row>
    <row r="39" spans="1:17" ht="15.95" customHeight="1">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20" cm="1">
        <f t="array" ref="E39">_xlfn.XLOOKUP($E$6, 'Metric Categories 1-14'!$B$7:$FM$7, _xlfn.XLOOKUP(A39, 'Metric Categories 1-14'!$A$8:$A$57, 'Metric Categories 1-14'!$B$8:$FM$57))</f>
        <v>1.4000000000000001</v>
      </c>
      <c r="F39" s="35">
        <f t="shared" si="0"/>
        <v>1.71</v>
      </c>
      <c r="G39" s="36" cm="1">
        <f t="array" ref="G39">_xlfn.IFS(F39=0, 1, F39&lt;$F$59, 2, F39&gt;$F$59, 3)</f>
        <v>3</v>
      </c>
      <c r="H39" s="20" cm="1">
        <f t="array" ref="H39">_xlfn.XLOOKUP($H$6, 'Metric Categories 1-14'!$B$7:$FM$7, _xlfn.XLOOKUP(A39, 'Metric Categories 1-14'!$A$8:$A$57, 'Metric Categories 1-14'!$B$8:$FM$57))</f>
        <v>1.75</v>
      </c>
      <c r="I39" s="20" cm="1">
        <f t="array" ref="I39">_xlfn.XLOOKUP($I$6, 'Metric Categories 1-14'!$B$7:$FM$7, _xlfn.XLOOKUP(A39, 'Metric Categories 1-14'!$A$8:$A$57, 'Metric Categories 1-14'!$B$8:$FM$57))</f>
        <v>1</v>
      </c>
      <c r="J39" s="20" cm="1">
        <f t="array" ref="J39">_xlfn.XLOOKUP($J$6, 'Metric Categories 1-14'!$B$7:$FM$7, _xlfn.XLOOKUP(A39, 'Metric Categories 1-14'!$A$8:$A$57, 'Metric Categories 1-14'!$B$8:$FM$57))</f>
        <v>2.5</v>
      </c>
      <c r="K39" s="20" cm="1">
        <f t="array" ref="K39">_xlfn.XLOOKUP($K$6, 'Metric Categories 1-14'!$B$7:$FM$7, _xlfn.XLOOKUP(A39, 'Metric Categories 1-14'!$A$8:$A$57, 'Metric Categories 1-14'!$B$8:$FM$57))</f>
        <v>1.9</v>
      </c>
      <c r="L39" s="20" cm="1">
        <f t="array" ref="L39">_xlfn.XLOOKUP($L$6, '15. Workforce Calcs'!$B$8:$BG$8, _xlfn.XLOOKUP(A39, '15. Workforce Calcs'!$A$10:$A$59, '15. Workforce Calcs'!$B$10:$BG$59))</f>
        <v>3</v>
      </c>
      <c r="M39" s="20" cm="1">
        <f t="array" ref="M39">_xlfn.XLOOKUP($M$6, 'Metric Categories 1-14'!$B$7:$FM$7, _xlfn.XLOOKUP(A39, 'Metric Categories 1-14'!$A$8:$A$57, 'Metric Categories 1-14'!$B$8:$FM$57))</f>
        <v>3</v>
      </c>
      <c r="N39" s="20" cm="1">
        <f t="array" ref="N39">_xlfn.XLOOKUP($N$6, '16. Existing HQs and Projects'!$B$8:$Q$8, _xlfn.XLOOKUP(A39,'16. Existing HQs and Projects'!$A$9:$A$58, '16. Existing HQs and Projects'!$B$9:$Q$58))</f>
        <v>1</v>
      </c>
      <c r="O39" s="37">
        <f t="shared" si="1"/>
        <v>2.0299999999999998</v>
      </c>
      <c r="P39" s="37" cm="1">
        <f t="array" ref="P39">_xlfn.IFS(O39=0, 1, O39&gt;$O$59, 3, O39=$O$59, 3, O39&lt;$O$59, 2)</f>
        <v>3</v>
      </c>
      <c r="Q39" s="13"/>
    </row>
    <row r="40" spans="1:17" ht="15.95" customHeight="1">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20" cm="1">
        <f t="array" ref="E40">_xlfn.XLOOKUP($E$6, 'Metric Categories 1-14'!$B$7:$FM$7, _xlfn.XLOOKUP(A40, 'Metric Categories 1-14'!$A$8:$A$57, 'Metric Categories 1-14'!$B$8:$FM$57))</f>
        <v>2.2000000000000002</v>
      </c>
      <c r="F40" s="35">
        <f t="shared" si="0"/>
        <v>0</v>
      </c>
      <c r="G40" s="36" cm="1">
        <f t="array" ref="G40">_xlfn.IFS(F40=0, 1, F40&lt;$F$59, 2, F40&gt;$F$59, 3)</f>
        <v>1</v>
      </c>
      <c r="H40" s="20" cm="1">
        <f t="array" ref="H40">_xlfn.XLOOKUP($H$6, 'Metric Categories 1-14'!$B$7:$FM$7, _xlfn.XLOOKUP(A40, 'Metric Categories 1-14'!$A$8:$A$57, 'Metric Categories 1-14'!$B$8:$FM$57))</f>
        <v>0</v>
      </c>
      <c r="I40" s="20" cm="1">
        <f t="array" ref="I40">_xlfn.XLOOKUP($I$6, 'Metric Categories 1-14'!$B$7:$FM$7, _xlfn.XLOOKUP(A40, 'Metric Categories 1-14'!$A$8:$A$57, 'Metric Categories 1-14'!$B$8:$FM$57))</f>
        <v>2.6000000000000005</v>
      </c>
      <c r="J40" s="20" cm="1">
        <f t="array" ref="J40">_xlfn.XLOOKUP($J$6, 'Metric Categories 1-14'!$B$7:$FM$7, _xlfn.XLOOKUP(A40, 'Metric Categories 1-14'!$A$8:$A$57, 'Metric Categories 1-14'!$B$8:$FM$57))</f>
        <v>2</v>
      </c>
      <c r="K40" s="20" cm="1">
        <f t="array" ref="K40">_xlfn.XLOOKUP($K$6, 'Metric Categories 1-14'!$B$7:$FM$7, _xlfn.XLOOKUP(A40, 'Metric Categories 1-14'!$A$8:$A$57, 'Metric Categories 1-14'!$B$8:$FM$57))</f>
        <v>2.7</v>
      </c>
      <c r="L40" s="20" cm="1">
        <f t="array" ref="L40">_xlfn.XLOOKUP($L$6, '15. Workforce Calcs'!$B$8:$BG$8, _xlfn.XLOOKUP(A40, '15. Workforce Calcs'!$A$10:$A$59, '15. Workforce Calcs'!$B$10:$BG$59))</f>
        <v>1</v>
      </c>
      <c r="M40" s="20" cm="1">
        <f t="array" ref="M40">_xlfn.XLOOKUP($M$6, 'Metric Categories 1-14'!$B$7:$FM$7, _xlfn.XLOOKUP(A40, 'Metric Categories 1-14'!$A$8:$A$57, 'Metric Categories 1-14'!$B$8:$FM$57))</f>
        <v>3</v>
      </c>
      <c r="N40" s="20" cm="1">
        <f t="array" ref="N40">_xlfn.XLOOKUP($N$6, '16. Existing HQs and Projects'!$B$8:$Q$8, _xlfn.XLOOKUP(A40,'16. Existing HQs and Projects'!$A$9:$A$58, '16. Existing HQs and Projects'!$B$9:$Q$58))</f>
        <v>1</v>
      </c>
      <c r="O40" s="37">
        <f t="shared" si="1"/>
        <v>0</v>
      </c>
      <c r="P40" s="37" cm="1">
        <f t="array" ref="P40">_xlfn.IFS(O40=0, 1, O40&gt;$O$59, 3, O40=$O$59, 3, O40&lt;$O$59, 2)</f>
        <v>1</v>
      </c>
      <c r="Q40" s="13"/>
    </row>
    <row r="41" spans="1:17" ht="15.95" customHeight="1">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20" cm="1">
        <f t="array" ref="E41">_xlfn.XLOOKUP($E$6, 'Metric Categories 1-14'!$B$7:$FM$7, _xlfn.XLOOKUP(A41, 'Metric Categories 1-14'!$A$8:$A$57, 'Metric Categories 1-14'!$B$8:$FM$57))</f>
        <v>1.2000000000000002</v>
      </c>
      <c r="F41" s="35">
        <f t="shared" si="0"/>
        <v>0</v>
      </c>
      <c r="G41" s="36" cm="1">
        <f t="array" ref="G41">_xlfn.IFS(F41=0, 1, F41&lt;$F$59, 2, F41&gt;$F$59, 3)</f>
        <v>1</v>
      </c>
      <c r="H41" s="20" cm="1">
        <f t="array" ref="H41">_xlfn.XLOOKUP($H$6, 'Metric Categories 1-14'!$B$7:$FM$7, _xlfn.XLOOKUP(A41, 'Metric Categories 1-14'!$A$8:$A$57, 'Metric Categories 1-14'!$B$8:$FM$57))</f>
        <v>0</v>
      </c>
      <c r="I41" s="20" cm="1">
        <f t="array" ref="I41">_xlfn.XLOOKUP($I$6, 'Metric Categories 1-14'!$B$7:$FM$7, _xlfn.XLOOKUP(A41, 'Metric Categories 1-14'!$A$8:$A$57, 'Metric Categories 1-14'!$B$8:$FM$57))</f>
        <v>1.6</v>
      </c>
      <c r="J41" s="20" cm="1">
        <f t="array" ref="J41">_xlfn.XLOOKUP($J$6, 'Metric Categories 1-14'!$B$7:$FM$7, _xlfn.XLOOKUP(A41, 'Metric Categories 1-14'!$A$8:$A$57, 'Metric Categories 1-14'!$B$8:$FM$57))</f>
        <v>1.5</v>
      </c>
      <c r="K41" s="20" cm="1">
        <f t="array" ref="K41">_xlfn.XLOOKUP($K$6, 'Metric Categories 1-14'!$B$7:$FM$7, _xlfn.XLOOKUP(A41, 'Metric Categories 1-14'!$A$8:$A$57, 'Metric Categories 1-14'!$B$8:$FM$57))</f>
        <v>1.4</v>
      </c>
      <c r="L41" s="20" cm="1">
        <f t="array" ref="L41">_xlfn.XLOOKUP($L$6, '15. Workforce Calcs'!$B$8:$BG$8, _xlfn.XLOOKUP(A41, '15. Workforce Calcs'!$A$10:$A$59, '15. Workforce Calcs'!$B$10:$BG$59))</f>
        <v>3</v>
      </c>
      <c r="M41" s="20" cm="1">
        <f t="array" ref="M41">_xlfn.XLOOKUP($M$6, 'Metric Categories 1-14'!$B$7:$FM$7, _xlfn.XLOOKUP(A41, 'Metric Categories 1-14'!$A$8:$A$57, 'Metric Categories 1-14'!$B$8:$FM$57))</f>
        <v>3</v>
      </c>
      <c r="N41" s="20" cm="1">
        <f t="array" ref="N41">_xlfn.XLOOKUP($N$6, '16. Existing HQs and Projects'!$B$8:$Q$8, _xlfn.XLOOKUP(A41,'16. Existing HQs and Projects'!$A$9:$A$58, '16. Existing HQs and Projects'!$B$9:$Q$58))</f>
        <v>1</v>
      </c>
      <c r="O41" s="37">
        <f t="shared" si="1"/>
        <v>0</v>
      </c>
      <c r="P41" s="37" cm="1">
        <f t="array" ref="P41">_xlfn.IFS(O41=0, 1, O41&gt;$O$59, 3, O41=$O$59, 3, O41&lt;$O$59, 2)</f>
        <v>1</v>
      </c>
      <c r="Q41" s="13"/>
    </row>
    <row r="42" spans="1:17" ht="15.95" customHeight="1">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20" cm="1">
        <f t="array" ref="E42">_xlfn.XLOOKUP($E$6, 'Metric Categories 1-14'!$B$7:$FM$7, _xlfn.XLOOKUP(A42, 'Metric Categories 1-14'!$A$8:$A$57, 'Metric Categories 1-14'!$B$8:$FM$57))</f>
        <v>1.8</v>
      </c>
      <c r="F42" s="35">
        <f t="shared" si="0"/>
        <v>0</v>
      </c>
      <c r="G42" s="36" cm="1">
        <f t="array" ref="G42">_xlfn.IFS(F42=0, 1, F42&lt;$F$59, 2, F42&gt;$F$59, 3)</f>
        <v>1</v>
      </c>
      <c r="H42" s="20" cm="1">
        <f t="array" ref="H42">_xlfn.XLOOKUP($H$6, 'Metric Categories 1-14'!$B$7:$FM$7, _xlfn.XLOOKUP(A42, 'Metric Categories 1-14'!$A$8:$A$57, 'Metric Categories 1-14'!$B$8:$FM$57))</f>
        <v>0</v>
      </c>
      <c r="I42" s="20" cm="1">
        <f t="array" ref="I42">_xlfn.XLOOKUP($I$6, 'Metric Categories 1-14'!$B$7:$FM$7, _xlfn.XLOOKUP(A42, 'Metric Categories 1-14'!$A$8:$A$57, 'Metric Categories 1-14'!$B$8:$FM$57))</f>
        <v>2.2000000000000002</v>
      </c>
      <c r="J42" s="20" cm="1">
        <f t="array" ref="J42">_xlfn.XLOOKUP($J$6, 'Metric Categories 1-14'!$B$7:$FM$7, _xlfn.XLOOKUP(A42, 'Metric Categories 1-14'!$A$8:$A$57, 'Metric Categories 1-14'!$B$8:$FM$57))</f>
        <v>2.25</v>
      </c>
      <c r="K42" s="20" cm="1">
        <f t="array" ref="K42">_xlfn.XLOOKUP($K$6, 'Metric Categories 1-14'!$B$7:$FM$7, _xlfn.XLOOKUP(A42, 'Metric Categories 1-14'!$A$8:$A$57, 'Metric Categories 1-14'!$B$8:$FM$57))</f>
        <v>2.7</v>
      </c>
      <c r="L42" s="20" cm="1">
        <f t="array" ref="L42">_xlfn.XLOOKUP($L$6, '15. Workforce Calcs'!$B$8:$BG$8, _xlfn.XLOOKUP(A42, '15. Workforce Calcs'!$A$10:$A$59, '15. Workforce Calcs'!$B$10:$BG$59))</f>
        <v>2</v>
      </c>
      <c r="M42" s="20" cm="1">
        <f t="array" ref="M42">_xlfn.XLOOKUP($M$6, 'Metric Categories 1-14'!$B$7:$FM$7, _xlfn.XLOOKUP(A42, 'Metric Categories 1-14'!$A$8:$A$57, 'Metric Categories 1-14'!$B$8:$FM$57))</f>
        <v>2</v>
      </c>
      <c r="N42" s="20" cm="1">
        <f t="array" ref="N42">_xlfn.XLOOKUP($N$6, '16. Existing HQs and Projects'!$B$8:$Q$8, _xlfn.XLOOKUP(A42,'16. Existing HQs and Projects'!$A$9:$A$58, '16. Existing HQs and Projects'!$B$9:$Q$58))</f>
        <v>1</v>
      </c>
      <c r="O42" s="37">
        <f t="shared" si="1"/>
        <v>0</v>
      </c>
      <c r="P42" s="37" cm="1">
        <f t="array" ref="P42">_xlfn.IFS(O42=0, 1, O42&gt;$O$59, 3, O42=$O$59, 3, O42&lt;$O$59, 2)</f>
        <v>1</v>
      </c>
      <c r="Q42" s="13"/>
    </row>
    <row r="43" spans="1:17" ht="15.95" customHeight="1">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20" cm="1">
        <f t="array" ref="E43">_xlfn.XLOOKUP($E$6, 'Metric Categories 1-14'!$B$7:$FM$7, _xlfn.XLOOKUP(A43, 'Metric Categories 1-14'!$A$8:$A$57, 'Metric Categories 1-14'!$B$8:$FM$57))</f>
        <v>1.4000000000000001</v>
      </c>
      <c r="F43" s="35">
        <f t="shared" si="0"/>
        <v>1.5699999999999998</v>
      </c>
      <c r="G43" s="36" cm="1">
        <f t="array" ref="G43">_xlfn.IFS(F43=0, 1, F43&lt;$F$59, 2, F43&gt;$F$59, 3)</f>
        <v>3</v>
      </c>
      <c r="H43" s="20" cm="1">
        <f t="array" ref="H43">_xlfn.XLOOKUP($H$6, 'Metric Categories 1-14'!$B$7:$FM$7, _xlfn.XLOOKUP(A43, 'Metric Categories 1-14'!$A$8:$A$57, 'Metric Categories 1-14'!$B$8:$FM$57))</f>
        <v>2</v>
      </c>
      <c r="I43" s="20" cm="1">
        <f t="array" ref="I43">_xlfn.XLOOKUP($I$6, 'Metric Categories 1-14'!$B$7:$FM$7, _xlfn.XLOOKUP(A43, 'Metric Categories 1-14'!$A$8:$A$57, 'Metric Categories 1-14'!$B$8:$FM$57))</f>
        <v>1.2000000000000002</v>
      </c>
      <c r="J43" s="20" cm="1">
        <f t="array" ref="J43">_xlfn.XLOOKUP($J$6, 'Metric Categories 1-14'!$B$7:$FM$7, _xlfn.XLOOKUP(A43, 'Metric Categories 1-14'!$A$8:$A$57, 'Metric Categories 1-14'!$B$8:$FM$57))</f>
        <v>2.5</v>
      </c>
      <c r="K43" s="20" cm="1">
        <f t="array" ref="K43">_xlfn.XLOOKUP($K$6, 'Metric Categories 1-14'!$B$7:$FM$7, _xlfn.XLOOKUP(A43, 'Metric Categories 1-14'!$A$8:$A$57, 'Metric Categories 1-14'!$B$8:$FM$57))</f>
        <v>2.8</v>
      </c>
      <c r="L43" s="20" cm="1">
        <f t="array" ref="L43">_xlfn.XLOOKUP($L$6, '15. Workforce Calcs'!$B$8:$BG$8, _xlfn.XLOOKUP(A43, '15. Workforce Calcs'!$A$10:$A$59, '15. Workforce Calcs'!$B$10:$BG$59))</f>
        <v>1</v>
      </c>
      <c r="M43" s="20" cm="1">
        <f t="array" ref="M43">_xlfn.XLOOKUP($M$6, 'Metric Categories 1-14'!$B$7:$FM$7, _xlfn.XLOOKUP(A43, 'Metric Categories 1-14'!$A$8:$A$57, 'Metric Categories 1-14'!$B$8:$FM$57))</f>
        <v>1</v>
      </c>
      <c r="N43" s="20" cm="1">
        <f t="array" ref="N43">_xlfn.XLOOKUP($N$6, '16. Existing HQs and Projects'!$B$8:$Q$8, _xlfn.XLOOKUP(A43,'16. Existing HQs and Projects'!$A$9:$A$58, '16. Existing HQs and Projects'!$B$9:$Q$58))</f>
        <v>1</v>
      </c>
      <c r="O43" s="37">
        <f t="shared" si="1"/>
        <v>1.8900000000000003</v>
      </c>
      <c r="P43" s="37" cm="1">
        <f t="array" ref="P43">_xlfn.IFS(O43=0, 1, O43&gt;$O$59, 3, O43=$O$59, 3, O43&lt;$O$59, 2)</f>
        <v>3</v>
      </c>
      <c r="Q43" s="13"/>
    </row>
    <row r="44" spans="1:17" ht="15.95" customHeight="1">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20" cm="1">
        <f t="array" ref="E44">_xlfn.XLOOKUP($E$6, 'Metric Categories 1-14'!$B$7:$FM$7, _xlfn.XLOOKUP(A44, 'Metric Categories 1-14'!$A$8:$A$57, 'Metric Categories 1-14'!$B$8:$FM$57))</f>
        <v>1.4000000000000001</v>
      </c>
      <c r="F44" s="35">
        <f t="shared" si="0"/>
        <v>0</v>
      </c>
      <c r="G44" s="36" cm="1">
        <f t="array" ref="G44">_xlfn.IFS(F44=0, 1, F44&lt;$F$59, 2, F44&gt;$F$59, 3)</f>
        <v>1</v>
      </c>
      <c r="H44" s="20" cm="1">
        <f t="array" ref="H44">_xlfn.XLOOKUP($H$6, 'Metric Categories 1-14'!$B$7:$FM$7, _xlfn.XLOOKUP(A44, 'Metric Categories 1-14'!$A$8:$A$57, 'Metric Categories 1-14'!$B$8:$FM$57))</f>
        <v>0</v>
      </c>
      <c r="I44" s="20" cm="1">
        <f t="array" ref="I44">_xlfn.XLOOKUP($I$6, 'Metric Categories 1-14'!$B$7:$FM$7, _xlfn.XLOOKUP(A44, 'Metric Categories 1-14'!$A$8:$A$57, 'Metric Categories 1-14'!$B$8:$FM$57))</f>
        <v>1.2000000000000002</v>
      </c>
      <c r="J44" s="20" cm="1">
        <f t="array" ref="J44">_xlfn.XLOOKUP($J$6, 'Metric Categories 1-14'!$B$7:$FM$7, _xlfn.XLOOKUP(A44, 'Metric Categories 1-14'!$A$8:$A$57, 'Metric Categories 1-14'!$B$8:$FM$57))</f>
        <v>2.5</v>
      </c>
      <c r="K44" s="20" cm="1">
        <f t="array" ref="K44">_xlfn.XLOOKUP($K$6, 'Metric Categories 1-14'!$B$7:$FM$7, _xlfn.XLOOKUP(A44, 'Metric Categories 1-14'!$A$8:$A$57, 'Metric Categories 1-14'!$B$8:$FM$57))</f>
        <v>1.2</v>
      </c>
      <c r="L44" s="20" cm="1">
        <f t="array" ref="L44">_xlfn.XLOOKUP($L$6, '15. Workforce Calcs'!$B$8:$BG$8, _xlfn.XLOOKUP(A44, '15. Workforce Calcs'!$A$10:$A$59, '15. Workforce Calcs'!$B$10:$BG$59))</f>
        <v>3</v>
      </c>
      <c r="M44" s="20" cm="1">
        <f t="array" ref="M44">_xlfn.XLOOKUP($M$6, 'Metric Categories 1-14'!$B$7:$FM$7, _xlfn.XLOOKUP(A44, 'Metric Categories 1-14'!$A$8:$A$57, 'Metric Categories 1-14'!$B$8:$FM$57))</f>
        <v>2</v>
      </c>
      <c r="N44" s="20" cm="1">
        <f t="array" ref="N44">_xlfn.XLOOKUP($N$6, '16. Existing HQs and Projects'!$B$8:$Q$8, _xlfn.XLOOKUP(A44,'16. Existing HQs and Projects'!$A$9:$A$58, '16. Existing HQs and Projects'!$B$9:$Q$58))</f>
        <v>1</v>
      </c>
      <c r="O44" s="37">
        <f t="shared" si="1"/>
        <v>0</v>
      </c>
      <c r="P44" s="37" cm="1">
        <f t="array" ref="P44">_xlfn.IFS(O44=0, 1, O44&gt;$O$59, 3, O44=$O$59, 3, O44&lt;$O$59, 2)</f>
        <v>1</v>
      </c>
      <c r="Q44" s="13"/>
    </row>
    <row r="45" spans="1:17" ht="15.95" customHeight="1">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20" cm="1">
        <f t="array" ref="E45">_xlfn.XLOOKUP($E$6, 'Metric Categories 1-14'!$B$7:$FM$7, _xlfn.XLOOKUP(A45, 'Metric Categories 1-14'!$A$8:$A$57, 'Metric Categories 1-14'!$B$8:$FM$57))</f>
        <v>1.4000000000000001</v>
      </c>
      <c r="F45" s="35">
        <f t="shared" si="0"/>
        <v>1.5350000000000001</v>
      </c>
      <c r="G45" s="36" cm="1">
        <f t="array" ref="G45">_xlfn.IFS(F45=0, 1, F45&lt;$F$59, 2, F45&gt;$F$59, 3)</f>
        <v>3</v>
      </c>
      <c r="H45" s="20" cm="1">
        <f t="array" ref="H45">_xlfn.XLOOKUP($H$6, 'Metric Categories 1-14'!$B$7:$FM$7, _xlfn.XLOOKUP(A45, 'Metric Categories 1-14'!$A$8:$A$57, 'Metric Categories 1-14'!$B$8:$FM$57))</f>
        <v>2.5</v>
      </c>
      <c r="I45" s="20" cm="1">
        <f t="array" ref="I45">_xlfn.XLOOKUP($I$6, 'Metric Categories 1-14'!$B$7:$FM$7, _xlfn.XLOOKUP(A45, 'Metric Categories 1-14'!$A$8:$A$57, 'Metric Categories 1-14'!$B$8:$FM$57))</f>
        <v>1</v>
      </c>
      <c r="J45" s="20" cm="1">
        <f t="array" ref="J45">_xlfn.XLOOKUP($J$6, 'Metric Categories 1-14'!$B$7:$FM$7, _xlfn.XLOOKUP(A45, 'Metric Categories 1-14'!$A$8:$A$57, 'Metric Categories 1-14'!$B$8:$FM$57))</f>
        <v>1</v>
      </c>
      <c r="K45" s="20" cm="1">
        <f t="array" ref="K45">_xlfn.XLOOKUP($K$6, 'Metric Categories 1-14'!$B$7:$FM$7, _xlfn.XLOOKUP(A45, 'Metric Categories 1-14'!$A$8:$A$57, 'Metric Categories 1-14'!$B$8:$FM$57))</f>
        <v>1.5</v>
      </c>
      <c r="L45" s="20" cm="1">
        <f t="array" ref="L45">_xlfn.XLOOKUP($L$6, '15. Workforce Calcs'!$B$8:$BG$8, _xlfn.XLOOKUP(A45, '15. Workforce Calcs'!$A$10:$A$59, '15. Workforce Calcs'!$B$10:$BG$59))</f>
        <v>1</v>
      </c>
      <c r="M45" s="20" cm="1">
        <f t="array" ref="M45">_xlfn.XLOOKUP($M$6, 'Metric Categories 1-14'!$B$7:$FM$7, _xlfn.XLOOKUP(A45, 'Metric Categories 1-14'!$A$8:$A$57, 'Metric Categories 1-14'!$B$8:$FM$57))</f>
        <v>1</v>
      </c>
      <c r="N45" s="20" cm="1">
        <f t="array" ref="N45">_xlfn.XLOOKUP($N$6, '16. Existing HQs and Projects'!$B$8:$Q$8, _xlfn.XLOOKUP(A45,'16. Existing HQs and Projects'!$A$9:$A$58, '16. Existing HQs and Projects'!$B$9:$Q$58))</f>
        <v>1</v>
      </c>
      <c r="O45" s="37">
        <f t="shared" si="1"/>
        <v>1.4000000000000004</v>
      </c>
      <c r="P45" s="37" cm="1">
        <f t="array" ref="P45">_xlfn.IFS(O45=0, 1, O45&gt;$O$59, 3, O45=$O$59, 3, O45&lt;$O$59, 2)</f>
        <v>2</v>
      </c>
      <c r="Q45" s="13"/>
    </row>
    <row r="46" spans="1:17" ht="15.95" customHeight="1">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20" cm="1">
        <f t="array" ref="E46">_xlfn.XLOOKUP($E$6, 'Metric Categories 1-14'!$B$7:$FM$7, _xlfn.XLOOKUP(A46, 'Metric Categories 1-14'!$A$8:$A$57, 'Metric Categories 1-14'!$B$8:$FM$57))</f>
        <v>1.2000000000000002</v>
      </c>
      <c r="F46" s="35">
        <f t="shared" si="0"/>
        <v>1.1600000000000001</v>
      </c>
      <c r="G46" s="36" cm="1">
        <f t="array" ref="G46">_xlfn.IFS(F46=0, 1, F46&lt;$F$59, 2, F46&gt;$F$59, 3)</f>
        <v>2</v>
      </c>
      <c r="H46" s="20" cm="1">
        <f t="array" ref="H46">_xlfn.XLOOKUP($H$6, 'Metric Categories 1-14'!$B$7:$FM$7, _xlfn.XLOOKUP(A46, 'Metric Categories 1-14'!$A$8:$A$57, 'Metric Categories 1-14'!$B$8:$FM$57))</f>
        <v>2</v>
      </c>
      <c r="I46" s="20" cm="1">
        <f t="array" ref="I46">_xlfn.XLOOKUP($I$6, 'Metric Categories 1-14'!$B$7:$FM$7, _xlfn.XLOOKUP(A46, 'Metric Categories 1-14'!$A$8:$A$57, 'Metric Categories 1-14'!$B$8:$FM$57))</f>
        <v>1</v>
      </c>
      <c r="J46" s="20" cm="1">
        <f t="array" ref="J46">_xlfn.XLOOKUP($J$6, 'Metric Categories 1-14'!$B$7:$FM$7, _xlfn.XLOOKUP(A46, 'Metric Categories 1-14'!$A$8:$A$57, 'Metric Categories 1-14'!$B$8:$FM$57))</f>
        <v>2</v>
      </c>
      <c r="K46" s="20" cm="1">
        <f t="array" ref="K46">_xlfn.XLOOKUP($K$6, 'Metric Categories 1-14'!$B$7:$FM$7, _xlfn.XLOOKUP(A46, 'Metric Categories 1-14'!$A$8:$A$57, 'Metric Categories 1-14'!$B$8:$FM$57))</f>
        <v>1.9000000000000001</v>
      </c>
      <c r="L46" s="20" cm="1">
        <f t="array" ref="L46">_xlfn.XLOOKUP($L$6, '15. Workforce Calcs'!$B$8:$BG$8, _xlfn.XLOOKUP(A46, '15. Workforce Calcs'!$A$10:$A$59, '15. Workforce Calcs'!$B$10:$BG$59))</f>
        <v>3</v>
      </c>
      <c r="M46" s="20" cm="1">
        <f t="array" ref="M46">_xlfn.XLOOKUP($M$6, 'Metric Categories 1-14'!$B$7:$FM$7, _xlfn.XLOOKUP(A46, 'Metric Categories 1-14'!$A$8:$A$57, 'Metric Categories 1-14'!$B$8:$FM$57))</f>
        <v>3</v>
      </c>
      <c r="N46" s="20" cm="1">
        <f t="array" ref="N46">_xlfn.XLOOKUP($N$6, '16. Existing HQs and Projects'!$B$8:$Q$8, _xlfn.XLOOKUP(A46,'16. Existing HQs and Projects'!$A$9:$A$58, '16. Existing HQs and Projects'!$B$9:$Q$58))</f>
        <v>1</v>
      </c>
      <c r="O46" s="37">
        <f t="shared" si="1"/>
        <v>1.9800000000000002</v>
      </c>
      <c r="P46" s="37" cm="1">
        <f t="array" ref="P46">_xlfn.IFS(O46=0, 1, O46&gt;$O$59, 3, O46=$O$59, 3, O46&lt;$O$59, 2)</f>
        <v>3</v>
      </c>
      <c r="Q46" s="13"/>
    </row>
    <row r="47" spans="1:17" ht="15.95" customHeight="1">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20" cm="1">
        <f t="array" ref="E47">_xlfn.XLOOKUP($E$6, 'Metric Categories 1-14'!$B$7:$FM$7, _xlfn.XLOOKUP(A47, 'Metric Categories 1-14'!$A$8:$A$57, 'Metric Categories 1-14'!$B$8:$FM$57))</f>
        <v>1.6</v>
      </c>
      <c r="F47" s="35">
        <f t="shared" si="0"/>
        <v>0</v>
      </c>
      <c r="G47" s="36" cm="1">
        <f t="array" ref="G47">_xlfn.IFS(F47=0, 1, F47&lt;$F$59, 2, F47&gt;$F$59, 3)</f>
        <v>1</v>
      </c>
      <c r="H47" s="20" cm="1">
        <f t="array" ref="H47">_xlfn.XLOOKUP($H$6, 'Metric Categories 1-14'!$B$7:$FM$7, _xlfn.XLOOKUP(A47, 'Metric Categories 1-14'!$A$8:$A$57, 'Metric Categories 1-14'!$B$8:$FM$57))</f>
        <v>0</v>
      </c>
      <c r="I47" s="20" cm="1">
        <f t="array" ref="I47">_xlfn.XLOOKUP($I$6, 'Metric Categories 1-14'!$B$7:$FM$7, _xlfn.XLOOKUP(A47, 'Metric Categories 1-14'!$A$8:$A$57, 'Metric Categories 1-14'!$B$8:$FM$57))</f>
        <v>1.4</v>
      </c>
      <c r="J47" s="20" cm="1">
        <f t="array" ref="J47">_xlfn.XLOOKUP($J$6, 'Metric Categories 1-14'!$B$7:$FM$7, _xlfn.XLOOKUP(A47, 'Metric Categories 1-14'!$A$8:$A$57, 'Metric Categories 1-14'!$B$8:$FM$57))</f>
        <v>1.5</v>
      </c>
      <c r="K47" s="20" cm="1">
        <f t="array" ref="K47">_xlfn.XLOOKUP($K$6, 'Metric Categories 1-14'!$B$7:$FM$7, _xlfn.XLOOKUP(A47, 'Metric Categories 1-14'!$A$8:$A$57, 'Metric Categories 1-14'!$B$8:$FM$57))</f>
        <v>2.6000000000000005</v>
      </c>
      <c r="L47" s="20" cm="1">
        <f t="array" ref="L47">_xlfn.XLOOKUP($L$6, '15. Workforce Calcs'!$B$8:$BG$8, _xlfn.XLOOKUP(A47, '15. Workforce Calcs'!$A$10:$A$59, '15. Workforce Calcs'!$B$10:$BG$59))</f>
        <v>1</v>
      </c>
      <c r="M47" s="20" cm="1">
        <f t="array" ref="M47">_xlfn.XLOOKUP($M$6, 'Metric Categories 1-14'!$B$7:$FM$7, _xlfn.XLOOKUP(A47, 'Metric Categories 1-14'!$A$8:$A$57, 'Metric Categories 1-14'!$B$8:$FM$57))</f>
        <v>1</v>
      </c>
      <c r="N47" s="20" cm="1">
        <f t="array" ref="N47">_xlfn.XLOOKUP($N$6, '16. Existing HQs and Projects'!$B$8:$Q$8, _xlfn.XLOOKUP(A47,'16. Existing HQs and Projects'!$A$9:$A$58, '16. Existing HQs and Projects'!$B$9:$Q$58))</f>
        <v>1</v>
      </c>
      <c r="O47" s="37">
        <f t="shared" si="1"/>
        <v>0</v>
      </c>
      <c r="P47" s="37" cm="1">
        <f t="array" ref="P47">_xlfn.IFS(O47=0, 1, O47&gt;$O$59, 3, O47=$O$59, 3, O47&lt;$O$59, 2)</f>
        <v>1</v>
      </c>
      <c r="Q47" s="13"/>
    </row>
    <row r="48" spans="1:17" ht="15.95" customHeight="1">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20" cm="1">
        <f t="array" ref="E48">_xlfn.XLOOKUP($E$6, 'Metric Categories 1-14'!$B$7:$FM$7, _xlfn.XLOOKUP(A48, 'Metric Categories 1-14'!$A$8:$A$57, 'Metric Categories 1-14'!$B$8:$FM$57))</f>
        <v>1.2000000000000002</v>
      </c>
      <c r="F48" s="35">
        <f t="shared" si="0"/>
        <v>0</v>
      </c>
      <c r="G48" s="36" cm="1">
        <f t="array" ref="G48">_xlfn.IFS(F48=0, 1, F48&lt;$F$59, 2, F48&gt;$F$59, 3)</f>
        <v>1</v>
      </c>
      <c r="H48" s="20" cm="1">
        <f t="array" ref="H48">_xlfn.XLOOKUP($H$6, 'Metric Categories 1-14'!$B$7:$FM$7, _xlfn.XLOOKUP(A48, 'Metric Categories 1-14'!$A$8:$A$57, 'Metric Categories 1-14'!$B$8:$FM$57))</f>
        <v>0</v>
      </c>
      <c r="I48" s="20" cm="1">
        <f t="array" ref="I48">_xlfn.XLOOKUP($I$6, 'Metric Categories 1-14'!$B$7:$FM$7, _xlfn.XLOOKUP(A48, 'Metric Categories 1-14'!$A$8:$A$57, 'Metric Categories 1-14'!$B$8:$FM$57))</f>
        <v>1</v>
      </c>
      <c r="J48" s="20" cm="1">
        <f t="array" ref="J48">_xlfn.XLOOKUP($J$6, 'Metric Categories 1-14'!$B$7:$FM$7, _xlfn.XLOOKUP(A48, 'Metric Categories 1-14'!$A$8:$A$57, 'Metric Categories 1-14'!$B$8:$FM$57))</f>
        <v>1.75</v>
      </c>
      <c r="K48" s="20" cm="1">
        <f t="array" ref="K48">_xlfn.XLOOKUP($K$6, 'Metric Categories 1-14'!$B$7:$FM$7, _xlfn.XLOOKUP(A48, 'Metric Categories 1-14'!$A$8:$A$57, 'Metric Categories 1-14'!$B$8:$FM$57))</f>
        <v>1.8</v>
      </c>
      <c r="L48" s="20" cm="1">
        <f t="array" ref="L48">_xlfn.XLOOKUP($L$6, '15. Workforce Calcs'!$B$8:$BG$8, _xlfn.XLOOKUP(A48, '15. Workforce Calcs'!$A$10:$A$59, '15. Workforce Calcs'!$B$10:$BG$59))</f>
        <v>3</v>
      </c>
      <c r="M48" s="20" cm="1">
        <f t="array" ref="M48">_xlfn.XLOOKUP($M$6, 'Metric Categories 1-14'!$B$7:$FM$7, _xlfn.XLOOKUP(A48, 'Metric Categories 1-14'!$A$8:$A$57, 'Metric Categories 1-14'!$B$8:$FM$57))</f>
        <v>2</v>
      </c>
      <c r="N48" s="20" cm="1">
        <f t="array" ref="N48">_xlfn.XLOOKUP($N$6, '16. Existing HQs and Projects'!$B$8:$Q$8, _xlfn.XLOOKUP(A48,'16. Existing HQs and Projects'!$A$9:$A$58, '16. Existing HQs and Projects'!$B$9:$Q$58))</f>
        <v>1</v>
      </c>
      <c r="O48" s="37">
        <f t="shared" si="1"/>
        <v>0</v>
      </c>
      <c r="P48" s="37" cm="1">
        <f t="array" ref="P48">_xlfn.IFS(O48=0, 1, O48&gt;$O$59, 3, O48=$O$59, 3, O48&lt;$O$59, 2)</f>
        <v>1</v>
      </c>
      <c r="Q48" s="13"/>
    </row>
    <row r="49" spans="1:17" ht="15.95" customHeight="1">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20" cm="1">
        <f t="array" ref="E49">_xlfn.XLOOKUP($E$6, 'Metric Categories 1-14'!$B$7:$FM$7, _xlfn.XLOOKUP(A49, 'Metric Categories 1-14'!$A$8:$A$57, 'Metric Categories 1-14'!$B$8:$FM$57))</f>
        <v>2.3000000000000003</v>
      </c>
      <c r="F49" s="35">
        <f t="shared" si="0"/>
        <v>1.3900000000000001</v>
      </c>
      <c r="G49" s="36" cm="1">
        <f t="array" ref="G49">_xlfn.IFS(F49=0, 1, F49&lt;$F$59, 2, F49&gt;$F$59, 3)</f>
        <v>3</v>
      </c>
      <c r="H49" s="20" cm="1">
        <f t="array" ref="H49">_xlfn.XLOOKUP($H$6, 'Metric Categories 1-14'!$B$7:$FM$7, _xlfn.XLOOKUP(A49, 'Metric Categories 1-14'!$A$8:$A$57, 'Metric Categories 1-14'!$B$8:$FM$57))</f>
        <v>2.25</v>
      </c>
      <c r="I49" s="20" cm="1">
        <f t="array" ref="I49">_xlfn.XLOOKUP($I$6, 'Metric Categories 1-14'!$B$7:$FM$7, _xlfn.XLOOKUP(A49, 'Metric Categories 1-14'!$A$8:$A$57, 'Metric Categories 1-14'!$B$8:$FM$57))</f>
        <v>2.6000000000000005</v>
      </c>
      <c r="J49" s="20" cm="1">
        <f t="array" ref="J49">_xlfn.XLOOKUP($J$6, 'Metric Categories 1-14'!$B$7:$FM$7, _xlfn.XLOOKUP(A49, 'Metric Categories 1-14'!$A$8:$A$57, 'Metric Categories 1-14'!$B$8:$FM$57))</f>
        <v>2.5</v>
      </c>
      <c r="K49" s="20" cm="1">
        <f t="array" ref="K49">_xlfn.XLOOKUP($K$6, 'Metric Categories 1-14'!$B$7:$FM$7, _xlfn.XLOOKUP(A49, 'Metric Categories 1-14'!$A$8:$A$57, 'Metric Categories 1-14'!$B$8:$FM$57))</f>
        <v>2.1</v>
      </c>
      <c r="L49" s="20" cm="1">
        <f t="array" ref="L49">_xlfn.XLOOKUP($L$6, '15. Workforce Calcs'!$B$8:$BG$8, _xlfn.XLOOKUP(A49, '15. Workforce Calcs'!$A$10:$A$59, '15. Workforce Calcs'!$B$10:$BG$59))</f>
        <v>3</v>
      </c>
      <c r="M49" s="20" cm="1">
        <f t="array" ref="M49">_xlfn.XLOOKUP($M$6, 'Metric Categories 1-14'!$B$7:$FM$7, _xlfn.XLOOKUP(A49, 'Metric Categories 1-14'!$A$8:$A$57, 'Metric Categories 1-14'!$B$8:$FM$57))</f>
        <v>3</v>
      </c>
      <c r="N49" s="20" cm="1">
        <f t="array" ref="N49">_xlfn.XLOOKUP($N$6, '16. Existing HQs and Projects'!$B$8:$Q$8, _xlfn.XLOOKUP(A49,'16. Existing HQs and Projects'!$A$9:$A$58, '16. Existing HQs and Projects'!$B$9:$Q$58))</f>
        <v>1</v>
      </c>
      <c r="O49" s="37">
        <f t="shared" si="1"/>
        <v>2.41</v>
      </c>
      <c r="P49" s="37" cm="1">
        <f t="array" ref="P49">_xlfn.IFS(O49=0, 1, O49&gt;$O$59, 3, O49=$O$59, 3, O49&lt;$O$59, 2)</f>
        <v>3</v>
      </c>
      <c r="Q49" s="13"/>
    </row>
    <row r="50" spans="1:17" ht="15.95" customHeight="1">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20" cm="1">
        <f t="array" ref="E50">_xlfn.XLOOKUP($E$6, 'Metric Categories 1-14'!$B$7:$FM$7, _xlfn.XLOOKUP(A50, 'Metric Categories 1-14'!$A$8:$A$57, 'Metric Categories 1-14'!$B$8:$FM$57))</f>
        <v>1.2000000000000002</v>
      </c>
      <c r="F50" s="35">
        <f t="shared" si="0"/>
        <v>0</v>
      </c>
      <c r="G50" s="36" cm="1">
        <f t="array" ref="G50">_xlfn.IFS(F50=0, 1, F50&lt;$F$59, 2, F50&gt;$F$59, 3)</f>
        <v>1</v>
      </c>
      <c r="H50" s="20" cm="1">
        <f t="array" ref="H50">_xlfn.XLOOKUP($H$6, 'Metric Categories 1-14'!$B$7:$FM$7, _xlfn.XLOOKUP(A50, 'Metric Categories 1-14'!$A$8:$A$57, 'Metric Categories 1-14'!$B$8:$FM$57))</f>
        <v>0</v>
      </c>
      <c r="I50" s="20" cm="1">
        <f t="array" ref="I50">_xlfn.XLOOKUP($I$6, 'Metric Categories 1-14'!$B$7:$FM$7, _xlfn.XLOOKUP(A50, 'Metric Categories 1-14'!$A$8:$A$57, 'Metric Categories 1-14'!$B$8:$FM$57))</f>
        <v>1.6</v>
      </c>
      <c r="J50" s="20" cm="1">
        <f t="array" ref="J50">_xlfn.XLOOKUP($J$6, 'Metric Categories 1-14'!$B$7:$FM$7, _xlfn.XLOOKUP(A50, 'Metric Categories 1-14'!$A$8:$A$57, 'Metric Categories 1-14'!$B$8:$FM$57))</f>
        <v>2.5</v>
      </c>
      <c r="K50" s="20" cm="1">
        <f t="array" ref="K50">_xlfn.XLOOKUP($K$6, 'Metric Categories 1-14'!$B$7:$FM$7, _xlfn.XLOOKUP(A50, 'Metric Categories 1-14'!$A$8:$A$57, 'Metric Categories 1-14'!$B$8:$FM$57))</f>
        <v>2</v>
      </c>
      <c r="L50" s="20" cm="1">
        <f t="array" ref="L50">_xlfn.XLOOKUP($L$6, '15. Workforce Calcs'!$B$8:$BG$8, _xlfn.XLOOKUP(A50, '15. Workforce Calcs'!$A$10:$A$59, '15. Workforce Calcs'!$B$10:$BG$59))</f>
        <v>2</v>
      </c>
      <c r="M50" s="20" cm="1">
        <f t="array" ref="M50">_xlfn.XLOOKUP($M$6, 'Metric Categories 1-14'!$B$7:$FM$7, _xlfn.XLOOKUP(A50, 'Metric Categories 1-14'!$A$8:$A$57, 'Metric Categories 1-14'!$B$8:$FM$57))</f>
        <v>2</v>
      </c>
      <c r="N50" s="20" cm="1">
        <f t="array" ref="N50">_xlfn.XLOOKUP($N$6, '16. Existing HQs and Projects'!$B$8:$Q$8, _xlfn.XLOOKUP(A50,'16. Existing HQs and Projects'!$A$9:$A$58, '16. Existing HQs and Projects'!$B$9:$Q$58))</f>
        <v>1</v>
      </c>
      <c r="O50" s="37">
        <f t="shared" si="1"/>
        <v>0</v>
      </c>
      <c r="P50" s="37" cm="1">
        <f t="array" ref="P50">_xlfn.IFS(O50=0, 1, O50&gt;$O$59, 3, O50=$O$59, 3, O50&lt;$O$59, 2)</f>
        <v>1</v>
      </c>
      <c r="Q50" s="13"/>
    </row>
    <row r="51" spans="1:17" ht="15.95" customHeight="1">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20" cm="1">
        <f t="array" ref="E51">_xlfn.XLOOKUP($E$6, 'Metric Categories 1-14'!$B$7:$FM$7, _xlfn.XLOOKUP(A51, 'Metric Categories 1-14'!$A$8:$A$57, 'Metric Categories 1-14'!$B$8:$FM$57))</f>
        <v>1.4000000000000001</v>
      </c>
      <c r="F51" s="35">
        <f t="shared" si="0"/>
        <v>0</v>
      </c>
      <c r="G51" s="36" cm="1">
        <f t="array" ref="G51">_xlfn.IFS(F51=0, 1, F51&lt;$F$59, 2, F51&gt;$F$59, 3)</f>
        <v>1</v>
      </c>
      <c r="H51" s="20" cm="1">
        <f t="array" ref="H51">_xlfn.XLOOKUP($H$6, 'Metric Categories 1-14'!$B$7:$FM$7, _xlfn.XLOOKUP(A51, 'Metric Categories 1-14'!$A$8:$A$57, 'Metric Categories 1-14'!$B$8:$FM$57))</f>
        <v>0</v>
      </c>
      <c r="I51" s="20" cm="1">
        <f t="array" ref="I51">_xlfn.XLOOKUP($I$6, 'Metric Categories 1-14'!$B$7:$FM$7, _xlfn.XLOOKUP(A51, 'Metric Categories 1-14'!$A$8:$A$57, 'Metric Categories 1-14'!$B$8:$FM$57))</f>
        <v>1</v>
      </c>
      <c r="J51" s="20" cm="1">
        <f t="array" ref="J51">_xlfn.XLOOKUP($J$6, 'Metric Categories 1-14'!$B$7:$FM$7, _xlfn.XLOOKUP(A51, 'Metric Categories 1-14'!$A$8:$A$57, 'Metric Categories 1-14'!$B$8:$FM$57))</f>
        <v>1.75</v>
      </c>
      <c r="K51" s="20" cm="1">
        <f t="array" ref="K51">_xlfn.XLOOKUP($K$6, 'Metric Categories 1-14'!$B$7:$FM$7, _xlfn.XLOOKUP(A51, 'Metric Categories 1-14'!$A$8:$A$57, 'Metric Categories 1-14'!$B$8:$FM$57))</f>
        <v>1.9000000000000004</v>
      </c>
      <c r="L51" s="20" cm="1">
        <f t="array" ref="L51">_xlfn.XLOOKUP($L$6, '15. Workforce Calcs'!$B$8:$BG$8, _xlfn.XLOOKUP(A51, '15. Workforce Calcs'!$A$10:$A$59, '15. Workforce Calcs'!$B$10:$BG$59))</f>
        <v>1</v>
      </c>
      <c r="M51" s="20" cm="1">
        <f t="array" ref="M51">_xlfn.XLOOKUP($M$6, 'Metric Categories 1-14'!$B$7:$FM$7, _xlfn.XLOOKUP(A51, 'Metric Categories 1-14'!$A$8:$A$57, 'Metric Categories 1-14'!$B$8:$FM$57))</f>
        <v>2</v>
      </c>
      <c r="N51" s="20" cm="1">
        <f t="array" ref="N51">_xlfn.XLOOKUP($N$6, '16. Existing HQs and Projects'!$B$8:$Q$8, _xlfn.XLOOKUP(A51,'16. Existing HQs and Projects'!$A$9:$A$58, '16. Existing HQs and Projects'!$B$9:$Q$58))</f>
        <v>1</v>
      </c>
      <c r="O51" s="37">
        <f t="shared" si="1"/>
        <v>0</v>
      </c>
      <c r="P51" s="37" cm="1">
        <f t="array" ref="P51">_xlfn.IFS(O51=0, 1, O51&gt;$O$59, 3, O51=$O$59, 3, O51&lt;$O$59, 2)</f>
        <v>1</v>
      </c>
      <c r="Q51" s="13"/>
    </row>
    <row r="52" spans="1:17" ht="15.95" customHeight="1">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20" cm="1">
        <f t="array" ref="E52">_xlfn.XLOOKUP($E$6, 'Metric Categories 1-14'!$B$7:$FM$7, _xlfn.XLOOKUP(A52, 'Metric Categories 1-14'!$A$8:$A$57, 'Metric Categories 1-14'!$B$8:$FM$57))</f>
        <v>1.6</v>
      </c>
      <c r="F52" s="35">
        <f t="shared" si="0"/>
        <v>1.8199999999999998</v>
      </c>
      <c r="G52" s="36" cm="1">
        <f t="array" ref="G52">_xlfn.IFS(F52=0, 1, F52&lt;$F$59, 2, F52&gt;$F$59, 3)</f>
        <v>3</v>
      </c>
      <c r="H52" s="20" cm="1">
        <f t="array" ref="H52">_xlfn.XLOOKUP($H$6, 'Metric Categories 1-14'!$B$7:$FM$7, _xlfn.XLOOKUP(A52, 'Metric Categories 1-14'!$A$8:$A$57, 'Metric Categories 1-14'!$B$8:$FM$57))</f>
        <v>2</v>
      </c>
      <c r="I52" s="20" cm="1">
        <f t="array" ref="I52">_xlfn.XLOOKUP($I$6, 'Metric Categories 1-14'!$B$7:$FM$7, _xlfn.XLOOKUP(A52, 'Metric Categories 1-14'!$A$8:$A$57, 'Metric Categories 1-14'!$B$8:$FM$57))</f>
        <v>1</v>
      </c>
      <c r="J52" s="20" cm="1">
        <f t="array" ref="J52">_xlfn.XLOOKUP($J$6, 'Metric Categories 1-14'!$B$7:$FM$7, _xlfn.XLOOKUP(A52, 'Metric Categories 1-14'!$A$8:$A$57, 'Metric Categories 1-14'!$B$8:$FM$57))</f>
        <v>2</v>
      </c>
      <c r="K52" s="20" cm="1">
        <f t="array" ref="K52">_xlfn.XLOOKUP($K$6, 'Metric Categories 1-14'!$B$7:$FM$7, _xlfn.XLOOKUP(A52, 'Metric Categories 1-14'!$A$8:$A$57, 'Metric Categories 1-14'!$B$8:$FM$57))</f>
        <v>1.7</v>
      </c>
      <c r="L52" s="20" cm="1">
        <f t="array" ref="L52">_xlfn.XLOOKUP($L$6, '15. Workforce Calcs'!$B$8:$BG$8, _xlfn.XLOOKUP(A52, '15. Workforce Calcs'!$A$10:$A$59, '15. Workforce Calcs'!$B$10:$BG$59))</f>
        <v>2</v>
      </c>
      <c r="M52" s="20" cm="1">
        <f t="array" ref="M52">_xlfn.XLOOKUP($M$6, 'Metric Categories 1-14'!$B$7:$FM$7, _xlfn.XLOOKUP(A52, 'Metric Categories 1-14'!$A$8:$A$57, 'Metric Categories 1-14'!$B$8:$FM$57))</f>
        <v>2</v>
      </c>
      <c r="N52" s="20" cm="1">
        <f t="array" ref="N52">_xlfn.XLOOKUP($N$6, '16. Existing HQs and Projects'!$B$8:$Q$8, _xlfn.XLOOKUP(A52,'16. Existing HQs and Projects'!$A$9:$A$58, '16. Existing HQs and Projects'!$B$9:$Q$58))</f>
        <v>3</v>
      </c>
      <c r="O52" s="37">
        <f t="shared" si="1"/>
        <v>1.8399999999999999</v>
      </c>
      <c r="P52" s="37" cm="1">
        <f t="array" ref="P52">_xlfn.IFS(O52=0, 1, O52&gt;$O$59, 3, O52=$O$59, 3, O52&lt;$O$59, 2)</f>
        <v>3</v>
      </c>
      <c r="Q52" s="13"/>
    </row>
    <row r="53" spans="1:17" ht="15.95" customHeight="1">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20" cm="1">
        <f t="array" ref="E53">_xlfn.XLOOKUP($E$6, 'Metric Categories 1-14'!$B$7:$FM$7, _xlfn.XLOOKUP(A53, 'Metric Categories 1-14'!$A$8:$A$57, 'Metric Categories 1-14'!$B$8:$FM$57))</f>
        <v>1.8000000000000003</v>
      </c>
      <c r="F53" s="35">
        <f t="shared" si="0"/>
        <v>2.2200000000000002</v>
      </c>
      <c r="G53" s="36" cm="1">
        <f t="array" ref="G53">_xlfn.IFS(F53=0, 1, F53&lt;$F$59, 2, F53&gt;$F$59, 3)</f>
        <v>3</v>
      </c>
      <c r="H53" s="20" cm="1">
        <f t="array" ref="H53">_xlfn.XLOOKUP($H$6, 'Metric Categories 1-14'!$B$7:$FM$7, _xlfn.XLOOKUP(A53, 'Metric Categories 1-14'!$A$8:$A$57, 'Metric Categories 1-14'!$B$8:$FM$57))</f>
        <v>2.25</v>
      </c>
      <c r="I53" s="20" cm="1">
        <f t="array" ref="I53">_xlfn.XLOOKUP($I$6, 'Metric Categories 1-14'!$B$7:$FM$7, _xlfn.XLOOKUP(A53, 'Metric Categories 1-14'!$A$8:$A$57, 'Metric Categories 1-14'!$B$8:$FM$57))</f>
        <v>1.2000000000000002</v>
      </c>
      <c r="J53" s="20" cm="1">
        <f t="array" ref="J53">_xlfn.XLOOKUP($J$6, 'Metric Categories 1-14'!$B$7:$FM$7, _xlfn.XLOOKUP(A53, 'Metric Categories 1-14'!$A$8:$A$57, 'Metric Categories 1-14'!$B$8:$FM$57))</f>
        <v>3</v>
      </c>
      <c r="K53" s="20" cm="1">
        <f t="array" ref="K53">_xlfn.XLOOKUP($K$6, 'Metric Categories 1-14'!$B$7:$FM$7, _xlfn.XLOOKUP(A53, 'Metric Categories 1-14'!$A$8:$A$57, 'Metric Categories 1-14'!$B$8:$FM$57))</f>
        <v>2.7</v>
      </c>
      <c r="L53" s="20" cm="1">
        <f t="array" ref="L53">_xlfn.XLOOKUP($L$6, '15. Workforce Calcs'!$B$8:$BG$8, _xlfn.XLOOKUP(A53, '15. Workforce Calcs'!$A$10:$A$59, '15. Workforce Calcs'!$B$10:$BG$59))</f>
        <v>2</v>
      </c>
      <c r="M53" s="20" cm="1">
        <f t="array" ref="M53">_xlfn.XLOOKUP($M$6, 'Metric Categories 1-14'!$B$7:$FM$7, _xlfn.XLOOKUP(A53, 'Metric Categories 1-14'!$A$8:$A$57, 'Metric Categories 1-14'!$B$8:$FM$57))</f>
        <v>2</v>
      </c>
      <c r="N53" s="20" cm="1">
        <f t="array" ref="N53">_xlfn.XLOOKUP($N$6, '16. Existing HQs and Projects'!$B$8:$Q$8, _xlfn.XLOOKUP(A53,'16. Existing HQs and Projects'!$A$9:$A$58, '16. Existing HQs and Projects'!$B$9:$Q$58))</f>
        <v>3</v>
      </c>
      <c r="O53" s="37">
        <f t="shared" si="1"/>
        <v>2.3199999999999998</v>
      </c>
      <c r="P53" s="37" cm="1">
        <f t="array" ref="P53">_xlfn.IFS(O53=0, 1, O53&gt;$O$59, 3, O53=$O$59, 3, O53&lt;$O$59, 2)</f>
        <v>3</v>
      </c>
      <c r="Q53" s="13"/>
    </row>
    <row r="54" spans="1:17" ht="15.95" customHeight="1">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20" cm="1">
        <f t="array" ref="E54">_xlfn.XLOOKUP($E$6, 'Metric Categories 1-14'!$B$7:$FM$7, _xlfn.XLOOKUP(A54, 'Metric Categories 1-14'!$A$8:$A$57, 'Metric Categories 1-14'!$B$8:$FM$57))</f>
        <v>1.9</v>
      </c>
      <c r="F54" s="35">
        <f t="shared" si="0"/>
        <v>0</v>
      </c>
      <c r="G54" s="36" cm="1">
        <f t="array" ref="G54">_xlfn.IFS(F54=0, 1, F54&lt;$F$59, 2, F54&gt;$F$59, 3)</f>
        <v>1</v>
      </c>
      <c r="H54" s="20" cm="1">
        <f t="array" ref="H54">_xlfn.XLOOKUP($H$6, 'Metric Categories 1-14'!$B$7:$FM$7, _xlfn.XLOOKUP(A54, 'Metric Categories 1-14'!$A$8:$A$57, 'Metric Categories 1-14'!$B$8:$FM$57))</f>
        <v>0</v>
      </c>
      <c r="I54" s="20" cm="1">
        <f t="array" ref="I54">_xlfn.XLOOKUP($I$6, 'Metric Categories 1-14'!$B$7:$FM$7, _xlfn.XLOOKUP(A54, 'Metric Categories 1-14'!$A$8:$A$57, 'Metric Categories 1-14'!$B$8:$FM$57))</f>
        <v>1.4</v>
      </c>
      <c r="J54" s="20" cm="1">
        <f t="array" ref="J54">_xlfn.XLOOKUP($J$6, 'Metric Categories 1-14'!$B$7:$FM$7, _xlfn.XLOOKUP(A54, 'Metric Categories 1-14'!$A$8:$A$57, 'Metric Categories 1-14'!$B$8:$FM$57))</f>
        <v>1.5</v>
      </c>
      <c r="K54" s="20" cm="1">
        <f t="array" ref="K54">_xlfn.XLOOKUP($K$6, 'Metric Categories 1-14'!$B$7:$FM$7, _xlfn.XLOOKUP(A54, 'Metric Categories 1-14'!$A$8:$A$57, 'Metric Categories 1-14'!$B$8:$FM$57))</f>
        <v>1.2000000000000002</v>
      </c>
      <c r="L54" s="20" cm="1">
        <f t="array" ref="L54">_xlfn.XLOOKUP($L$6, '15. Workforce Calcs'!$B$8:$BG$8, _xlfn.XLOOKUP(A54, '15. Workforce Calcs'!$A$10:$A$59, '15. Workforce Calcs'!$B$10:$BG$59))</f>
        <v>1</v>
      </c>
      <c r="M54" s="20" cm="1">
        <f t="array" ref="M54">_xlfn.XLOOKUP($M$6, 'Metric Categories 1-14'!$B$7:$FM$7, _xlfn.XLOOKUP(A54, 'Metric Categories 1-14'!$A$8:$A$57, 'Metric Categories 1-14'!$B$8:$FM$57))</f>
        <v>2</v>
      </c>
      <c r="N54" s="20" cm="1">
        <f t="array" ref="N54">_xlfn.XLOOKUP($N$6, '16. Existing HQs and Projects'!$B$8:$Q$8, _xlfn.XLOOKUP(A54,'16. Existing HQs and Projects'!$A$9:$A$58, '16. Existing HQs and Projects'!$B$9:$Q$58))</f>
        <v>1</v>
      </c>
      <c r="O54" s="37">
        <f t="shared" si="1"/>
        <v>0</v>
      </c>
      <c r="P54" s="37" cm="1">
        <f t="array" ref="P54">_xlfn.IFS(O54=0, 1, O54&gt;$O$59, 3, O54=$O$59, 3, O54&lt;$O$59, 2)</f>
        <v>1</v>
      </c>
      <c r="Q54" s="13"/>
    </row>
    <row r="55" spans="1:17" ht="15.95" customHeight="1">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20" cm="1">
        <f t="array" ref="E55">_xlfn.XLOOKUP($E$6, 'Metric Categories 1-14'!$B$7:$FM$7, _xlfn.XLOOKUP(A55, 'Metric Categories 1-14'!$A$8:$A$57, 'Metric Categories 1-14'!$B$8:$FM$57))</f>
        <v>1.2000000000000002</v>
      </c>
      <c r="F55" s="35">
        <f t="shared" si="0"/>
        <v>0</v>
      </c>
      <c r="G55" s="36" cm="1">
        <f t="array" ref="G55">_xlfn.IFS(F55=0, 1, F55&lt;$F$59, 2, F55&gt;$F$59, 3)</f>
        <v>1</v>
      </c>
      <c r="H55" s="20" cm="1">
        <f t="array" ref="H55">_xlfn.XLOOKUP($H$6, 'Metric Categories 1-14'!$B$7:$FM$7, _xlfn.XLOOKUP(A55, 'Metric Categories 1-14'!$A$8:$A$57, 'Metric Categories 1-14'!$B$8:$FM$57))</f>
        <v>0</v>
      </c>
      <c r="I55" s="20" cm="1">
        <f t="array" ref="I55">_xlfn.XLOOKUP($I$6, 'Metric Categories 1-14'!$B$7:$FM$7, _xlfn.XLOOKUP(A55, 'Metric Categories 1-14'!$A$8:$A$57, 'Metric Categories 1-14'!$B$8:$FM$57))</f>
        <v>1</v>
      </c>
      <c r="J55" s="20" cm="1">
        <f t="array" ref="J55">_xlfn.XLOOKUP($J$6, 'Metric Categories 1-14'!$B$7:$FM$7, _xlfn.XLOOKUP(A55, 'Metric Categories 1-14'!$A$8:$A$57, 'Metric Categories 1-14'!$B$8:$FM$57))</f>
        <v>2</v>
      </c>
      <c r="K55" s="20" cm="1">
        <f t="array" ref="K55">_xlfn.XLOOKUP($K$6, 'Metric Categories 1-14'!$B$7:$FM$7, _xlfn.XLOOKUP(A55, 'Metric Categories 1-14'!$A$8:$A$57, 'Metric Categories 1-14'!$B$8:$FM$57))</f>
        <v>1.2</v>
      </c>
      <c r="L55" s="20" cm="1">
        <f t="array" ref="L55">_xlfn.XLOOKUP($L$6, '15. Workforce Calcs'!$B$8:$BG$8, _xlfn.XLOOKUP(A55, '15. Workforce Calcs'!$A$10:$A$59, '15. Workforce Calcs'!$B$10:$BG$59))</f>
        <v>3</v>
      </c>
      <c r="M55" s="20" cm="1">
        <f t="array" ref="M55">_xlfn.XLOOKUP($M$6, 'Metric Categories 1-14'!$B$7:$FM$7, _xlfn.XLOOKUP(A55, 'Metric Categories 1-14'!$A$8:$A$57, 'Metric Categories 1-14'!$B$8:$FM$57))</f>
        <v>1</v>
      </c>
      <c r="N55" s="20" cm="1">
        <f t="array" ref="N55">_xlfn.XLOOKUP($N$6, '16. Existing HQs and Projects'!$B$8:$Q$8, _xlfn.XLOOKUP(A55,'16. Existing HQs and Projects'!$A$9:$A$58, '16. Existing HQs and Projects'!$B$9:$Q$58))</f>
        <v>1</v>
      </c>
      <c r="O55" s="37">
        <f t="shared" si="1"/>
        <v>0</v>
      </c>
      <c r="P55" s="37" cm="1">
        <f t="array" ref="P55">_xlfn.IFS(O55=0, 1, O55&gt;$O$59, 3, O55=$O$59, 3, O55&lt;$O$59, 2)</f>
        <v>1</v>
      </c>
      <c r="Q55" s="13"/>
    </row>
    <row r="56" spans="1:17" ht="15.95" customHeight="1">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20" cm="1">
        <f t="array" ref="E56">_xlfn.XLOOKUP($E$6, 'Metric Categories 1-14'!$B$7:$FM$7, _xlfn.XLOOKUP(A56, 'Metric Categories 1-14'!$A$8:$A$57, 'Metric Categories 1-14'!$B$8:$FM$57))</f>
        <v>2.6000000000000005</v>
      </c>
      <c r="F56" s="35">
        <f t="shared" si="0"/>
        <v>0</v>
      </c>
      <c r="G56" s="36" cm="1">
        <f t="array" ref="G56">_xlfn.IFS(F56=0, 1, F56&lt;$F$59, 2, F56&gt;$F$59, 3)</f>
        <v>1</v>
      </c>
      <c r="H56" s="20" cm="1">
        <f t="array" ref="H56">_xlfn.XLOOKUP($H$6, 'Metric Categories 1-14'!$B$7:$FM$7, _xlfn.XLOOKUP(A56, 'Metric Categories 1-14'!$A$8:$A$57, 'Metric Categories 1-14'!$B$8:$FM$57))</f>
        <v>0</v>
      </c>
      <c r="I56" s="20" cm="1">
        <f t="array" ref="I56">_xlfn.XLOOKUP($I$6, 'Metric Categories 1-14'!$B$7:$FM$7, _xlfn.XLOOKUP(A56, 'Metric Categories 1-14'!$A$8:$A$57, 'Metric Categories 1-14'!$B$8:$FM$57))</f>
        <v>2.2000000000000002</v>
      </c>
      <c r="J56" s="20" cm="1">
        <f t="array" ref="J56">_xlfn.XLOOKUP($J$6, 'Metric Categories 1-14'!$B$7:$FM$7, _xlfn.XLOOKUP(A56, 'Metric Categories 1-14'!$A$8:$A$57, 'Metric Categories 1-14'!$B$8:$FM$57))</f>
        <v>2.5</v>
      </c>
      <c r="K56" s="20" cm="1">
        <f t="array" ref="K56">_xlfn.XLOOKUP($K$6, 'Metric Categories 1-14'!$B$7:$FM$7, _xlfn.XLOOKUP(A56, 'Metric Categories 1-14'!$A$8:$A$57, 'Metric Categories 1-14'!$B$8:$FM$57))</f>
        <v>2.8</v>
      </c>
      <c r="L56" s="20" cm="1">
        <f t="array" ref="L56">_xlfn.XLOOKUP($L$6, '15. Workforce Calcs'!$B$8:$BG$8, _xlfn.XLOOKUP(A56, '15. Workforce Calcs'!$A$10:$A$59, '15. Workforce Calcs'!$B$10:$BG$59))</f>
        <v>1</v>
      </c>
      <c r="M56" s="20" cm="1">
        <f t="array" ref="M56">_xlfn.XLOOKUP($M$6, 'Metric Categories 1-14'!$B$7:$FM$7, _xlfn.XLOOKUP(A56, 'Metric Categories 1-14'!$A$8:$A$57, 'Metric Categories 1-14'!$B$8:$FM$57))</f>
        <v>1</v>
      </c>
      <c r="N56" s="20" cm="1">
        <f t="array" ref="N56">_xlfn.XLOOKUP($N$6, '16. Existing HQs and Projects'!$B$8:$Q$8, _xlfn.XLOOKUP(A56,'16. Existing HQs and Projects'!$A$9:$A$58, '16. Existing HQs and Projects'!$B$9:$Q$58))</f>
        <v>1</v>
      </c>
      <c r="O56" s="37">
        <f t="shared" si="1"/>
        <v>0</v>
      </c>
      <c r="P56" s="37" cm="1">
        <f t="array" ref="P56">_xlfn.IFS(O56=0, 1, O56&gt;$O$59, 3, O56=$O$59, 3, O56&lt;$O$59, 2)</f>
        <v>1</v>
      </c>
      <c r="Q56" s="13"/>
    </row>
    <row r="57" spans="1:17" ht="15.95" customHeight="1">
      <c r="A57" s="16"/>
      <c r="B57" s="13"/>
      <c r="C57" s="13"/>
      <c r="D57" s="13"/>
      <c r="E57" s="13"/>
      <c r="H57" s="13"/>
      <c r="I57" s="13"/>
      <c r="J57" s="13"/>
      <c r="K57" s="13"/>
      <c r="L57" s="13"/>
      <c r="M57" s="13"/>
      <c r="N57" s="13"/>
      <c r="Q57" s="13"/>
    </row>
    <row r="58" spans="1:17" ht="15.95" customHeight="1">
      <c r="A58" s="16"/>
      <c r="B58" s="13"/>
      <c r="C58" s="13"/>
      <c r="D58" s="13"/>
      <c r="E58" s="13"/>
      <c r="F58" s="35">
        <f>PERCENTILE(F7:F56, 1/3)</f>
        <v>0</v>
      </c>
      <c r="H58" s="13"/>
      <c r="I58" s="13"/>
      <c r="J58" s="13"/>
      <c r="K58" s="13"/>
      <c r="L58" s="13"/>
      <c r="M58" s="13"/>
      <c r="N58" s="13"/>
      <c r="O58" s="37">
        <v>0</v>
      </c>
      <c r="Q58" s="13"/>
    </row>
    <row r="59" spans="1:17" ht="15.95" customHeight="1">
      <c r="A59" s="16"/>
      <c r="B59" s="13"/>
      <c r="C59" s="13"/>
      <c r="D59" s="13"/>
      <c r="E59" s="13"/>
      <c r="F59" s="35">
        <f>PERCENTILE(F7:F56, 2/3)</f>
        <v>1.3883333333333334</v>
      </c>
      <c r="H59" s="13"/>
      <c r="I59" s="13"/>
      <c r="J59" s="13"/>
      <c r="K59" s="13"/>
      <c r="L59" s="13"/>
      <c r="M59" s="13"/>
      <c r="N59" s="13"/>
      <c r="O59" s="37">
        <v>1.7713333333333332</v>
      </c>
      <c r="Q59" s="13"/>
    </row>
    <row r="60" spans="1:17" ht="15.95" customHeight="1">
      <c r="A60" s="16"/>
      <c r="B60" s="13"/>
      <c r="C60" s="13"/>
      <c r="D60" s="13"/>
      <c r="E60" s="13"/>
      <c r="H60" s="13"/>
      <c r="I60" s="13"/>
      <c r="J60" s="13"/>
      <c r="K60" s="13"/>
      <c r="L60" s="13"/>
      <c r="M60" s="13"/>
      <c r="N60" s="13"/>
      <c r="Q60" s="13"/>
    </row>
    <row r="61" spans="1:17" ht="15.95" customHeight="1">
      <c r="A61" s="16"/>
      <c r="B61" s="13"/>
      <c r="C61" s="13"/>
      <c r="D61" s="13"/>
      <c r="E61" s="13"/>
      <c r="H61" s="13"/>
      <c r="I61" s="13"/>
      <c r="J61" s="13"/>
      <c r="K61" s="13"/>
      <c r="L61" s="13"/>
      <c r="M61" s="13"/>
      <c r="N61" s="13"/>
      <c r="Q61" s="13"/>
    </row>
    <row r="62" spans="1:17" ht="15.95" customHeight="1">
      <c r="A62" s="16"/>
      <c r="B62" s="13"/>
      <c r="C62" s="13"/>
      <c r="D62" s="13"/>
      <c r="E62" s="13"/>
      <c r="H62" s="13"/>
      <c r="I62" s="13"/>
      <c r="J62" s="13"/>
      <c r="K62" s="13"/>
      <c r="L62" s="13"/>
      <c r="M62" s="13"/>
      <c r="N62" s="13"/>
      <c r="Q62" s="13"/>
    </row>
    <row r="63" spans="1:17" ht="15.95" customHeight="1">
      <c r="A63" s="16"/>
      <c r="B63" s="13"/>
      <c r="C63" s="13"/>
      <c r="D63" s="13"/>
      <c r="E63" s="13"/>
      <c r="H63" s="13"/>
      <c r="I63" s="13"/>
      <c r="J63" s="13"/>
      <c r="K63" s="13"/>
      <c r="L63" s="13"/>
      <c r="M63" s="13"/>
      <c r="N63" s="13"/>
      <c r="Q63" s="13"/>
    </row>
    <row r="64" spans="1:17" ht="15.95" customHeight="1">
      <c r="A64" s="16"/>
      <c r="B64" s="13"/>
      <c r="C64" s="13"/>
      <c r="D64" s="13"/>
      <c r="E64" s="13"/>
      <c r="H64" s="13"/>
      <c r="I64" s="13"/>
      <c r="J64" s="13"/>
      <c r="K64" s="13"/>
      <c r="L64" s="13"/>
      <c r="M64" s="13"/>
      <c r="N64" s="13"/>
      <c r="Q64" s="13"/>
    </row>
    <row r="65" spans="1:17" ht="15.95" customHeight="1">
      <c r="A65" s="16"/>
      <c r="B65" s="13"/>
      <c r="C65" s="13"/>
      <c r="D65" s="13"/>
      <c r="E65" s="13"/>
      <c r="H65" s="13"/>
      <c r="I65" s="13"/>
      <c r="J65" s="13"/>
      <c r="K65" s="13"/>
      <c r="L65" s="13"/>
      <c r="M65" s="13"/>
      <c r="N65" s="13"/>
      <c r="Q65" s="13"/>
    </row>
    <row r="66" spans="1:17" ht="15.95" customHeight="1">
      <c r="A66" s="16"/>
      <c r="B66" s="13"/>
      <c r="C66" s="13"/>
      <c r="D66" s="13"/>
      <c r="E66" s="13"/>
      <c r="H66" s="13"/>
      <c r="I66" s="13"/>
      <c r="J66" s="13"/>
      <c r="K66" s="13"/>
      <c r="L66" s="13"/>
      <c r="M66" s="13"/>
      <c r="N66" s="13"/>
      <c r="Q66" s="13"/>
    </row>
    <row r="67" spans="1:17" ht="15.95" customHeight="1">
      <c r="A67" s="16"/>
      <c r="B67" s="13"/>
      <c r="C67" s="13"/>
      <c r="D67" s="13"/>
      <c r="E67" s="13"/>
      <c r="H67" s="13"/>
      <c r="I67" s="13"/>
      <c r="J67" s="13"/>
      <c r="K67" s="13"/>
      <c r="L67" s="13"/>
      <c r="M67" s="13"/>
      <c r="N67" s="13"/>
      <c r="Q67" s="13"/>
    </row>
    <row r="68" spans="1:17" ht="15.95" customHeight="1">
      <c r="A68" s="16"/>
      <c r="B68" s="13"/>
      <c r="C68" s="13"/>
      <c r="D68" s="13"/>
      <c r="E68" s="13"/>
      <c r="H68" s="13"/>
      <c r="I68" s="13"/>
      <c r="J68" s="13"/>
      <c r="K68" s="13"/>
      <c r="L68" s="13"/>
      <c r="M68" s="13"/>
      <c r="N68" s="13"/>
      <c r="Q68" s="13"/>
    </row>
    <row r="69" spans="1:17" ht="15.95" customHeight="1">
      <c r="A69" s="16"/>
      <c r="B69" s="13"/>
      <c r="C69" s="13"/>
      <c r="D69" s="13"/>
      <c r="E69" s="13"/>
      <c r="H69" s="13"/>
      <c r="I69" s="13"/>
      <c r="J69" s="13"/>
      <c r="K69" s="13"/>
      <c r="L69" s="13"/>
      <c r="M69" s="13"/>
      <c r="N69" s="13"/>
      <c r="Q69" s="13"/>
    </row>
    <row r="70" spans="1:17" ht="15.95" customHeight="1">
      <c r="A70" s="16"/>
      <c r="B70" s="13"/>
      <c r="C70" s="13"/>
      <c r="D70" s="13"/>
      <c r="E70" s="13"/>
      <c r="H70" s="13"/>
      <c r="I70" s="13"/>
      <c r="J70" s="13"/>
      <c r="K70" s="13"/>
      <c r="L70" s="13"/>
      <c r="M70" s="13"/>
      <c r="N70" s="13"/>
      <c r="Q70" s="13"/>
    </row>
    <row r="71" spans="1:17" ht="15.95" customHeight="1">
      <c r="A71" s="16"/>
      <c r="B71" s="13"/>
      <c r="C71" s="13"/>
      <c r="D71" s="13"/>
      <c r="E71" s="13"/>
      <c r="H71" s="13"/>
      <c r="I71" s="13"/>
      <c r="J71" s="13"/>
      <c r="K71" s="13"/>
      <c r="L71" s="13"/>
      <c r="M71" s="13"/>
      <c r="N71" s="13"/>
      <c r="Q71" s="13"/>
    </row>
    <row r="72" spans="1:17" ht="15.95" customHeight="1">
      <c r="A72" s="16"/>
      <c r="B72" s="13"/>
      <c r="C72" s="13"/>
      <c r="D72" s="13"/>
      <c r="E72" s="13"/>
      <c r="H72" s="13"/>
      <c r="I72" s="13"/>
      <c r="J72" s="13"/>
      <c r="K72" s="13"/>
      <c r="L72" s="13"/>
      <c r="M72" s="13"/>
      <c r="N72" s="13"/>
      <c r="Q72" s="13"/>
    </row>
    <row r="73" spans="1:17" ht="15.95" customHeight="1">
      <c r="A73" s="16"/>
      <c r="B73" s="13"/>
      <c r="C73" s="13"/>
      <c r="D73" s="13"/>
      <c r="E73" s="13"/>
      <c r="H73" s="13"/>
      <c r="I73" s="13"/>
      <c r="J73" s="13"/>
      <c r="K73" s="13"/>
      <c r="L73" s="13"/>
      <c r="M73" s="13"/>
      <c r="N73" s="13"/>
      <c r="Q73" s="13"/>
    </row>
    <row r="74" spans="1:17" ht="15.95" customHeight="1">
      <c r="A74" s="16"/>
      <c r="B74" s="13"/>
      <c r="C74" s="13"/>
      <c r="D74" s="13"/>
      <c r="E74" s="13"/>
      <c r="H74" s="13"/>
      <c r="I74" s="13"/>
      <c r="J74" s="13"/>
      <c r="K74" s="13"/>
      <c r="L74" s="13"/>
      <c r="M74" s="13"/>
      <c r="N74" s="13"/>
      <c r="Q74" s="13"/>
    </row>
    <row r="75" spans="1:17" ht="15.95" customHeight="1">
      <c r="A75" s="16"/>
      <c r="B75" s="13"/>
      <c r="C75" s="13"/>
      <c r="D75" s="13"/>
      <c r="E75" s="13"/>
      <c r="H75" s="13"/>
      <c r="I75" s="13"/>
      <c r="J75" s="13"/>
      <c r="K75" s="13"/>
      <c r="L75" s="13"/>
      <c r="M75" s="13"/>
      <c r="N75" s="13"/>
      <c r="Q75" s="13"/>
    </row>
    <row r="76" spans="1:17" ht="15.95" customHeight="1">
      <c r="A76" s="16"/>
      <c r="B76" s="13"/>
      <c r="C76" s="13"/>
      <c r="D76" s="13"/>
      <c r="E76" s="13"/>
      <c r="H76" s="13"/>
      <c r="I76" s="13"/>
      <c r="J76" s="13"/>
      <c r="K76" s="13"/>
      <c r="L76" s="13"/>
      <c r="M76" s="13"/>
      <c r="N76" s="13"/>
      <c r="Q76" s="13"/>
    </row>
    <row r="77" spans="1:17" ht="15.95" customHeight="1">
      <c r="A77" s="16"/>
      <c r="B77" s="13"/>
      <c r="C77" s="13"/>
      <c r="D77" s="13"/>
      <c r="E77" s="13"/>
      <c r="H77" s="13"/>
      <c r="I77" s="13"/>
      <c r="J77" s="13"/>
      <c r="K77" s="13"/>
      <c r="L77" s="13"/>
      <c r="M77" s="13"/>
      <c r="N77" s="13"/>
      <c r="Q77" s="13"/>
    </row>
  </sheetData>
  <mergeCells count="2">
    <mergeCell ref="B4:F4"/>
    <mergeCell ref="H4:N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A309-41AE-6443-9E7B-21185B219917}">
  <sheetPr>
    <tabColor rgb="FF7F7F7F"/>
  </sheetPr>
  <dimension ref="A1:AH99"/>
  <sheetViews>
    <sheetView workbookViewId="0">
      <selection activeCell="D1" sqref="D1"/>
    </sheetView>
  </sheetViews>
  <sheetFormatPr defaultColWidth="0" defaultRowHeight="15.95" customHeight="1"/>
  <cols>
    <col min="1" max="16" width="15.85546875" customWidth="1"/>
    <col min="17" max="34" width="0" hidden="1" customWidth="1"/>
    <col min="35" max="16384" width="10.85546875" hidden="1"/>
  </cols>
  <sheetData>
    <row r="1" spans="1:16" ht="24" customHeight="1">
      <c r="A1" s="4"/>
      <c r="B1" s="4"/>
      <c r="C1" s="2" t="s">
        <v>0</v>
      </c>
      <c r="D1" s="2"/>
      <c r="E1" s="4"/>
      <c r="F1" s="297"/>
      <c r="G1" s="4"/>
      <c r="H1" s="4"/>
      <c r="I1" s="4"/>
      <c r="J1" s="4"/>
      <c r="K1" s="4"/>
      <c r="L1" s="4"/>
      <c r="M1" s="4"/>
      <c r="N1" s="4"/>
      <c r="O1" s="4"/>
      <c r="P1" s="4"/>
    </row>
    <row r="2" spans="1:16" ht="27" customHeight="1" thickBot="1">
      <c r="A2" s="5"/>
      <c r="B2" s="5"/>
      <c r="C2" s="307" t="s">
        <v>706</v>
      </c>
      <c r="D2" s="3"/>
      <c r="E2" s="5"/>
      <c r="F2" s="298"/>
      <c r="G2" s="5"/>
      <c r="H2" s="5"/>
      <c r="I2" s="5"/>
      <c r="J2" s="5"/>
      <c r="K2" s="5"/>
      <c r="L2" s="5"/>
      <c r="M2" s="5"/>
      <c r="N2" s="5"/>
      <c r="O2" s="5"/>
      <c r="P2" s="5"/>
    </row>
    <row r="3" spans="1:16" ht="15.95" customHeight="1" thickTop="1">
      <c r="A3" s="6"/>
      <c r="B3" s="7"/>
      <c r="C3" s="6"/>
      <c r="D3" s="6"/>
      <c r="E3" s="6"/>
      <c r="F3" s="19"/>
      <c r="G3" s="6"/>
      <c r="H3" s="6"/>
      <c r="I3" s="6"/>
      <c r="J3" s="6"/>
      <c r="K3" s="6"/>
      <c r="L3" s="6"/>
      <c r="M3" s="6"/>
      <c r="N3" s="6"/>
      <c r="O3" s="6"/>
      <c r="P3" s="6"/>
    </row>
    <row r="4" spans="1:16" ht="15.95" customHeight="1">
      <c r="A4" s="21"/>
      <c r="B4" s="576" t="s">
        <v>707</v>
      </c>
      <c r="C4" s="577"/>
      <c r="D4" s="577"/>
      <c r="E4" s="577"/>
      <c r="F4" s="299"/>
      <c r="G4" s="578" t="s">
        <v>708</v>
      </c>
      <c r="H4" s="578"/>
      <c r="I4" s="578"/>
      <c r="J4" s="578"/>
      <c r="K4" s="579"/>
      <c r="L4" s="23"/>
      <c r="M4" s="23"/>
      <c r="N4" s="13"/>
      <c r="O4" s="13"/>
      <c r="P4" s="13"/>
    </row>
    <row r="5" spans="1:16" ht="15.95" customHeight="1">
      <c r="A5" s="21" t="s">
        <v>440</v>
      </c>
      <c r="B5" s="26">
        <v>0.35</v>
      </c>
      <c r="C5" s="26">
        <v>0.35</v>
      </c>
      <c r="D5" s="26">
        <v>0.3</v>
      </c>
      <c r="E5" s="26">
        <f>SUM(B5:D5)</f>
        <v>1</v>
      </c>
      <c r="F5" s="300"/>
      <c r="G5" s="28">
        <v>0.4</v>
      </c>
      <c r="H5" s="28">
        <v>0.25</v>
      </c>
      <c r="I5" s="28">
        <v>0.15</v>
      </c>
      <c r="J5" s="28">
        <v>0.15</v>
      </c>
      <c r="K5" s="28">
        <v>0.05</v>
      </c>
      <c r="L5" s="29">
        <f>SUM(G5:K5)</f>
        <v>1</v>
      </c>
      <c r="M5" s="23"/>
    </row>
    <row r="6" spans="1:16" ht="59.1" customHeight="1" thickBot="1">
      <c r="A6" s="30" t="s">
        <v>75</v>
      </c>
      <c r="B6" s="15" t="s">
        <v>82</v>
      </c>
      <c r="C6" s="15" t="s">
        <v>84</v>
      </c>
      <c r="D6" s="15" t="s">
        <v>86</v>
      </c>
      <c r="E6" s="31" t="s">
        <v>701</v>
      </c>
      <c r="F6" s="32" t="s">
        <v>702</v>
      </c>
      <c r="G6" s="15" t="s">
        <v>105</v>
      </c>
      <c r="H6" s="15" t="s">
        <v>111</v>
      </c>
      <c r="I6" s="15" t="s">
        <v>122</v>
      </c>
      <c r="J6" s="15" t="s">
        <v>657</v>
      </c>
      <c r="K6" s="15" t="s">
        <v>686</v>
      </c>
      <c r="L6" s="33" t="s">
        <v>703</v>
      </c>
      <c r="M6" s="33" t="s">
        <v>704</v>
      </c>
    </row>
    <row r="7" spans="1:16" ht="15.95" customHeight="1">
      <c r="A7" s="16" t="s">
        <v>81</v>
      </c>
      <c r="B7" s="20" cm="1">
        <f t="array" ref="B7">_xlfn.XLOOKUP($B$6, 'Metric Categories 1-14'!$B$7:$FM$7, _xlfn.XLOOKUP(A7, 'Metric Categories 1-14'!$A$8:$A$57, 'Metric Categories 1-14'!$B$8:$FM$57))</f>
        <v>0.99999999999999989</v>
      </c>
      <c r="C7" s="20" cm="1">
        <f t="array" ref="C7">_xlfn.XLOOKUP($C$6, 'Metric Categories 1-14'!$B$7:$FM$7, _xlfn.XLOOKUP(A7, 'Metric Categories 1-14'!$A$8:$A$57, 'Metric Categories 1-14'!$B$8:$FM$57))</f>
        <v>0.99999999999999978</v>
      </c>
      <c r="D7" s="20" cm="1">
        <f t="array" ref="D7">_xlfn.XLOOKUP($D$6, 'Metric Categories 1-14'!$B$7:$FM$7, _xlfn.XLOOKUP(A7, 'Metric Categories 1-14'!$A$8:$A$57, 'Metric Categories 1-14'!$B$8:$FM$57))</f>
        <v>1</v>
      </c>
      <c r="E7" s="35">
        <f t="shared" ref="E7:E37" si="0">IF(G7=0, 0, (SUMPRODUCT($B$5:$D$5, B7:D7)))</f>
        <v>0.99999999999999978</v>
      </c>
      <c r="F7" s="301" cm="1">
        <f t="array" ref="F7">_xlfn.IFS(E7=0, 1, E7&gt;$E$59, 3, E7&lt;$E$59, 2)</f>
        <v>2</v>
      </c>
      <c r="G7" s="20" cm="1">
        <f t="array" ref="G7">_xlfn.XLOOKUP($G$6, 'Metric Categories 1-14'!$B$7:$FM$7, _xlfn.XLOOKUP(A7, 'Metric Categories 1-14'!$A$8:$A$57, 'Metric Categories 1-14'!$B$8:$FM$57))</f>
        <v>2</v>
      </c>
      <c r="H7" s="20" cm="1">
        <f t="array" ref="H7">_xlfn.XLOOKUP($H$6, 'Metric Categories 1-14'!$B$7:$FM$7, _xlfn.XLOOKUP(A7, 'Metric Categories 1-14'!$A$8:$A$57, 'Metric Categories 1-14'!$B$8:$FM$57))</f>
        <v>1</v>
      </c>
      <c r="I7" s="20" cm="1">
        <f t="array" ref="I7">_xlfn.XLOOKUP($I$6, 'Metric Categories 1-14'!$B$7:$FM$7, _xlfn.XLOOKUP(A7, 'Metric Categories 1-14'!$A$8:$A$57, 'Metric Categories 1-14'!$B$8:$FM$57))</f>
        <v>1</v>
      </c>
      <c r="J7" s="20" cm="1">
        <f t="array" ref="J7">_xlfn.XLOOKUP($J$6, '15. Workforce Calcs'!$B$8:$BG$8, _xlfn.XLOOKUP(A7, '15. Workforce Calcs'!$A$10:$A$59, '15. Workforce Calcs'!$B$10:$BG$59))</f>
        <v>2</v>
      </c>
      <c r="K7" s="20" cm="1">
        <f t="array" ref="K7">_xlfn.XLOOKUP($K$6, '16. Existing HQs and Projects'!$B$8:$Q$8, _xlfn.XLOOKUP(A7,'16. Existing HQs and Projects'!$A$9:$A$58, '16. Existing HQs and Projects'!$B$9:$Q$58))</f>
        <v>1</v>
      </c>
      <c r="L7" s="37">
        <f>IF(G7=0, 0, (SUMPRODUCT($G$5:$K$5, G7:K7)))</f>
        <v>1.55</v>
      </c>
      <c r="M7" s="37" cm="1">
        <f t="array" ref="M7">_xlfn.IFS(L7=0, 1, L7&gt;$L$59, 3, L7=$L$59, 3, L7&lt;$L$59, 2)</f>
        <v>2</v>
      </c>
    </row>
    <row r="8" spans="1:16" ht="15.95" customHeight="1">
      <c r="A8" s="16" t="s">
        <v>83</v>
      </c>
      <c r="B8" s="20" cm="1">
        <f t="array" ref="B8">_xlfn.XLOOKUP($B$6, 'Metric Categories 1-14'!$B$7:$FM$7, _xlfn.XLOOKUP(A8, 'Metric Categories 1-14'!$A$8:$A$57, 'Metric Categories 1-14'!$B$8:$FM$57))</f>
        <v>0.99999999999999989</v>
      </c>
      <c r="C8" s="20" cm="1">
        <f t="array" ref="C8">_xlfn.XLOOKUP($C$6, 'Metric Categories 1-14'!$B$7:$FM$7, _xlfn.XLOOKUP(A8, 'Metric Categories 1-14'!$A$8:$A$57, 'Metric Categories 1-14'!$B$8:$FM$57))</f>
        <v>0.99999999999999978</v>
      </c>
      <c r="D8" s="20" cm="1">
        <f t="array" ref="D8">_xlfn.XLOOKUP($D$6, 'Metric Categories 1-14'!$B$7:$FM$7, _xlfn.XLOOKUP(A8, 'Metric Categories 1-14'!$A$8:$A$57, 'Metric Categories 1-14'!$B$8:$FM$57))</f>
        <v>1</v>
      </c>
      <c r="E8" s="35">
        <f t="shared" si="0"/>
        <v>0.99999999999999978</v>
      </c>
      <c r="F8" s="301" cm="1">
        <f t="array" ref="F8">_xlfn.IFS(E8=0, 1, E8&gt;$E$59, 3, E8&lt;$E$59, 2)</f>
        <v>2</v>
      </c>
      <c r="G8" s="20" cm="1">
        <f t="array" ref="G8">_xlfn.XLOOKUP($G$6, 'Metric Categories 1-14'!$B$7:$FM$7, _xlfn.XLOOKUP(A8, 'Metric Categories 1-14'!$A$8:$A$57, 'Metric Categories 1-14'!$B$8:$FM$57))</f>
        <v>2.75</v>
      </c>
      <c r="H8" s="20" cm="1">
        <f t="array" ref="H8">_xlfn.XLOOKUP($H$6, 'Metric Categories 1-14'!$B$7:$FM$7, _xlfn.XLOOKUP(A8, 'Metric Categories 1-14'!$A$8:$A$57, 'Metric Categories 1-14'!$B$8:$FM$57))</f>
        <v>2.333333333333333</v>
      </c>
      <c r="I8" s="20" cm="1">
        <f t="array" ref="I8">_xlfn.XLOOKUP($I$6, 'Metric Categories 1-14'!$B$7:$FM$7, _xlfn.XLOOKUP(A8, 'Metric Categories 1-14'!$A$8:$A$57, 'Metric Categories 1-14'!$B$8:$FM$57))</f>
        <v>2</v>
      </c>
      <c r="J8" s="20" cm="1">
        <f t="array" ref="J8">_xlfn.XLOOKUP($J$6, '15. Workforce Calcs'!$B$8:$BG$8, _xlfn.XLOOKUP(A8, '15. Workforce Calcs'!$A$10:$A$59, '15. Workforce Calcs'!$B$10:$BG$59))</f>
        <v>2</v>
      </c>
      <c r="K8" s="20" cm="1">
        <f t="array" ref="K8">_xlfn.XLOOKUP($K$6, '16. Existing HQs and Projects'!$B$8:$Q$8, _xlfn.XLOOKUP(A8,'16. Existing HQs and Projects'!$A$9:$A$58, '16. Existing HQs and Projects'!$B$9:$Q$58))</f>
        <v>1</v>
      </c>
      <c r="L8" s="37">
        <f t="shared" ref="L8:L56" si="1">IF(G8=0, 0, (SUMPRODUCT($G$5:$K$5, G8:K8)))</f>
        <v>2.333333333333333</v>
      </c>
      <c r="M8" s="37" cm="1">
        <f t="array" ref="M8">_xlfn.IFS(L8=0, 1, L8&gt;$L$59, 3, L8=$L$59, 3, L8&lt;$L$59, 2)</f>
        <v>3</v>
      </c>
      <c r="N8" s="13"/>
      <c r="O8" s="13"/>
      <c r="P8" s="13"/>
    </row>
    <row r="9" spans="1:16" ht="15.95" customHeight="1">
      <c r="A9" s="16" t="s">
        <v>74</v>
      </c>
      <c r="B9" s="20" cm="1">
        <f t="array" ref="B9">_xlfn.XLOOKUP($B$6, 'Metric Categories 1-14'!$B$7:$FM$7, _xlfn.XLOOKUP(A9, 'Metric Categories 1-14'!$A$8:$A$57, 'Metric Categories 1-14'!$B$8:$FM$57))</f>
        <v>1.25</v>
      </c>
      <c r="C9" s="20" cm="1">
        <f t="array" ref="C9">_xlfn.XLOOKUP($C$6, 'Metric Categories 1-14'!$B$7:$FM$7, _xlfn.XLOOKUP(A9, 'Metric Categories 1-14'!$A$8:$A$57, 'Metric Categories 1-14'!$B$8:$FM$57))</f>
        <v>0.99999999999999978</v>
      </c>
      <c r="D9" s="20" cm="1">
        <f t="array" ref="D9">_xlfn.XLOOKUP($D$6, 'Metric Categories 1-14'!$B$7:$FM$7, _xlfn.XLOOKUP(A9, 'Metric Categories 1-14'!$A$8:$A$57, 'Metric Categories 1-14'!$B$8:$FM$57))</f>
        <v>1</v>
      </c>
      <c r="E9" s="35">
        <f t="shared" si="0"/>
        <v>0</v>
      </c>
      <c r="F9" s="301" cm="1">
        <f t="array" ref="F9">_xlfn.IFS(E9=0, 1, E9&gt;$E$59, 3, E9&lt;$E$59, 2)</f>
        <v>1</v>
      </c>
      <c r="G9" s="20" cm="1">
        <f t="array" ref="G9">_xlfn.XLOOKUP($G$6, 'Metric Categories 1-14'!$B$7:$FM$7, _xlfn.XLOOKUP(A9, 'Metric Categories 1-14'!$A$8:$A$57, 'Metric Categories 1-14'!$B$8:$FM$57))</f>
        <v>0</v>
      </c>
      <c r="H9" s="20" cm="1">
        <f t="array" ref="H9">_xlfn.XLOOKUP($H$6, 'Metric Categories 1-14'!$B$7:$FM$7, _xlfn.XLOOKUP(A9, 'Metric Categories 1-14'!$A$8:$A$57, 'Metric Categories 1-14'!$B$8:$FM$57))</f>
        <v>2.6666666666666665</v>
      </c>
      <c r="I9" s="20" cm="1">
        <f t="array" ref="I9">_xlfn.XLOOKUP($I$6, 'Metric Categories 1-14'!$B$7:$FM$7, _xlfn.XLOOKUP(A9, 'Metric Categories 1-14'!$A$8:$A$57, 'Metric Categories 1-14'!$B$8:$FM$57))</f>
        <v>3</v>
      </c>
      <c r="J9" s="20" cm="1">
        <f t="array" ref="J9">_xlfn.XLOOKUP($J$6, '15. Workforce Calcs'!$B$8:$BG$8, _xlfn.XLOOKUP(A9, '15. Workforce Calcs'!$A$10:$A$59, '15. Workforce Calcs'!$B$10:$BG$59))</f>
        <v>3</v>
      </c>
      <c r="K9" s="20" cm="1">
        <f t="array" ref="K9">_xlfn.XLOOKUP($K$6, '16. Existing HQs and Projects'!$B$8:$Q$8, _xlfn.XLOOKUP(A9,'16. Existing HQs and Projects'!$A$9:$A$58, '16. Existing HQs and Projects'!$B$9:$Q$58))</f>
        <v>1</v>
      </c>
      <c r="L9" s="37">
        <f t="shared" si="1"/>
        <v>0</v>
      </c>
      <c r="M9" s="37" cm="1">
        <f t="array" ref="M9">_xlfn.IFS(L9=0, 1, L9&gt;$L$59, 3, L9=$L$59, 3, L9&lt;$L$59, 2)</f>
        <v>1</v>
      </c>
      <c r="N9" s="13"/>
      <c r="O9" s="13"/>
      <c r="P9" s="13"/>
    </row>
    <row r="10" spans="1:16" ht="15.95" customHeight="1">
      <c r="A10" s="16" t="s">
        <v>88</v>
      </c>
      <c r="B10" s="20" cm="1">
        <f t="array" ref="B10">_xlfn.XLOOKUP($B$6, 'Metric Categories 1-14'!$B$7:$FM$7, _xlfn.XLOOKUP(A10, 'Metric Categories 1-14'!$A$8:$A$57, 'Metric Categories 1-14'!$B$8:$FM$57))</f>
        <v>1.5</v>
      </c>
      <c r="C10" s="20" cm="1">
        <f t="array" ref="C10">_xlfn.XLOOKUP($C$6, 'Metric Categories 1-14'!$B$7:$FM$7, _xlfn.XLOOKUP(A10, 'Metric Categories 1-14'!$A$8:$A$57, 'Metric Categories 1-14'!$B$8:$FM$57))</f>
        <v>0.99999999999999978</v>
      </c>
      <c r="D10" s="20" cm="1">
        <f t="array" ref="D10">_xlfn.XLOOKUP($D$6, 'Metric Categories 1-14'!$B$7:$FM$7, _xlfn.XLOOKUP(A10, 'Metric Categories 1-14'!$A$8:$A$57, 'Metric Categories 1-14'!$B$8:$FM$57))</f>
        <v>1</v>
      </c>
      <c r="E10" s="35">
        <f t="shared" si="0"/>
        <v>0</v>
      </c>
      <c r="F10" s="301" cm="1">
        <f t="array" ref="F10">_xlfn.IFS(E10=0, 1, E10&gt;$E$59, 3, E10&lt;$E$59, 2)</f>
        <v>1</v>
      </c>
      <c r="G10" s="20" cm="1">
        <f t="array" ref="G10">_xlfn.XLOOKUP($G$6, 'Metric Categories 1-14'!$B$7:$FM$7, _xlfn.XLOOKUP(A10, 'Metric Categories 1-14'!$A$8:$A$57, 'Metric Categories 1-14'!$B$8:$FM$57))</f>
        <v>0</v>
      </c>
      <c r="H10" s="20" cm="1">
        <f t="array" ref="H10">_xlfn.XLOOKUP($H$6, 'Metric Categories 1-14'!$B$7:$FM$7, _xlfn.XLOOKUP(A10, 'Metric Categories 1-14'!$A$8:$A$57, 'Metric Categories 1-14'!$B$8:$FM$57))</f>
        <v>1</v>
      </c>
      <c r="I10" s="20" cm="1">
        <f t="array" ref="I10">_xlfn.XLOOKUP($I$6, 'Metric Categories 1-14'!$B$7:$FM$7, _xlfn.XLOOKUP(A10, 'Metric Categories 1-14'!$A$8:$A$57, 'Metric Categories 1-14'!$B$8:$FM$57))</f>
        <v>1</v>
      </c>
      <c r="J10" s="20" cm="1">
        <f t="array" ref="J10">_xlfn.XLOOKUP($J$6, '15. Workforce Calcs'!$B$8:$BG$8, _xlfn.XLOOKUP(A10, '15. Workforce Calcs'!$A$10:$A$59, '15. Workforce Calcs'!$B$10:$BG$59))</f>
        <v>1</v>
      </c>
      <c r="K10" s="20" cm="1">
        <f t="array" ref="K10">_xlfn.XLOOKUP($K$6, '16. Existing HQs and Projects'!$B$8:$Q$8, _xlfn.XLOOKUP(A10,'16. Existing HQs and Projects'!$A$9:$A$58, '16. Existing HQs and Projects'!$B$9:$Q$58))</f>
        <v>1</v>
      </c>
      <c r="L10" s="37">
        <f t="shared" si="1"/>
        <v>0</v>
      </c>
      <c r="M10" s="37" cm="1">
        <f t="array" ref="M10">_xlfn.IFS(L10=0, 1, L10&gt;$L$59, 3, L10=$L$59, 3, L10&lt;$L$59, 2)</f>
        <v>1</v>
      </c>
      <c r="N10" s="13"/>
      <c r="O10" s="13"/>
      <c r="P10" s="13"/>
    </row>
    <row r="11" spans="1:16" ht="15.95" customHeight="1">
      <c r="A11" s="16" t="s">
        <v>91</v>
      </c>
      <c r="B11" s="20" cm="1">
        <f t="array" ref="B11">_xlfn.XLOOKUP($B$6, 'Metric Categories 1-14'!$B$7:$FM$7, _xlfn.XLOOKUP(A11, 'Metric Categories 1-14'!$A$8:$A$57, 'Metric Categories 1-14'!$B$8:$FM$57))</f>
        <v>3</v>
      </c>
      <c r="C11" s="20" cm="1">
        <f t="array" ref="C11">_xlfn.XLOOKUP($C$6, 'Metric Categories 1-14'!$B$7:$FM$7, _xlfn.XLOOKUP(A11, 'Metric Categories 1-14'!$A$8:$A$57, 'Metric Categories 1-14'!$B$8:$FM$57))</f>
        <v>1.4249999999999998</v>
      </c>
      <c r="D11" s="20" cm="1">
        <f t="array" ref="D11">_xlfn.XLOOKUP($D$6, 'Metric Categories 1-14'!$B$7:$FM$7, _xlfn.XLOOKUP(A11, 'Metric Categories 1-14'!$A$8:$A$57, 'Metric Categories 1-14'!$B$8:$FM$57))</f>
        <v>3</v>
      </c>
      <c r="E11" s="35">
        <f t="shared" si="0"/>
        <v>2.4487499999999995</v>
      </c>
      <c r="F11" s="301" cm="1">
        <f t="array" ref="F11">_xlfn.IFS(E11=0, 1, E11&gt;$E$59, 3, E11&lt;$E$59, 2)</f>
        <v>3</v>
      </c>
      <c r="G11" s="20" cm="1">
        <f t="array" ref="G11">_xlfn.XLOOKUP($G$6, 'Metric Categories 1-14'!$B$7:$FM$7, _xlfn.XLOOKUP(A11, 'Metric Categories 1-14'!$A$8:$A$57, 'Metric Categories 1-14'!$B$8:$FM$57))</f>
        <v>2.25</v>
      </c>
      <c r="H11" s="20" cm="1">
        <f t="array" ref="H11">_xlfn.XLOOKUP($H$6, 'Metric Categories 1-14'!$B$7:$FM$7, _xlfn.XLOOKUP(A11, 'Metric Categories 1-14'!$A$8:$A$57, 'Metric Categories 1-14'!$B$8:$FM$57))</f>
        <v>2.333333333333333</v>
      </c>
      <c r="I11" s="20" cm="1">
        <f t="array" ref="I11">_xlfn.XLOOKUP($I$6, 'Metric Categories 1-14'!$B$7:$FM$7, _xlfn.XLOOKUP(A11, 'Metric Categories 1-14'!$A$8:$A$57, 'Metric Categories 1-14'!$B$8:$FM$57))</f>
        <v>3</v>
      </c>
      <c r="J11" s="20" cm="1">
        <f t="array" ref="J11">_xlfn.XLOOKUP($J$6, '15. Workforce Calcs'!$B$8:$BG$8, _xlfn.XLOOKUP(A11, '15. Workforce Calcs'!$A$10:$A$59, '15. Workforce Calcs'!$B$10:$BG$59))</f>
        <v>3</v>
      </c>
      <c r="K11" s="20" cm="1">
        <f t="array" ref="K11">_xlfn.XLOOKUP($K$6, '16. Existing HQs and Projects'!$B$8:$Q$8, _xlfn.XLOOKUP(A11,'16. Existing HQs and Projects'!$A$9:$A$58, '16. Existing HQs and Projects'!$B$9:$Q$58))</f>
        <v>3</v>
      </c>
      <c r="L11" s="37">
        <f t="shared" si="1"/>
        <v>2.5333333333333332</v>
      </c>
      <c r="M11" s="37" cm="1">
        <f t="array" ref="M11">_xlfn.IFS(L11=0, 1, L11&gt;$L$59, 3, L11=$L$59, 3, L11&lt;$L$59, 2)</f>
        <v>3</v>
      </c>
      <c r="N11" s="13"/>
      <c r="O11" s="13"/>
      <c r="P11" s="13"/>
    </row>
    <row r="12" spans="1:16" ht="15.95" customHeight="1">
      <c r="A12" s="16" t="s">
        <v>93</v>
      </c>
      <c r="B12" s="20" cm="1">
        <f t="array" ref="B12">_xlfn.XLOOKUP($B$6, 'Metric Categories 1-14'!$B$7:$FM$7, _xlfn.XLOOKUP(A12, 'Metric Categories 1-14'!$A$8:$A$57, 'Metric Categories 1-14'!$B$8:$FM$57))</f>
        <v>2.15</v>
      </c>
      <c r="C12" s="20" cm="1">
        <f t="array" ref="C12">_xlfn.XLOOKUP($C$6, 'Metric Categories 1-14'!$B$7:$FM$7, _xlfn.XLOOKUP(A12, 'Metric Categories 1-14'!$A$8:$A$57, 'Metric Categories 1-14'!$B$8:$FM$57))</f>
        <v>1.9</v>
      </c>
      <c r="D12" s="20" cm="1">
        <f t="array" ref="D12">_xlfn.XLOOKUP($D$6, 'Metric Categories 1-14'!$B$7:$FM$7, _xlfn.XLOOKUP(A12, 'Metric Categories 1-14'!$A$8:$A$57, 'Metric Categories 1-14'!$B$8:$FM$57))</f>
        <v>1.4</v>
      </c>
      <c r="E12" s="35">
        <f t="shared" si="0"/>
        <v>0</v>
      </c>
      <c r="F12" s="301" cm="1">
        <f t="array" ref="F12">_xlfn.IFS(E12=0, 1, E12&gt;$E$59, 3, E12&lt;$E$59, 2)</f>
        <v>1</v>
      </c>
      <c r="G12" s="20" cm="1">
        <f t="array" ref="G12">_xlfn.XLOOKUP($G$6, 'Metric Categories 1-14'!$B$7:$FM$7, _xlfn.XLOOKUP(A12, 'Metric Categories 1-14'!$A$8:$A$57, 'Metric Categories 1-14'!$B$8:$FM$57))</f>
        <v>0</v>
      </c>
      <c r="H12" s="20" cm="1">
        <f t="array" ref="H12">_xlfn.XLOOKUP($H$6, 'Metric Categories 1-14'!$B$7:$FM$7, _xlfn.XLOOKUP(A12, 'Metric Categories 1-14'!$A$8:$A$57, 'Metric Categories 1-14'!$B$8:$FM$57))</f>
        <v>2</v>
      </c>
      <c r="I12" s="20" cm="1">
        <f t="array" ref="I12">_xlfn.XLOOKUP($I$6, 'Metric Categories 1-14'!$B$7:$FM$7, _xlfn.XLOOKUP(A12, 'Metric Categories 1-14'!$A$8:$A$57, 'Metric Categories 1-14'!$B$8:$FM$57))</f>
        <v>3</v>
      </c>
      <c r="J12" s="20" cm="1">
        <f t="array" ref="J12">_xlfn.XLOOKUP($J$6, '15. Workforce Calcs'!$B$8:$BG$8, _xlfn.XLOOKUP(A12, '15. Workforce Calcs'!$A$10:$A$59, '15. Workforce Calcs'!$B$10:$BG$59))</f>
        <v>3</v>
      </c>
      <c r="K12" s="20" cm="1">
        <f t="array" ref="K12">_xlfn.XLOOKUP($K$6, '16. Existing HQs and Projects'!$B$8:$Q$8, _xlfn.XLOOKUP(A12,'16. Existing HQs and Projects'!$A$9:$A$58, '16. Existing HQs and Projects'!$B$9:$Q$58))</f>
        <v>1</v>
      </c>
      <c r="L12" s="37">
        <f t="shared" si="1"/>
        <v>0</v>
      </c>
      <c r="M12" s="37" cm="1">
        <f t="array" ref="M12">_xlfn.IFS(L12=0, 1, L12&gt;$L$59, 3, L12=$L$59, 3, L12&lt;$L$59, 2)</f>
        <v>1</v>
      </c>
      <c r="N12" s="13"/>
      <c r="O12" s="422"/>
      <c r="P12" s="422"/>
    </row>
    <row r="13" spans="1:16" ht="15.95" customHeight="1">
      <c r="A13" s="16" t="s">
        <v>95</v>
      </c>
      <c r="B13" s="20" cm="1">
        <f t="array" ref="B13">_xlfn.XLOOKUP($B$6, 'Metric Categories 1-14'!$B$7:$FM$7, _xlfn.XLOOKUP(A13, 'Metric Categories 1-14'!$A$8:$A$57, 'Metric Categories 1-14'!$B$8:$FM$57))</f>
        <v>2</v>
      </c>
      <c r="C13" s="20" cm="1">
        <f t="array" ref="C13">_xlfn.XLOOKUP($C$6, 'Metric Categories 1-14'!$B$7:$FM$7, _xlfn.XLOOKUP(A13, 'Metric Categories 1-14'!$A$8:$A$57, 'Metric Categories 1-14'!$B$8:$FM$57))</f>
        <v>1.0749999999999997</v>
      </c>
      <c r="D13" s="20" cm="1">
        <f t="array" ref="D13">_xlfn.XLOOKUP($D$6, 'Metric Categories 1-14'!$B$7:$FM$7, _xlfn.XLOOKUP(A13, 'Metric Categories 1-14'!$A$8:$A$57, 'Metric Categories 1-14'!$B$8:$FM$57))</f>
        <v>2.8</v>
      </c>
      <c r="E13" s="35">
        <f t="shared" si="0"/>
        <v>1.9162499999999998</v>
      </c>
      <c r="F13" s="301" cm="1">
        <f t="array" ref="F13">_xlfn.IFS(E13=0, 1, E13&gt;$E$59, 3, E13&lt;$E$59, 2)</f>
        <v>3</v>
      </c>
      <c r="G13" s="20" cm="1">
        <f t="array" ref="G13">_xlfn.XLOOKUP($G$6, 'Metric Categories 1-14'!$B$7:$FM$7, _xlfn.XLOOKUP(A13, 'Metric Categories 1-14'!$A$8:$A$57, 'Metric Categories 1-14'!$B$8:$FM$57))</f>
        <v>2.5</v>
      </c>
      <c r="H13" s="20" cm="1">
        <f t="array" ref="H13">_xlfn.XLOOKUP($H$6, 'Metric Categories 1-14'!$B$7:$FM$7, _xlfn.XLOOKUP(A13, 'Metric Categories 1-14'!$A$8:$A$57, 'Metric Categories 1-14'!$B$8:$FM$57))</f>
        <v>2</v>
      </c>
      <c r="I13" s="20" cm="1">
        <f t="array" ref="I13">_xlfn.XLOOKUP($I$6, 'Metric Categories 1-14'!$B$7:$FM$7, _xlfn.XLOOKUP(A13, 'Metric Categories 1-14'!$A$8:$A$57, 'Metric Categories 1-14'!$B$8:$FM$57))</f>
        <v>1</v>
      </c>
      <c r="J13" s="20" cm="1">
        <f t="array" ref="J13">_xlfn.XLOOKUP($J$6, '15. Workforce Calcs'!$B$8:$BG$8, _xlfn.XLOOKUP(A13, '15. Workforce Calcs'!$A$10:$A$59, '15. Workforce Calcs'!$B$10:$BG$59))</f>
        <v>1</v>
      </c>
      <c r="K13" s="20" cm="1">
        <f t="array" ref="K13">_xlfn.XLOOKUP($K$6, '16. Existing HQs and Projects'!$B$8:$Q$8, _xlfn.XLOOKUP(A13,'16. Existing HQs and Projects'!$A$9:$A$58, '16. Existing HQs and Projects'!$B$9:$Q$58))</f>
        <v>1</v>
      </c>
      <c r="L13" s="37">
        <f t="shared" si="1"/>
        <v>1.8499999999999999</v>
      </c>
      <c r="M13" s="37" cm="1">
        <f t="array" ref="M13">_xlfn.IFS(L13=0, 1, L13&gt;$L$59, 3, L13=$L$59, 3, L13&lt;$L$59, 2)</f>
        <v>3</v>
      </c>
      <c r="N13" s="13"/>
      <c r="O13" s="12"/>
      <c r="P13" s="13"/>
    </row>
    <row r="14" spans="1:16" ht="15.95" customHeight="1">
      <c r="A14" s="16" t="s">
        <v>98</v>
      </c>
      <c r="B14" s="20" cm="1">
        <f t="array" ref="B14">_xlfn.XLOOKUP($B$6, 'Metric Categories 1-14'!$B$7:$FM$7, _xlfn.XLOOKUP(A14, 'Metric Categories 1-14'!$A$8:$A$57, 'Metric Categories 1-14'!$B$8:$FM$57))</f>
        <v>2.4</v>
      </c>
      <c r="C14" s="20" cm="1">
        <f t="array" ref="C14">_xlfn.XLOOKUP($C$6, 'Metric Categories 1-14'!$B$7:$FM$7, _xlfn.XLOOKUP(A14, 'Metric Categories 1-14'!$A$8:$A$57, 'Metric Categories 1-14'!$B$8:$FM$57))</f>
        <v>1.0749999999999997</v>
      </c>
      <c r="D14" s="20" cm="1">
        <f t="array" ref="D14">_xlfn.XLOOKUP($D$6, 'Metric Categories 1-14'!$B$7:$FM$7, _xlfn.XLOOKUP(A14, 'Metric Categories 1-14'!$A$8:$A$57, 'Metric Categories 1-14'!$B$8:$FM$57))</f>
        <v>1.2</v>
      </c>
      <c r="E14" s="35">
        <f t="shared" si="0"/>
        <v>1.5762499999999999</v>
      </c>
      <c r="F14" s="301" cm="1">
        <f t="array" ref="F14">_xlfn.IFS(E14=0, 1, E14&gt;$E$59, 3, E14&lt;$E$59, 2)</f>
        <v>3</v>
      </c>
      <c r="G14" s="20" cm="1">
        <f t="array" ref="G14">_xlfn.XLOOKUP($G$6, 'Metric Categories 1-14'!$B$7:$FM$7, _xlfn.XLOOKUP(A14, 'Metric Categories 1-14'!$A$8:$A$57, 'Metric Categories 1-14'!$B$8:$FM$57))</f>
        <v>2.5</v>
      </c>
      <c r="H14" s="20" cm="1">
        <f t="array" ref="H14">_xlfn.XLOOKUP($H$6, 'Metric Categories 1-14'!$B$7:$FM$7, _xlfn.XLOOKUP(A14, 'Metric Categories 1-14'!$A$8:$A$57, 'Metric Categories 1-14'!$B$8:$FM$57))</f>
        <v>1</v>
      </c>
      <c r="I14" s="20" cm="1">
        <f t="array" ref="I14">_xlfn.XLOOKUP($I$6, 'Metric Categories 1-14'!$B$7:$FM$7, _xlfn.XLOOKUP(A14, 'Metric Categories 1-14'!$A$8:$A$57, 'Metric Categories 1-14'!$B$8:$FM$57))</f>
        <v>1</v>
      </c>
      <c r="J14" s="20" cm="1">
        <f t="array" ref="J14">_xlfn.XLOOKUP($J$6, '15. Workforce Calcs'!$B$8:$BG$8, _xlfn.XLOOKUP(A14, '15. Workforce Calcs'!$A$10:$A$59, '15. Workforce Calcs'!$B$10:$BG$59))</f>
        <v>1</v>
      </c>
      <c r="K14" s="20" cm="1">
        <f t="array" ref="K14">_xlfn.XLOOKUP($K$6, '16. Existing HQs and Projects'!$B$8:$Q$8, _xlfn.XLOOKUP(A14,'16. Existing HQs and Projects'!$A$9:$A$58, '16. Existing HQs and Projects'!$B$9:$Q$58))</f>
        <v>1</v>
      </c>
      <c r="L14" s="37">
        <f t="shared" si="1"/>
        <v>1.5999999999999999</v>
      </c>
      <c r="M14" s="37" cm="1">
        <f t="array" ref="M14">_xlfn.IFS(L14=0, 1, L14&gt;$L$59, 3, L14=$L$59, 3, L14&lt;$L$59, 2)</f>
        <v>2</v>
      </c>
      <c r="N14" s="13"/>
      <c r="O14" s="12"/>
      <c r="P14" s="13"/>
    </row>
    <row r="15" spans="1:16" ht="15.95" customHeight="1">
      <c r="A15" s="16" t="s">
        <v>101</v>
      </c>
      <c r="B15" s="20" cm="1">
        <f t="array" ref="B15">_xlfn.XLOOKUP($B$6, 'Metric Categories 1-14'!$B$7:$FM$7, _xlfn.XLOOKUP(A15, 'Metric Categories 1-14'!$A$8:$A$57, 'Metric Categories 1-14'!$B$8:$FM$57))</f>
        <v>1.45</v>
      </c>
      <c r="C15" s="20" cm="1">
        <f t="array" ref="C15">_xlfn.XLOOKUP($C$6, 'Metric Categories 1-14'!$B$7:$FM$7, _xlfn.XLOOKUP(A15, 'Metric Categories 1-14'!$A$8:$A$57, 'Metric Categories 1-14'!$B$8:$FM$57))</f>
        <v>0.99999999999999978</v>
      </c>
      <c r="D15" s="20" cm="1">
        <f t="array" ref="D15">_xlfn.XLOOKUP($D$6, 'Metric Categories 1-14'!$B$7:$FM$7, _xlfn.XLOOKUP(A15, 'Metric Categories 1-14'!$A$8:$A$57, 'Metric Categories 1-14'!$B$8:$FM$57))</f>
        <v>1.8</v>
      </c>
      <c r="E15" s="35">
        <f t="shared" si="0"/>
        <v>1.3975</v>
      </c>
      <c r="F15" s="301" cm="1">
        <f t="array" ref="F15">_xlfn.IFS(E15=0, 1, E15&gt;$E$59, 3, E15&lt;$E$59, 2)</f>
        <v>3</v>
      </c>
      <c r="G15" s="20" cm="1">
        <f t="array" ref="G15">_xlfn.XLOOKUP($G$6, 'Metric Categories 1-14'!$B$7:$FM$7, _xlfn.XLOOKUP(A15, 'Metric Categories 1-14'!$A$8:$A$57, 'Metric Categories 1-14'!$B$8:$FM$57))</f>
        <v>3</v>
      </c>
      <c r="H15" s="20" cm="1">
        <f t="array" ref="H15">_xlfn.XLOOKUP($H$6, 'Metric Categories 1-14'!$B$7:$FM$7, _xlfn.XLOOKUP(A15, 'Metric Categories 1-14'!$A$8:$A$57, 'Metric Categories 1-14'!$B$8:$FM$57))</f>
        <v>1.3333333333333333</v>
      </c>
      <c r="I15" s="20" cm="1">
        <f t="array" ref="I15">_xlfn.XLOOKUP($I$6, 'Metric Categories 1-14'!$B$7:$FM$7, _xlfn.XLOOKUP(A15, 'Metric Categories 1-14'!$A$8:$A$57, 'Metric Categories 1-14'!$B$8:$FM$57))</f>
        <v>3</v>
      </c>
      <c r="J15" s="20" cm="1">
        <f t="array" ref="J15">_xlfn.XLOOKUP($J$6, '15. Workforce Calcs'!$B$8:$BG$8, _xlfn.XLOOKUP(A15, '15. Workforce Calcs'!$A$10:$A$59, '15. Workforce Calcs'!$B$10:$BG$59))</f>
        <v>3</v>
      </c>
      <c r="K15" s="20" cm="1">
        <f t="array" ref="K15">_xlfn.XLOOKUP($K$6, '16. Existing HQs and Projects'!$B$8:$Q$8, _xlfn.XLOOKUP(A15,'16. Existing HQs and Projects'!$A$9:$A$58, '16. Existing HQs and Projects'!$B$9:$Q$58))</f>
        <v>1</v>
      </c>
      <c r="L15" s="37">
        <f t="shared" si="1"/>
        <v>2.4833333333333334</v>
      </c>
      <c r="M15" s="37" cm="1">
        <f t="array" ref="M15">_xlfn.IFS(L15=0, 1, L15&gt;$L$59, 3, L15=$L$59, 3, L15&lt;$L$59, 2)</f>
        <v>3</v>
      </c>
      <c r="N15" s="13"/>
      <c r="O15" s="13"/>
      <c r="P15" s="13"/>
    </row>
    <row r="16" spans="1:16" ht="15.95" customHeight="1">
      <c r="A16" s="16" t="s">
        <v>104</v>
      </c>
      <c r="B16" s="20" cm="1">
        <f t="array" ref="B16">_xlfn.XLOOKUP($B$6, 'Metric Categories 1-14'!$B$7:$FM$7, _xlfn.XLOOKUP(A16, 'Metric Categories 1-14'!$A$8:$A$57, 'Metric Categories 1-14'!$B$8:$FM$57))</f>
        <v>0.99999999999999989</v>
      </c>
      <c r="C16" s="20" cm="1">
        <f t="array" ref="C16">_xlfn.XLOOKUP($C$6, 'Metric Categories 1-14'!$B$7:$FM$7, _xlfn.XLOOKUP(A16, 'Metric Categories 1-14'!$A$8:$A$57, 'Metric Categories 1-14'!$B$8:$FM$57))</f>
        <v>0.99999999999999978</v>
      </c>
      <c r="D16" s="20" cm="1">
        <f t="array" ref="D16">_xlfn.XLOOKUP($D$6, 'Metric Categories 1-14'!$B$7:$FM$7, _xlfn.XLOOKUP(A16, 'Metric Categories 1-14'!$A$8:$A$57, 'Metric Categories 1-14'!$B$8:$FM$57))</f>
        <v>1.5999999999999999</v>
      </c>
      <c r="E16" s="35">
        <f t="shared" si="0"/>
        <v>1.1799999999999997</v>
      </c>
      <c r="F16" s="301" cm="1">
        <f t="array" ref="F16">_xlfn.IFS(E16=0, 1, E16&gt;$E$59, 3, E16&lt;$E$59, 2)</f>
        <v>2</v>
      </c>
      <c r="G16" s="20" cm="1">
        <f t="array" ref="G16">_xlfn.XLOOKUP($G$6, 'Metric Categories 1-14'!$B$7:$FM$7, _xlfn.XLOOKUP(A16, 'Metric Categories 1-14'!$A$8:$A$57, 'Metric Categories 1-14'!$B$8:$FM$57))</f>
        <v>2</v>
      </c>
      <c r="H16" s="20" cm="1">
        <f t="array" ref="H16">_xlfn.XLOOKUP($H$6, 'Metric Categories 1-14'!$B$7:$FM$7, _xlfn.XLOOKUP(A16, 'Metric Categories 1-14'!$A$8:$A$57, 'Metric Categories 1-14'!$B$8:$FM$57))</f>
        <v>1.3333333333333333</v>
      </c>
      <c r="I16" s="20" cm="1">
        <f t="array" ref="I16">_xlfn.XLOOKUP($I$6, 'Metric Categories 1-14'!$B$7:$FM$7, _xlfn.XLOOKUP(A16, 'Metric Categories 1-14'!$A$8:$A$57, 'Metric Categories 1-14'!$B$8:$FM$57))</f>
        <v>2</v>
      </c>
      <c r="J16" s="20" cm="1">
        <f t="array" ref="J16">_xlfn.XLOOKUP($J$6, '15. Workforce Calcs'!$B$8:$BG$8, _xlfn.XLOOKUP(A16, '15. Workforce Calcs'!$A$10:$A$59, '15. Workforce Calcs'!$B$10:$BG$59))</f>
        <v>3</v>
      </c>
      <c r="K16" s="20" cm="1">
        <f t="array" ref="K16">_xlfn.XLOOKUP($K$6, '16. Existing HQs and Projects'!$B$8:$Q$8, _xlfn.XLOOKUP(A16,'16. Existing HQs and Projects'!$A$9:$A$58, '16. Existing HQs and Projects'!$B$9:$Q$58))</f>
        <v>1</v>
      </c>
      <c r="L16" s="37">
        <f t="shared" si="1"/>
        <v>1.9333333333333333</v>
      </c>
      <c r="M16" s="37" cm="1">
        <f t="array" ref="M16">_xlfn.IFS(L16=0, 1, L16&gt;$L$59, 3, L16=$L$59, 3, L16&lt;$L$59, 2)</f>
        <v>3</v>
      </c>
      <c r="N16" s="13"/>
      <c r="O16" s="13"/>
      <c r="P16" s="13"/>
    </row>
    <row r="17" spans="1:16" ht="15.95" customHeight="1">
      <c r="A17" s="16" t="s">
        <v>106</v>
      </c>
      <c r="B17" s="20" cm="1">
        <f t="array" ref="B17">_xlfn.XLOOKUP($B$6, 'Metric Categories 1-14'!$B$7:$FM$7, _xlfn.XLOOKUP(A17, 'Metric Categories 1-14'!$A$8:$A$57, 'Metric Categories 1-14'!$B$8:$FM$57))</f>
        <v>2.15</v>
      </c>
      <c r="C17" s="20" cm="1">
        <f t="array" ref="C17">_xlfn.XLOOKUP($C$6, 'Metric Categories 1-14'!$B$7:$FM$7, _xlfn.XLOOKUP(A17, 'Metric Categories 1-14'!$A$8:$A$57, 'Metric Categories 1-14'!$B$8:$FM$57))</f>
        <v>1.2</v>
      </c>
      <c r="D17" s="20" cm="1">
        <f t="array" ref="D17">_xlfn.XLOOKUP($D$6, 'Metric Categories 1-14'!$B$7:$FM$7, _xlfn.XLOOKUP(A17, 'Metric Categories 1-14'!$A$8:$A$57, 'Metric Categories 1-14'!$B$8:$FM$57))</f>
        <v>1.5999999999999999</v>
      </c>
      <c r="E17" s="35">
        <f t="shared" si="0"/>
        <v>1.6524999999999999</v>
      </c>
      <c r="F17" s="301" cm="1">
        <f t="array" ref="F17">_xlfn.IFS(E17=0, 1, E17&gt;$E$59, 3, E17&lt;$E$59, 2)</f>
        <v>3</v>
      </c>
      <c r="G17" s="20" cm="1">
        <f t="array" ref="G17">_xlfn.XLOOKUP($G$6, 'Metric Categories 1-14'!$B$7:$FM$7, _xlfn.XLOOKUP(A17, 'Metric Categories 1-14'!$A$8:$A$57, 'Metric Categories 1-14'!$B$8:$FM$57))</f>
        <v>2.75</v>
      </c>
      <c r="H17" s="20" cm="1">
        <f t="array" ref="H17">_xlfn.XLOOKUP($H$6, 'Metric Categories 1-14'!$B$7:$FM$7, _xlfn.XLOOKUP(A17, 'Metric Categories 1-14'!$A$8:$A$57, 'Metric Categories 1-14'!$B$8:$FM$57))</f>
        <v>1</v>
      </c>
      <c r="I17" s="20" cm="1">
        <f t="array" ref="I17">_xlfn.XLOOKUP($I$6, 'Metric Categories 1-14'!$B$7:$FM$7, _xlfn.XLOOKUP(A17, 'Metric Categories 1-14'!$A$8:$A$57, 'Metric Categories 1-14'!$B$8:$FM$57))</f>
        <v>1</v>
      </c>
      <c r="J17" s="20" cm="1">
        <f t="array" ref="J17">_xlfn.XLOOKUP($J$6, '15. Workforce Calcs'!$B$8:$BG$8, _xlfn.XLOOKUP(A17, '15. Workforce Calcs'!$A$10:$A$59, '15. Workforce Calcs'!$B$10:$BG$59))</f>
        <v>1</v>
      </c>
      <c r="K17" s="20" cm="1">
        <f t="array" ref="K17">_xlfn.XLOOKUP($K$6, '16. Existing HQs and Projects'!$B$8:$Q$8, _xlfn.XLOOKUP(A17,'16. Existing HQs and Projects'!$A$9:$A$58, '16. Existing HQs and Projects'!$B$9:$Q$58))</f>
        <v>1</v>
      </c>
      <c r="L17" s="37">
        <f t="shared" si="1"/>
        <v>1.7</v>
      </c>
      <c r="M17" s="37" cm="1">
        <f t="array" ref="M17">_xlfn.IFS(L17=0, 1, L17&gt;$L$59, 3, L17=$L$59, 3, L17&lt;$L$59, 2)</f>
        <v>3</v>
      </c>
      <c r="N17" s="13"/>
      <c r="O17" s="13"/>
      <c r="P17" s="13"/>
    </row>
    <row r="18" spans="1:16" ht="15.95" customHeight="1">
      <c r="A18" s="16" t="s">
        <v>108</v>
      </c>
      <c r="B18" s="20" cm="1">
        <f t="array" ref="B18">_xlfn.XLOOKUP($B$6, 'Metric Categories 1-14'!$B$7:$FM$7, _xlfn.XLOOKUP(A18, 'Metric Categories 1-14'!$A$8:$A$57, 'Metric Categories 1-14'!$B$8:$FM$57))</f>
        <v>0.99999999999999989</v>
      </c>
      <c r="C18" s="20" cm="1">
        <f t="array" ref="C18">_xlfn.XLOOKUP($C$6, 'Metric Categories 1-14'!$B$7:$FM$7, _xlfn.XLOOKUP(A18, 'Metric Categories 1-14'!$A$8:$A$57, 'Metric Categories 1-14'!$B$8:$FM$57))</f>
        <v>0.99999999999999978</v>
      </c>
      <c r="D18" s="20" cm="1">
        <f t="array" ref="D18">_xlfn.XLOOKUP($D$6, 'Metric Categories 1-14'!$B$7:$FM$7, _xlfn.XLOOKUP(A18, 'Metric Categories 1-14'!$A$8:$A$57, 'Metric Categories 1-14'!$B$8:$FM$57))</f>
        <v>1.5999999999999999</v>
      </c>
      <c r="E18" s="35">
        <f t="shared" si="0"/>
        <v>0</v>
      </c>
      <c r="F18" s="301" cm="1">
        <f t="array" ref="F18">_xlfn.IFS(E18=0, 1, E18&gt;$E$59, 3, E18&lt;$E$59, 2)</f>
        <v>1</v>
      </c>
      <c r="G18" s="20" cm="1">
        <f t="array" ref="G18">_xlfn.XLOOKUP($G$6, 'Metric Categories 1-14'!$B$7:$FM$7, _xlfn.XLOOKUP(A18, 'Metric Categories 1-14'!$A$8:$A$57, 'Metric Categories 1-14'!$B$8:$FM$57))</f>
        <v>0</v>
      </c>
      <c r="H18" s="20" cm="1">
        <f t="array" ref="H18">_xlfn.XLOOKUP($H$6, 'Metric Categories 1-14'!$B$7:$FM$7, _xlfn.XLOOKUP(A18, 'Metric Categories 1-14'!$A$8:$A$57, 'Metric Categories 1-14'!$B$8:$FM$57))</f>
        <v>2</v>
      </c>
      <c r="I18" s="20" cm="1">
        <f t="array" ref="I18">_xlfn.XLOOKUP($I$6, 'Metric Categories 1-14'!$B$7:$FM$7, _xlfn.XLOOKUP(A18, 'Metric Categories 1-14'!$A$8:$A$57, 'Metric Categories 1-14'!$B$8:$FM$57))</f>
        <v>3</v>
      </c>
      <c r="J18" s="20" cm="1">
        <f t="array" ref="J18">_xlfn.XLOOKUP($J$6, '15. Workforce Calcs'!$B$8:$BG$8, _xlfn.XLOOKUP(A18, '15. Workforce Calcs'!$A$10:$A$59, '15. Workforce Calcs'!$B$10:$BG$59))</f>
        <v>1</v>
      </c>
      <c r="K18" s="20" cm="1">
        <f t="array" ref="K18">_xlfn.XLOOKUP($K$6, '16. Existing HQs and Projects'!$B$8:$Q$8, _xlfn.XLOOKUP(A18,'16. Existing HQs and Projects'!$A$9:$A$58, '16. Existing HQs and Projects'!$B$9:$Q$58))</f>
        <v>1</v>
      </c>
      <c r="L18" s="37">
        <f t="shared" si="1"/>
        <v>0</v>
      </c>
      <c r="M18" s="37" cm="1">
        <f t="array" ref="M18">_xlfn.IFS(L18=0, 1, L18&gt;$L$59, 3, L18=$L$59, 3, L18&lt;$L$59, 2)</f>
        <v>1</v>
      </c>
      <c r="N18" s="13"/>
      <c r="O18" s="13"/>
      <c r="P18" s="13"/>
    </row>
    <row r="19" spans="1:16" ht="15.95" customHeight="1">
      <c r="A19" s="16" t="s">
        <v>110</v>
      </c>
      <c r="B19" s="20" cm="1">
        <f t="array" ref="B19">_xlfn.XLOOKUP($B$6, 'Metric Categories 1-14'!$B$7:$FM$7, _xlfn.XLOOKUP(A19, 'Metric Categories 1-14'!$A$8:$A$57, 'Metric Categories 1-14'!$B$8:$FM$57))</f>
        <v>1.5</v>
      </c>
      <c r="C19" s="20" cm="1">
        <f t="array" ref="C19">_xlfn.XLOOKUP($C$6, 'Metric Categories 1-14'!$B$7:$FM$7, _xlfn.XLOOKUP(A19, 'Metric Categories 1-14'!$A$8:$A$57, 'Metric Categories 1-14'!$B$8:$FM$57))</f>
        <v>1.2</v>
      </c>
      <c r="D19" s="20" cm="1">
        <f t="array" ref="D19">_xlfn.XLOOKUP($D$6, 'Metric Categories 1-14'!$B$7:$FM$7, _xlfn.XLOOKUP(A19, 'Metric Categories 1-14'!$A$8:$A$57, 'Metric Categories 1-14'!$B$8:$FM$57))</f>
        <v>2.5999999999999996</v>
      </c>
      <c r="E19" s="35">
        <f t="shared" si="0"/>
        <v>0</v>
      </c>
      <c r="F19" s="301" cm="1">
        <f t="array" ref="F19">_xlfn.IFS(E19=0, 1, E19&gt;$E$59, 3, E19&lt;$E$59, 2)</f>
        <v>1</v>
      </c>
      <c r="G19" s="20" cm="1">
        <f t="array" ref="G19">_xlfn.XLOOKUP($G$6, 'Metric Categories 1-14'!$B$7:$FM$7, _xlfn.XLOOKUP(A19, 'Metric Categories 1-14'!$A$8:$A$57, 'Metric Categories 1-14'!$B$8:$FM$57))</f>
        <v>0</v>
      </c>
      <c r="H19" s="20" cm="1">
        <f t="array" ref="H19">_xlfn.XLOOKUP($H$6, 'Metric Categories 1-14'!$B$7:$FM$7, _xlfn.XLOOKUP(A19, 'Metric Categories 1-14'!$A$8:$A$57, 'Metric Categories 1-14'!$B$8:$FM$57))</f>
        <v>1</v>
      </c>
      <c r="I19" s="20" cm="1">
        <f t="array" ref="I19">_xlfn.XLOOKUP($I$6, 'Metric Categories 1-14'!$B$7:$FM$7, _xlfn.XLOOKUP(A19, 'Metric Categories 1-14'!$A$8:$A$57, 'Metric Categories 1-14'!$B$8:$FM$57))</f>
        <v>3</v>
      </c>
      <c r="J19" s="20" cm="1">
        <f t="array" ref="J19">_xlfn.XLOOKUP($J$6, '15. Workforce Calcs'!$B$8:$BG$8, _xlfn.XLOOKUP(A19, '15. Workforce Calcs'!$A$10:$A$59, '15. Workforce Calcs'!$B$10:$BG$59))</f>
        <v>3</v>
      </c>
      <c r="K19" s="20" cm="1">
        <f t="array" ref="K19">_xlfn.XLOOKUP($K$6, '16. Existing HQs and Projects'!$B$8:$Q$8, _xlfn.XLOOKUP(A19,'16. Existing HQs and Projects'!$A$9:$A$58, '16. Existing HQs and Projects'!$B$9:$Q$58))</f>
        <v>1</v>
      </c>
      <c r="L19" s="37">
        <f t="shared" si="1"/>
        <v>0</v>
      </c>
      <c r="M19" s="37" cm="1">
        <f t="array" ref="M19">_xlfn.IFS(L19=0, 1, L19&gt;$L$59, 3, L19=$L$59, 3, L19&lt;$L$59, 2)</f>
        <v>1</v>
      </c>
      <c r="N19" s="13"/>
      <c r="O19" s="13"/>
      <c r="P19" s="13"/>
    </row>
    <row r="20" spans="1:16" ht="15.95" customHeight="1">
      <c r="A20" s="16" t="s">
        <v>112</v>
      </c>
      <c r="B20" s="20" cm="1">
        <f t="array" ref="B20">_xlfn.XLOOKUP($B$6, 'Metric Categories 1-14'!$B$7:$FM$7, _xlfn.XLOOKUP(A20, 'Metric Categories 1-14'!$A$8:$A$57, 'Metric Categories 1-14'!$B$8:$FM$57))</f>
        <v>0.99999999999999989</v>
      </c>
      <c r="C20" s="20" cm="1">
        <f t="array" ref="C20">_xlfn.XLOOKUP($C$6, 'Metric Categories 1-14'!$B$7:$FM$7, _xlfn.XLOOKUP(A20, 'Metric Categories 1-14'!$A$8:$A$57, 'Metric Categories 1-14'!$B$8:$FM$57))</f>
        <v>0.99999999999999978</v>
      </c>
      <c r="D20" s="20" cm="1">
        <f t="array" ref="D20">_xlfn.XLOOKUP($D$6, 'Metric Categories 1-14'!$B$7:$FM$7, _xlfn.XLOOKUP(A20, 'Metric Categories 1-14'!$A$8:$A$57, 'Metric Categories 1-14'!$B$8:$FM$57))</f>
        <v>1.5999999999999999</v>
      </c>
      <c r="E20" s="35">
        <f t="shared" si="0"/>
        <v>0</v>
      </c>
      <c r="F20" s="301" cm="1">
        <f t="array" ref="F20">_xlfn.IFS(E20=0, 1, E20&gt;$E$59, 3, E20&lt;$E$59, 2)</f>
        <v>1</v>
      </c>
      <c r="G20" s="20" cm="1">
        <f t="array" ref="G20">_xlfn.XLOOKUP($G$6, 'Metric Categories 1-14'!$B$7:$FM$7, _xlfn.XLOOKUP(A20, 'Metric Categories 1-14'!$A$8:$A$57, 'Metric Categories 1-14'!$B$8:$FM$57))</f>
        <v>0</v>
      </c>
      <c r="H20" s="20" cm="1">
        <f t="array" ref="H20">_xlfn.XLOOKUP($H$6, 'Metric Categories 1-14'!$B$7:$FM$7, _xlfn.XLOOKUP(A20, 'Metric Categories 1-14'!$A$8:$A$57, 'Metric Categories 1-14'!$B$8:$FM$57))</f>
        <v>1</v>
      </c>
      <c r="I20" s="20" cm="1">
        <f t="array" ref="I20">_xlfn.XLOOKUP($I$6, 'Metric Categories 1-14'!$B$7:$FM$7, _xlfn.XLOOKUP(A20, 'Metric Categories 1-14'!$A$8:$A$57, 'Metric Categories 1-14'!$B$8:$FM$57))</f>
        <v>3</v>
      </c>
      <c r="J20" s="20" cm="1">
        <f t="array" ref="J20">_xlfn.XLOOKUP($J$6, '15. Workforce Calcs'!$B$8:$BG$8, _xlfn.XLOOKUP(A20, '15. Workforce Calcs'!$A$10:$A$59, '15. Workforce Calcs'!$B$10:$BG$59))</f>
        <v>2</v>
      </c>
      <c r="K20" s="20" cm="1">
        <f t="array" ref="K20">_xlfn.XLOOKUP($K$6, '16. Existing HQs and Projects'!$B$8:$Q$8, _xlfn.XLOOKUP(A20,'16. Existing HQs and Projects'!$A$9:$A$58, '16. Existing HQs and Projects'!$B$9:$Q$58))</f>
        <v>1</v>
      </c>
      <c r="L20" s="37">
        <f t="shared" si="1"/>
        <v>0</v>
      </c>
      <c r="M20" s="37" cm="1">
        <f t="array" ref="M20">_xlfn.IFS(L20=0, 1, L20&gt;$L$59, 3, L20=$L$59, 3, L20&lt;$L$59, 2)</f>
        <v>1</v>
      </c>
      <c r="N20" s="13"/>
      <c r="O20" s="13"/>
      <c r="P20" s="13"/>
    </row>
    <row r="21" spans="1:16" ht="15.95" customHeight="1">
      <c r="A21" s="16" t="s">
        <v>115</v>
      </c>
      <c r="B21" s="20" cm="1">
        <f t="array" ref="B21">_xlfn.XLOOKUP($B$6, 'Metric Categories 1-14'!$B$7:$FM$7, _xlfn.XLOOKUP(A21, 'Metric Categories 1-14'!$A$8:$A$57, 'Metric Categories 1-14'!$B$8:$FM$57))</f>
        <v>1.5</v>
      </c>
      <c r="C21" s="20" cm="1">
        <f t="array" ref="C21">_xlfn.XLOOKUP($C$6, 'Metric Categories 1-14'!$B$7:$FM$7, _xlfn.XLOOKUP(A21, 'Metric Categories 1-14'!$A$8:$A$57, 'Metric Categories 1-14'!$B$8:$FM$57))</f>
        <v>0.99999999999999978</v>
      </c>
      <c r="D21" s="20" cm="1">
        <f t="array" ref="D21">_xlfn.XLOOKUP($D$6, 'Metric Categories 1-14'!$B$7:$FM$7, _xlfn.XLOOKUP(A21, 'Metric Categories 1-14'!$A$8:$A$57, 'Metric Categories 1-14'!$B$8:$FM$57))</f>
        <v>1</v>
      </c>
      <c r="E21" s="35">
        <f t="shared" si="0"/>
        <v>0</v>
      </c>
      <c r="F21" s="301" cm="1">
        <f t="array" ref="F21">_xlfn.IFS(E21=0, 1, E21&gt;$E$59, 3, E21&lt;$E$59, 2)</f>
        <v>1</v>
      </c>
      <c r="G21" s="20" cm="1">
        <f t="array" ref="G21">_xlfn.XLOOKUP($G$6, 'Metric Categories 1-14'!$B$7:$FM$7, _xlfn.XLOOKUP(A21, 'Metric Categories 1-14'!$A$8:$A$57, 'Metric Categories 1-14'!$B$8:$FM$57))</f>
        <v>0</v>
      </c>
      <c r="H21" s="20" cm="1">
        <f t="array" ref="H21">_xlfn.XLOOKUP($H$6, 'Metric Categories 1-14'!$B$7:$FM$7, _xlfn.XLOOKUP(A21, 'Metric Categories 1-14'!$A$8:$A$57, 'Metric Categories 1-14'!$B$8:$FM$57))</f>
        <v>1</v>
      </c>
      <c r="I21" s="20" cm="1">
        <f t="array" ref="I21">_xlfn.XLOOKUP($I$6, 'Metric Categories 1-14'!$B$7:$FM$7, _xlfn.XLOOKUP(A21, 'Metric Categories 1-14'!$A$8:$A$57, 'Metric Categories 1-14'!$B$8:$FM$57))</f>
        <v>3</v>
      </c>
      <c r="J21" s="20" cm="1">
        <f t="array" ref="J21">_xlfn.XLOOKUP($J$6, '15. Workforce Calcs'!$B$8:$BG$8, _xlfn.XLOOKUP(A21, '15. Workforce Calcs'!$A$10:$A$59, '15. Workforce Calcs'!$B$10:$BG$59))</f>
        <v>1</v>
      </c>
      <c r="K21" s="20" cm="1">
        <f t="array" ref="K21">_xlfn.XLOOKUP($K$6, '16. Existing HQs and Projects'!$B$8:$Q$8, _xlfn.XLOOKUP(A21,'16. Existing HQs and Projects'!$A$9:$A$58, '16. Existing HQs and Projects'!$B$9:$Q$58))</f>
        <v>1</v>
      </c>
      <c r="L21" s="37">
        <f t="shared" si="1"/>
        <v>0</v>
      </c>
      <c r="M21" s="37" cm="1">
        <f t="array" ref="M21">_xlfn.IFS(L21=0, 1, L21&gt;$L$59, 3, L21=$L$59, 3, L21&lt;$L$59, 2)</f>
        <v>1</v>
      </c>
      <c r="N21" s="13"/>
      <c r="O21" s="13"/>
      <c r="P21" s="13"/>
    </row>
    <row r="22" spans="1:16" ht="15.95" customHeight="1">
      <c r="A22" s="16" t="s">
        <v>118</v>
      </c>
      <c r="B22" s="20" cm="1">
        <f t="array" ref="B22">_xlfn.XLOOKUP($B$6, 'Metric Categories 1-14'!$B$7:$FM$7, _xlfn.XLOOKUP(A22, 'Metric Categories 1-14'!$A$8:$A$57, 'Metric Categories 1-14'!$B$8:$FM$57))</f>
        <v>0.99999999999999989</v>
      </c>
      <c r="C22" s="20" cm="1">
        <f t="array" ref="C22">_xlfn.XLOOKUP($C$6, 'Metric Categories 1-14'!$B$7:$FM$7, _xlfn.XLOOKUP(A22, 'Metric Categories 1-14'!$A$8:$A$57, 'Metric Categories 1-14'!$B$8:$FM$57))</f>
        <v>0.79999999999999993</v>
      </c>
      <c r="D22" s="20" cm="1">
        <f t="array" ref="D22">_xlfn.XLOOKUP($D$6, 'Metric Categories 1-14'!$B$7:$FM$7, _xlfn.XLOOKUP(A22, 'Metric Categories 1-14'!$A$8:$A$57, 'Metric Categories 1-14'!$B$8:$FM$57))</f>
        <v>1</v>
      </c>
      <c r="E22" s="35">
        <f t="shared" si="0"/>
        <v>0</v>
      </c>
      <c r="F22" s="301" cm="1">
        <f t="array" ref="F22">_xlfn.IFS(E22=0, 1, E22&gt;$E$59, 3, E22&lt;$E$59, 2)</f>
        <v>1</v>
      </c>
      <c r="G22" s="20" cm="1">
        <f t="array" ref="G22">_xlfn.XLOOKUP($G$6, 'Metric Categories 1-14'!$B$7:$FM$7, _xlfn.XLOOKUP(A22, 'Metric Categories 1-14'!$A$8:$A$57, 'Metric Categories 1-14'!$B$8:$FM$57))</f>
        <v>0</v>
      </c>
      <c r="H22" s="20" cm="1">
        <f t="array" ref="H22">_xlfn.XLOOKUP($H$6, 'Metric Categories 1-14'!$B$7:$FM$7, _xlfn.XLOOKUP(A22, 'Metric Categories 1-14'!$A$8:$A$57, 'Metric Categories 1-14'!$B$8:$FM$57))</f>
        <v>1</v>
      </c>
      <c r="I22" s="20" cm="1">
        <f t="array" ref="I22">_xlfn.XLOOKUP($I$6, 'Metric Categories 1-14'!$B$7:$FM$7, _xlfn.XLOOKUP(A22, 'Metric Categories 1-14'!$A$8:$A$57, 'Metric Categories 1-14'!$B$8:$FM$57))</f>
        <v>3</v>
      </c>
      <c r="J22" s="20" cm="1">
        <f t="array" ref="J22">_xlfn.XLOOKUP($J$6, '15. Workforce Calcs'!$B$8:$BG$8, _xlfn.XLOOKUP(A22, '15. Workforce Calcs'!$A$10:$A$59, '15. Workforce Calcs'!$B$10:$BG$59))</f>
        <v>2</v>
      </c>
      <c r="K22" s="20" cm="1">
        <f t="array" ref="K22">_xlfn.XLOOKUP($K$6, '16. Existing HQs and Projects'!$B$8:$Q$8, _xlfn.XLOOKUP(A22,'16. Existing HQs and Projects'!$A$9:$A$58, '16. Existing HQs and Projects'!$B$9:$Q$58))</f>
        <v>1</v>
      </c>
      <c r="L22" s="37">
        <f t="shared" si="1"/>
        <v>0</v>
      </c>
      <c r="M22" s="37" cm="1">
        <f t="array" ref="M22">_xlfn.IFS(L22=0, 1, L22&gt;$L$59, 3, L22=$L$59, 3, L22&lt;$L$59, 2)</f>
        <v>1</v>
      </c>
      <c r="N22" s="13"/>
      <c r="O22" s="13"/>
      <c r="P22" s="13"/>
    </row>
    <row r="23" spans="1:16" ht="15.95" customHeight="1">
      <c r="A23" s="16" t="s">
        <v>121</v>
      </c>
      <c r="B23" s="20" cm="1">
        <f t="array" ref="B23">_xlfn.XLOOKUP($B$6, 'Metric Categories 1-14'!$B$7:$FM$7, _xlfn.XLOOKUP(A23, 'Metric Categories 1-14'!$A$8:$A$57, 'Metric Categories 1-14'!$B$8:$FM$57))</f>
        <v>1.95</v>
      </c>
      <c r="C23" s="20" cm="1">
        <f t="array" ref="C23">_xlfn.XLOOKUP($C$6, 'Metric Categories 1-14'!$B$7:$FM$7, _xlfn.XLOOKUP(A23, 'Metric Categories 1-14'!$A$8:$A$57, 'Metric Categories 1-14'!$B$8:$FM$57))</f>
        <v>0.99999999999999978</v>
      </c>
      <c r="D23" s="20" cm="1">
        <f t="array" ref="D23">_xlfn.XLOOKUP($D$6, 'Metric Categories 1-14'!$B$7:$FM$7, _xlfn.XLOOKUP(A23, 'Metric Categories 1-14'!$A$8:$A$57, 'Metric Categories 1-14'!$B$8:$FM$57))</f>
        <v>1</v>
      </c>
      <c r="E23" s="35">
        <f t="shared" si="0"/>
        <v>0</v>
      </c>
      <c r="F23" s="301" cm="1">
        <f t="array" ref="F23">_xlfn.IFS(E23=0, 1, E23&gt;$E$59, 3, E23&lt;$E$59, 2)</f>
        <v>1</v>
      </c>
      <c r="G23" s="20" cm="1">
        <f t="array" ref="G23">_xlfn.XLOOKUP($G$6, 'Metric Categories 1-14'!$B$7:$FM$7, _xlfn.XLOOKUP(A23, 'Metric Categories 1-14'!$A$8:$A$57, 'Metric Categories 1-14'!$B$8:$FM$57))</f>
        <v>0</v>
      </c>
      <c r="H23" s="20" cm="1">
        <f t="array" ref="H23">_xlfn.XLOOKUP($H$6, 'Metric Categories 1-14'!$B$7:$FM$7, _xlfn.XLOOKUP(A23, 'Metric Categories 1-14'!$A$8:$A$57, 'Metric Categories 1-14'!$B$8:$FM$57))</f>
        <v>1</v>
      </c>
      <c r="I23" s="20" cm="1">
        <f t="array" ref="I23">_xlfn.XLOOKUP($I$6, 'Metric Categories 1-14'!$B$7:$FM$7, _xlfn.XLOOKUP(A23, 'Metric Categories 1-14'!$A$8:$A$57, 'Metric Categories 1-14'!$B$8:$FM$57))</f>
        <v>2</v>
      </c>
      <c r="J23" s="20" cm="1">
        <f t="array" ref="J23">_xlfn.XLOOKUP($J$6, '15. Workforce Calcs'!$B$8:$BG$8, _xlfn.XLOOKUP(A23, '15. Workforce Calcs'!$A$10:$A$59, '15. Workforce Calcs'!$B$10:$BG$59))</f>
        <v>3</v>
      </c>
      <c r="K23" s="20" cm="1">
        <f t="array" ref="K23">_xlfn.XLOOKUP($K$6, '16. Existing HQs and Projects'!$B$8:$Q$8, _xlfn.XLOOKUP(A23,'16. Existing HQs and Projects'!$A$9:$A$58, '16. Existing HQs and Projects'!$B$9:$Q$58))</f>
        <v>1</v>
      </c>
      <c r="L23" s="37">
        <f t="shared" si="1"/>
        <v>0</v>
      </c>
      <c r="M23" s="37" cm="1">
        <f t="array" ref="M23">_xlfn.IFS(L23=0, 1, L23&gt;$L$59, 3, L23=$L$59, 3, L23&lt;$L$59, 2)</f>
        <v>1</v>
      </c>
      <c r="N23" s="13"/>
      <c r="O23" s="13"/>
      <c r="P23" s="13"/>
    </row>
    <row r="24" spans="1:16" ht="15.95" customHeight="1">
      <c r="A24" s="16" t="s">
        <v>124</v>
      </c>
      <c r="B24" s="20" cm="1">
        <f t="array" ref="B24">_xlfn.XLOOKUP($B$6, 'Metric Categories 1-14'!$B$7:$FM$7, _xlfn.XLOOKUP(A24, 'Metric Categories 1-14'!$A$8:$A$57, 'Metric Categories 1-14'!$B$8:$FM$57))</f>
        <v>2.0999999999999996</v>
      </c>
      <c r="C24" s="20" cm="1">
        <f t="array" ref="C24">_xlfn.XLOOKUP($C$6, 'Metric Categories 1-14'!$B$7:$FM$7, _xlfn.XLOOKUP(A24, 'Metric Categories 1-14'!$A$8:$A$57, 'Metric Categories 1-14'!$B$8:$FM$57))</f>
        <v>0.79999999999999993</v>
      </c>
      <c r="D24" s="20" cm="1">
        <f t="array" ref="D24">_xlfn.XLOOKUP($D$6, 'Metric Categories 1-14'!$B$7:$FM$7, _xlfn.XLOOKUP(A24, 'Metric Categories 1-14'!$A$8:$A$57, 'Metric Categories 1-14'!$B$8:$FM$57))</f>
        <v>1.2000000000000002</v>
      </c>
      <c r="E24" s="35">
        <f t="shared" si="0"/>
        <v>1.375</v>
      </c>
      <c r="F24" s="301" cm="1">
        <f t="array" ref="F24">_xlfn.IFS(E24=0, 1, E24&gt;$E$59, 3, E24&lt;$E$59, 2)</f>
        <v>3</v>
      </c>
      <c r="G24" s="20" cm="1">
        <f t="array" ref="G24">_xlfn.XLOOKUP($G$6, 'Metric Categories 1-14'!$B$7:$FM$7, _xlfn.XLOOKUP(A24, 'Metric Categories 1-14'!$A$8:$A$57, 'Metric Categories 1-14'!$B$8:$FM$57))</f>
        <v>3</v>
      </c>
      <c r="H24" s="20" cm="1">
        <f t="array" ref="H24">_xlfn.XLOOKUP($H$6, 'Metric Categories 1-14'!$B$7:$FM$7, _xlfn.XLOOKUP(A24, 'Metric Categories 1-14'!$A$8:$A$57, 'Metric Categories 1-14'!$B$8:$FM$57))</f>
        <v>1</v>
      </c>
      <c r="I24" s="20" cm="1">
        <f t="array" ref="I24">_xlfn.XLOOKUP($I$6, 'Metric Categories 1-14'!$B$7:$FM$7, _xlfn.XLOOKUP(A24, 'Metric Categories 1-14'!$A$8:$A$57, 'Metric Categories 1-14'!$B$8:$FM$57))</f>
        <v>1</v>
      </c>
      <c r="J24" s="20" cm="1">
        <f t="array" ref="J24">_xlfn.XLOOKUP($J$6, '15. Workforce Calcs'!$B$8:$BG$8, _xlfn.XLOOKUP(A24, '15. Workforce Calcs'!$A$10:$A$59, '15. Workforce Calcs'!$B$10:$BG$59))</f>
        <v>3</v>
      </c>
      <c r="K24" s="20" cm="1">
        <f t="array" ref="K24">_xlfn.XLOOKUP($K$6, '16. Existing HQs and Projects'!$B$8:$Q$8, _xlfn.XLOOKUP(A24,'16. Existing HQs and Projects'!$A$9:$A$58, '16. Existing HQs and Projects'!$B$9:$Q$58))</f>
        <v>1</v>
      </c>
      <c r="L24" s="37">
        <f t="shared" si="1"/>
        <v>2.0999999999999996</v>
      </c>
      <c r="M24" s="37" cm="1">
        <f t="array" ref="M24">_xlfn.IFS(L24=0, 1, L24&gt;$L$59, 3, L24=$L$59, 3, L24&lt;$L$59, 2)</f>
        <v>3</v>
      </c>
      <c r="N24" s="13"/>
      <c r="O24" s="13"/>
      <c r="P24" s="13"/>
    </row>
    <row r="25" spans="1:16" ht="15.95" customHeight="1">
      <c r="A25" s="16" t="s">
        <v>125</v>
      </c>
      <c r="B25" s="20" cm="1">
        <f t="array" ref="B25">_xlfn.XLOOKUP($B$6, 'Metric Categories 1-14'!$B$7:$FM$7, _xlfn.XLOOKUP(A25, 'Metric Categories 1-14'!$A$8:$A$57, 'Metric Categories 1-14'!$B$8:$FM$57))</f>
        <v>2.4</v>
      </c>
      <c r="C25" s="20" cm="1">
        <f t="array" ref="C25">_xlfn.XLOOKUP($C$6, 'Metric Categories 1-14'!$B$7:$FM$7, _xlfn.XLOOKUP(A25, 'Metric Categories 1-14'!$A$8:$A$57, 'Metric Categories 1-14'!$B$8:$FM$57))</f>
        <v>1.2749999999999999</v>
      </c>
      <c r="D25" s="20" cm="1">
        <f t="array" ref="D25">_xlfn.XLOOKUP($D$6, 'Metric Categories 1-14'!$B$7:$FM$7, _xlfn.XLOOKUP(A25, 'Metric Categories 1-14'!$A$8:$A$57, 'Metric Categories 1-14'!$B$8:$FM$57))</f>
        <v>1.2000000000000002</v>
      </c>
      <c r="E25" s="35">
        <f t="shared" si="0"/>
        <v>1.64625</v>
      </c>
      <c r="F25" s="301" cm="1">
        <f t="array" ref="F25">_xlfn.IFS(E25=0, 1, E25&gt;$E$59, 3, E25&lt;$E$59, 2)</f>
        <v>3</v>
      </c>
      <c r="G25" s="20" cm="1">
        <f t="array" ref="G25">_xlfn.XLOOKUP($G$6, 'Metric Categories 1-14'!$B$7:$FM$7, _xlfn.XLOOKUP(A25, 'Metric Categories 1-14'!$A$8:$A$57, 'Metric Categories 1-14'!$B$8:$FM$57))</f>
        <v>2.5</v>
      </c>
      <c r="H25" s="20" cm="1">
        <f t="array" ref="H25">_xlfn.XLOOKUP($H$6, 'Metric Categories 1-14'!$B$7:$FM$7, _xlfn.XLOOKUP(A25, 'Metric Categories 1-14'!$A$8:$A$57, 'Metric Categories 1-14'!$B$8:$FM$57))</f>
        <v>1.3333333333333333</v>
      </c>
      <c r="I25" s="20" cm="1">
        <f t="array" ref="I25">_xlfn.XLOOKUP($I$6, 'Metric Categories 1-14'!$B$7:$FM$7, _xlfn.XLOOKUP(A25, 'Metric Categories 1-14'!$A$8:$A$57, 'Metric Categories 1-14'!$B$8:$FM$57))</f>
        <v>1</v>
      </c>
      <c r="J25" s="20" cm="1">
        <f t="array" ref="J25">_xlfn.XLOOKUP($J$6, '15. Workforce Calcs'!$B$8:$BG$8, _xlfn.XLOOKUP(A25, '15. Workforce Calcs'!$A$10:$A$59, '15. Workforce Calcs'!$B$10:$BG$59))</f>
        <v>1</v>
      </c>
      <c r="K25" s="20" cm="1">
        <f t="array" ref="K25">_xlfn.XLOOKUP($K$6, '16. Existing HQs and Projects'!$B$8:$Q$8, _xlfn.XLOOKUP(A25,'16. Existing HQs and Projects'!$A$9:$A$58, '16. Existing HQs and Projects'!$B$9:$Q$58))</f>
        <v>1</v>
      </c>
      <c r="L25" s="37">
        <f t="shared" si="1"/>
        <v>1.6833333333333331</v>
      </c>
      <c r="M25" s="37" cm="1">
        <f t="array" ref="M25">_xlfn.IFS(L25=0, 1, L25&gt;$L$59, 3, L25=$L$59, 3, L25&lt;$L$59, 2)</f>
        <v>2</v>
      </c>
      <c r="N25" s="13"/>
      <c r="O25" s="13"/>
      <c r="P25" s="13"/>
    </row>
    <row r="26" spans="1:16" ht="15.95" customHeight="1">
      <c r="A26" s="16" t="s">
        <v>127</v>
      </c>
      <c r="B26" s="20" cm="1">
        <f t="array" ref="B26">_xlfn.XLOOKUP($B$6, 'Metric Categories 1-14'!$B$7:$FM$7, _xlfn.XLOOKUP(A26, 'Metric Categories 1-14'!$A$8:$A$57, 'Metric Categories 1-14'!$B$8:$FM$57))</f>
        <v>2.4</v>
      </c>
      <c r="C26" s="20" cm="1">
        <f t="array" ref="C26">_xlfn.XLOOKUP($C$6, 'Metric Categories 1-14'!$B$7:$FM$7, _xlfn.XLOOKUP(A26, 'Metric Categories 1-14'!$A$8:$A$57, 'Metric Categories 1-14'!$B$8:$FM$57))</f>
        <v>1.075</v>
      </c>
      <c r="D26" s="20" cm="1">
        <f t="array" ref="D26">_xlfn.XLOOKUP($D$6, 'Metric Categories 1-14'!$B$7:$FM$7, _xlfn.XLOOKUP(A26, 'Metric Categories 1-14'!$A$8:$A$57, 'Metric Categories 1-14'!$B$8:$FM$57))</f>
        <v>2</v>
      </c>
      <c r="E26" s="35">
        <f t="shared" si="0"/>
        <v>1.8162500000000001</v>
      </c>
      <c r="F26" s="301" cm="1">
        <f t="array" ref="F26">_xlfn.IFS(E26=0, 1, E26&gt;$E$59, 3, E26&lt;$E$59, 2)</f>
        <v>3</v>
      </c>
      <c r="G26" s="20" cm="1">
        <f t="array" ref="G26">_xlfn.XLOOKUP($G$6, 'Metric Categories 1-14'!$B$7:$FM$7, _xlfn.XLOOKUP(A26, 'Metric Categories 1-14'!$A$8:$A$57, 'Metric Categories 1-14'!$B$8:$FM$57))</f>
        <v>2.75</v>
      </c>
      <c r="H26" s="20" cm="1">
        <f t="array" ref="H26">_xlfn.XLOOKUP($H$6, 'Metric Categories 1-14'!$B$7:$FM$7, _xlfn.XLOOKUP(A26, 'Metric Categories 1-14'!$A$8:$A$57, 'Metric Categories 1-14'!$B$8:$FM$57))</f>
        <v>1</v>
      </c>
      <c r="I26" s="20" cm="1">
        <f t="array" ref="I26">_xlfn.XLOOKUP($I$6, 'Metric Categories 1-14'!$B$7:$FM$7, _xlfn.XLOOKUP(A26, 'Metric Categories 1-14'!$A$8:$A$57, 'Metric Categories 1-14'!$B$8:$FM$57))</f>
        <v>1</v>
      </c>
      <c r="J26" s="20" cm="1">
        <f t="array" ref="J26">_xlfn.XLOOKUP($J$6, '15. Workforce Calcs'!$B$8:$BG$8, _xlfn.XLOOKUP(A26, '15. Workforce Calcs'!$A$10:$A$59, '15. Workforce Calcs'!$B$10:$BG$59))</f>
        <v>1</v>
      </c>
      <c r="K26" s="20" cm="1">
        <f t="array" ref="K26">_xlfn.XLOOKUP($K$6, '16. Existing HQs and Projects'!$B$8:$Q$8, _xlfn.XLOOKUP(A26,'16. Existing HQs and Projects'!$A$9:$A$58, '16. Existing HQs and Projects'!$B$9:$Q$58))</f>
        <v>1</v>
      </c>
      <c r="L26" s="37">
        <f t="shared" si="1"/>
        <v>1.7</v>
      </c>
      <c r="M26" s="37" cm="1">
        <f t="array" ref="M26">_xlfn.IFS(L26=0, 1, L26&gt;$L$59, 3, L26=$L$59, 3, L26&lt;$L$59, 2)</f>
        <v>3</v>
      </c>
      <c r="N26" s="13"/>
      <c r="O26" s="13"/>
      <c r="P26" s="13"/>
    </row>
    <row r="27" spans="1:16" ht="15.95" customHeight="1">
      <c r="A27" s="16" t="s">
        <v>128</v>
      </c>
      <c r="B27" s="20" cm="1">
        <f t="array" ref="B27">_xlfn.XLOOKUP($B$6, 'Metric Categories 1-14'!$B$7:$FM$7, _xlfn.XLOOKUP(A27, 'Metric Categories 1-14'!$A$8:$A$57, 'Metric Categories 1-14'!$B$8:$FM$57))</f>
        <v>2.4</v>
      </c>
      <c r="C27" s="20" cm="1">
        <f t="array" ref="C27">_xlfn.XLOOKUP($C$6, 'Metric Categories 1-14'!$B$7:$FM$7, _xlfn.XLOOKUP(A27, 'Metric Categories 1-14'!$A$8:$A$57, 'Metric Categories 1-14'!$B$8:$FM$57))</f>
        <v>1.2749999999999999</v>
      </c>
      <c r="D27" s="20" cm="1">
        <f t="array" ref="D27">_xlfn.XLOOKUP($D$6, 'Metric Categories 1-14'!$B$7:$FM$7, _xlfn.XLOOKUP(A27, 'Metric Categories 1-14'!$A$8:$A$57, 'Metric Categories 1-14'!$B$8:$FM$57))</f>
        <v>3</v>
      </c>
      <c r="E27" s="35">
        <f t="shared" si="0"/>
        <v>2.1862499999999998</v>
      </c>
      <c r="F27" s="301" cm="1">
        <f t="array" ref="F27">_xlfn.IFS(E27=0, 1, E27&gt;$E$59, 3, E27&lt;$E$59, 2)</f>
        <v>3</v>
      </c>
      <c r="G27" s="20" cm="1">
        <f t="array" ref="G27">_xlfn.XLOOKUP($G$6, 'Metric Categories 1-14'!$B$7:$FM$7, _xlfn.XLOOKUP(A27, 'Metric Categories 1-14'!$A$8:$A$57, 'Metric Categories 1-14'!$B$8:$FM$57))</f>
        <v>2.5</v>
      </c>
      <c r="H27" s="20" cm="1">
        <f t="array" ref="H27">_xlfn.XLOOKUP($H$6, 'Metric Categories 1-14'!$B$7:$FM$7, _xlfn.XLOOKUP(A27, 'Metric Categories 1-14'!$A$8:$A$57, 'Metric Categories 1-14'!$B$8:$FM$57))</f>
        <v>1</v>
      </c>
      <c r="I27" s="20" cm="1">
        <f t="array" ref="I27">_xlfn.XLOOKUP($I$6, 'Metric Categories 1-14'!$B$7:$FM$7, _xlfn.XLOOKUP(A27, 'Metric Categories 1-14'!$A$8:$A$57, 'Metric Categories 1-14'!$B$8:$FM$57))</f>
        <v>2</v>
      </c>
      <c r="J27" s="20" cm="1">
        <f t="array" ref="J27">_xlfn.XLOOKUP($J$6, '15. Workforce Calcs'!$B$8:$BG$8, _xlfn.XLOOKUP(A27, '15. Workforce Calcs'!$A$10:$A$59, '15. Workforce Calcs'!$B$10:$BG$59))</f>
        <v>1</v>
      </c>
      <c r="K27" s="20" cm="1">
        <f t="array" ref="K27">_xlfn.XLOOKUP($K$6, '16. Existing HQs and Projects'!$B$8:$Q$8, _xlfn.XLOOKUP(A27,'16. Existing HQs and Projects'!$A$9:$A$58, '16. Existing HQs and Projects'!$B$9:$Q$58))</f>
        <v>3</v>
      </c>
      <c r="L27" s="37">
        <f t="shared" si="1"/>
        <v>1.85</v>
      </c>
      <c r="M27" s="37" cm="1">
        <f t="array" ref="M27">_xlfn.IFS(L27=0, 1, L27&gt;$L$59, 3, L27=$L$59, 3, L27&lt;$L$59, 2)</f>
        <v>3</v>
      </c>
      <c r="N27" s="13"/>
      <c r="O27" s="13"/>
      <c r="P27" s="13"/>
    </row>
    <row r="28" spans="1:16" ht="15.95" customHeight="1">
      <c r="A28" s="16" t="s">
        <v>129</v>
      </c>
      <c r="B28" s="20" cm="1">
        <f t="array" ref="B28">_xlfn.XLOOKUP($B$6, 'Metric Categories 1-14'!$B$7:$FM$7, _xlfn.XLOOKUP(A28, 'Metric Categories 1-14'!$A$8:$A$57, 'Metric Categories 1-14'!$B$8:$FM$57))</f>
        <v>1.8499999999999999</v>
      </c>
      <c r="C28" s="20" cm="1">
        <f t="array" ref="C28">_xlfn.XLOOKUP($C$6, 'Metric Categories 1-14'!$B$7:$FM$7, _xlfn.XLOOKUP(A28, 'Metric Categories 1-14'!$A$8:$A$57, 'Metric Categories 1-14'!$B$8:$FM$57))</f>
        <v>1.2</v>
      </c>
      <c r="D28" s="20" cm="1">
        <f t="array" ref="D28">_xlfn.XLOOKUP($D$6, 'Metric Categories 1-14'!$B$7:$FM$7, _xlfn.XLOOKUP(A28, 'Metric Categories 1-14'!$A$8:$A$57, 'Metric Categories 1-14'!$B$8:$FM$57))</f>
        <v>1.6</v>
      </c>
      <c r="E28" s="35">
        <f t="shared" si="0"/>
        <v>0</v>
      </c>
      <c r="F28" s="301" cm="1">
        <f t="array" ref="F28">_xlfn.IFS(E28=0, 1, E28&gt;$E$59, 3, E28&lt;$E$59, 2)</f>
        <v>1</v>
      </c>
      <c r="G28" s="20" cm="1">
        <f t="array" ref="G28">_xlfn.XLOOKUP($G$6, 'Metric Categories 1-14'!$B$7:$FM$7, _xlfn.XLOOKUP(A28, 'Metric Categories 1-14'!$A$8:$A$57, 'Metric Categories 1-14'!$B$8:$FM$57))</f>
        <v>0</v>
      </c>
      <c r="H28" s="20" cm="1">
        <f t="array" ref="H28">_xlfn.XLOOKUP($H$6, 'Metric Categories 1-14'!$B$7:$FM$7, _xlfn.XLOOKUP(A28, 'Metric Categories 1-14'!$A$8:$A$57, 'Metric Categories 1-14'!$B$8:$FM$57))</f>
        <v>1.3333333333333333</v>
      </c>
      <c r="I28" s="20" cm="1">
        <f t="array" ref="I28">_xlfn.XLOOKUP($I$6, 'Metric Categories 1-14'!$B$7:$FM$7, _xlfn.XLOOKUP(A28, 'Metric Categories 1-14'!$A$8:$A$57, 'Metric Categories 1-14'!$B$8:$FM$57))</f>
        <v>2</v>
      </c>
      <c r="J28" s="20" cm="1">
        <f t="array" ref="J28">_xlfn.XLOOKUP($J$6, '15. Workforce Calcs'!$B$8:$BG$8, _xlfn.XLOOKUP(A28, '15. Workforce Calcs'!$A$10:$A$59, '15. Workforce Calcs'!$B$10:$BG$59))</f>
        <v>2</v>
      </c>
      <c r="K28" s="20" cm="1">
        <f t="array" ref="K28">_xlfn.XLOOKUP($K$6, '16. Existing HQs and Projects'!$B$8:$Q$8, _xlfn.XLOOKUP(A28,'16. Existing HQs and Projects'!$A$9:$A$58, '16. Existing HQs and Projects'!$B$9:$Q$58))</f>
        <v>1</v>
      </c>
      <c r="L28" s="37">
        <f t="shared" si="1"/>
        <v>0</v>
      </c>
      <c r="M28" s="37" cm="1">
        <f t="array" ref="M28">_xlfn.IFS(L28=0, 1, L28&gt;$L$59, 3, L28=$L$59, 3, L28&lt;$L$59, 2)</f>
        <v>1</v>
      </c>
      <c r="N28" s="13"/>
      <c r="O28" s="13"/>
      <c r="P28" s="13"/>
    </row>
    <row r="29" spans="1:16" ht="15.95" customHeight="1">
      <c r="A29" s="16" t="s">
        <v>130</v>
      </c>
      <c r="B29" s="20" cm="1">
        <f t="array" ref="B29">_xlfn.XLOOKUP($B$6, 'Metric Categories 1-14'!$B$7:$FM$7, _xlfn.XLOOKUP(A29, 'Metric Categories 1-14'!$A$8:$A$57, 'Metric Categories 1-14'!$B$8:$FM$57))</f>
        <v>2</v>
      </c>
      <c r="C29" s="20" cm="1">
        <f t="array" ref="C29">_xlfn.XLOOKUP($C$6, 'Metric Categories 1-14'!$B$7:$FM$7, _xlfn.XLOOKUP(A29, 'Metric Categories 1-14'!$A$8:$A$57, 'Metric Categories 1-14'!$B$8:$FM$57))</f>
        <v>1.2</v>
      </c>
      <c r="D29" s="20" cm="1">
        <f t="array" ref="D29">_xlfn.XLOOKUP($D$6, 'Metric Categories 1-14'!$B$7:$FM$7, _xlfn.XLOOKUP(A29, 'Metric Categories 1-14'!$A$8:$A$57, 'Metric Categories 1-14'!$B$8:$FM$57))</f>
        <v>3</v>
      </c>
      <c r="E29" s="35">
        <f t="shared" si="0"/>
        <v>0</v>
      </c>
      <c r="F29" s="301" cm="1">
        <f t="array" ref="F29">_xlfn.IFS(E29=0, 1, E29&gt;$E$59, 3, E29&lt;$E$59, 2)</f>
        <v>1</v>
      </c>
      <c r="G29" s="20" cm="1">
        <f t="array" ref="G29">_xlfn.XLOOKUP($G$6, 'Metric Categories 1-14'!$B$7:$FM$7, _xlfn.XLOOKUP(A29, 'Metric Categories 1-14'!$A$8:$A$57, 'Metric Categories 1-14'!$B$8:$FM$57))</f>
        <v>0</v>
      </c>
      <c r="H29" s="20" cm="1">
        <f t="array" ref="H29">_xlfn.XLOOKUP($H$6, 'Metric Categories 1-14'!$B$7:$FM$7, _xlfn.XLOOKUP(A29, 'Metric Categories 1-14'!$A$8:$A$57, 'Metric Categories 1-14'!$B$8:$FM$57))</f>
        <v>1.3333333333333333</v>
      </c>
      <c r="I29" s="20" cm="1">
        <f t="array" ref="I29">_xlfn.XLOOKUP($I$6, 'Metric Categories 1-14'!$B$7:$FM$7, _xlfn.XLOOKUP(A29, 'Metric Categories 1-14'!$A$8:$A$57, 'Metric Categories 1-14'!$B$8:$FM$57))</f>
        <v>3</v>
      </c>
      <c r="J29" s="20" cm="1">
        <f t="array" ref="J29">_xlfn.XLOOKUP($J$6, '15. Workforce Calcs'!$B$8:$BG$8, _xlfn.XLOOKUP(A29, '15. Workforce Calcs'!$A$10:$A$59, '15. Workforce Calcs'!$B$10:$BG$59))</f>
        <v>2</v>
      </c>
      <c r="K29" s="20" cm="1">
        <f t="array" ref="K29">_xlfn.XLOOKUP($K$6, '16. Existing HQs and Projects'!$B$8:$Q$8, _xlfn.XLOOKUP(A29,'16. Existing HQs and Projects'!$A$9:$A$58, '16. Existing HQs and Projects'!$B$9:$Q$58))</f>
        <v>1</v>
      </c>
      <c r="L29" s="37">
        <f t="shared" si="1"/>
        <v>0</v>
      </c>
      <c r="M29" s="37" cm="1">
        <f t="array" ref="M29">_xlfn.IFS(L29=0, 1, L29&gt;$L$59, 3, L29=$L$59, 3, L29&lt;$L$59, 2)</f>
        <v>1</v>
      </c>
      <c r="N29" s="13"/>
      <c r="O29" s="13"/>
      <c r="P29" s="13"/>
    </row>
    <row r="30" spans="1:16" ht="15.95" customHeight="1">
      <c r="A30" s="16" t="s">
        <v>131</v>
      </c>
      <c r="B30" s="20" cm="1">
        <f t="array" ref="B30">_xlfn.XLOOKUP($B$6, 'Metric Categories 1-14'!$B$7:$FM$7, _xlfn.XLOOKUP(A30, 'Metric Categories 1-14'!$A$8:$A$57, 'Metric Categories 1-14'!$B$8:$FM$57))</f>
        <v>0.99999999999999989</v>
      </c>
      <c r="C30" s="20" cm="1">
        <f t="array" ref="C30">_xlfn.XLOOKUP($C$6, 'Metric Categories 1-14'!$B$7:$FM$7, _xlfn.XLOOKUP(A30, 'Metric Categories 1-14'!$A$8:$A$57, 'Metric Categories 1-14'!$B$8:$FM$57))</f>
        <v>0.99999999999999978</v>
      </c>
      <c r="D30" s="20" cm="1">
        <f t="array" ref="D30">_xlfn.XLOOKUP($D$6, 'Metric Categories 1-14'!$B$7:$FM$7, _xlfn.XLOOKUP(A30, 'Metric Categories 1-14'!$A$8:$A$57, 'Metric Categories 1-14'!$B$8:$FM$57))</f>
        <v>1.2</v>
      </c>
      <c r="E30" s="35">
        <f t="shared" si="0"/>
        <v>1.0599999999999998</v>
      </c>
      <c r="F30" s="301" cm="1">
        <f t="array" ref="F30">_xlfn.IFS(E30=0, 1, E30&gt;$E$59, 3, E30&lt;$E$59, 2)</f>
        <v>2</v>
      </c>
      <c r="G30" s="20" cm="1">
        <f t="array" ref="G30">_xlfn.XLOOKUP($G$6, 'Metric Categories 1-14'!$B$7:$FM$7, _xlfn.XLOOKUP(A30, 'Metric Categories 1-14'!$A$8:$A$57, 'Metric Categories 1-14'!$B$8:$FM$57))</f>
        <v>2</v>
      </c>
      <c r="H30" s="20" cm="1">
        <f t="array" ref="H30">_xlfn.XLOOKUP($H$6, 'Metric Categories 1-14'!$B$7:$FM$7, _xlfn.XLOOKUP(A30, 'Metric Categories 1-14'!$A$8:$A$57, 'Metric Categories 1-14'!$B$8:$FM$57))</f>
        <v>1</v>
      </c>
      <c r="I30" s="20" cm="1">
        <f t="array" ref="I30">_xlfn.XLOOKUP($I$6, 'Metric Categories 1-14'!$B$7:$FM$7, _xlfn.XLOOKUP(A30, 'Metric Categories 1-14'!$A$8:$A$57, 'Metric Categories 1-14'!$B$8:$FM$57))</f>
        <v>2</v>
      </c>
      <c r="J30" s="20" cm="1">
        <f t="array" ref="J30">_xlfn.XLOOKUP($J$6, '15. Workforce Calcs'!$B$8:$BG$8, _xlfn.XLOOKUP(A30, '15. Workforce Calcs'!$A$10:$A$59, '15. Workforce Calcs'!$B$10:$BG$59))</f>
        <v>1</v>
      </c>
      <c r="K30" s="20" cm="1">
        <f t="array" ref="K30">_xlfn.XLOOKUP($K$6, '16. Existing HQs and Projects'!$B$8:$Q$8, _xlfn.XLOOKUP(A30,'16. Existing HQs and Projects'!$A$9:$A$58, '16. Existing HQs and Projects'!$B$9:$Q$58))</f>
        <v>1</v>
      </c>
      <c r="L30" s="37">
        <f t="shared" si="1"/>
        <v>1.55</v>
      </c>
      <c r="M30" s="37" cm="1">
        <f t="array" ref="M30">_xlfn.IFS(L30=0, 1, L30&gt;$L$59, 3, L30=$L$59, 3, L30&lt;$L$59, 2)</f>
        <v>2</v>
      </c>
      <c r="N30" s="13"/>
      <c r="O30" s="13"/>
      <c r="P30" s="13"/>
    </row>
    <row r="31" spans="1:16" ht="15.95" customHeight="1">
      <c r="A31" s="16" t="s">
        <v>132</v>
      </c>
      <c r="B31" s="20" cm="1">
        <f t="array" ref="B31">_xlfn.XLOOKUP($B$6, 'Metric Categories 1-14'!$B$7:$FM$7, _xlfn.XLOOKUP(A31, 'Metric Categories 1-14'!$A$8:$A$57, 'Metric Categories 1-14'!$B$8:$FM$57))</f>
        <v>0.99999999999999989</v>
      </c>
      <c r="C31" s="20" cm="1">
        <f t="array" ref="C31">_xlfn.XLOOKUP($C$6, 'Metric Categories 1-14'!$B$7:$FM$7, _xlfn.XLOOKUP(A31, 'Metric Categories 1-14'!$A$8:$A$57, 'Metric Categories 1-14'!$B$8:$FM$57))</f>
        <v>0.99999999999999978</v>
      </c>
      <c r="D31" s="20" cm="1">
        <f t="array" ref="D31">_xlfn.XLOOKUP($D$6, 'Metric Categories 1-14'!$B$7:$FM$7, _xlfn.XLOOKUP(A31, 'Metric Categories 1-14'!$A$8:$A$57, 'Metric Categories 1-14'!$B$8:$FM$57))</f>
        <v>1</v>
      </c>
      <c r="E31" s="35">
        <f t="shared" si="0"/>
        <v>0</v>
      </c>
      <c r="F31" s="301" cm="1">
        <f t="array" ref="F31">_xlfn.IFS(E31=0, 1, E31&gt;$E$59, 3, E31&lt;$E$59, 2)</f>
        <v>1</v>
      </c>
      <c r="G31" s="20" cm="1">
        <f t="array" ref="G31">_xlfn.XLOOKUP($G$6, 'Metric Categories 1-14'!$B$7:$FM$7, _xlfn.XLOOKUP(A31, 'Metric Categories 1-14'!$A$8:$A$57, 'Metric Categories 1-14'!$B$8:$FM$57))</f>
        <v>0</v>
      </c>
      <c r="H31" s="20" cm="1">
        <f t="array" ref="H31">_xlfn.XLOOKUP($H$6, 'Metric Categories 1-14'!$B$7:$FM$7, _xlfn.XLOOKUP(A31, 'Metric Categories 1-14'!$A$8:$A$57, 'Metric Categories 1-14'!$B$8:$FM$57))</f>
        <v>1</v>
      </c>
      <c r="I31" s="20" cm="1">
        <f t="array" ref="I31">_xlfn.XLOOKUP($I$6, 'Metric Categories 1-14'!$B$7:$FM$7, _xlfn.XLOOKUP(A31, 'Metric Categories 1-14'!$A$8:$A$57, 'Metric Categories 1-14'!$B$8:$FM$57))</f>
        <v>3</v>
      </c>
      <c r="J31" s="20" cm="1">
        <f t="array" ref="J31">_xlfn.XLOOKUP($J$6, '15. Workforce Calcs'!$B$8:$BG$8, _xlfn.XLOOKUP(A31, '15. Workforce Calcs'!$A$10:$A$59, '15. Workforce Calcs'!$B$10:$BG$59))</f>
        <v>2</v>
      </c>
      <c r="K31" s="20" cm="1">
        <f t="array" ref="K31">_xlfn.XLOOKUP($K$6, '16. Existing HQs and Projects'!$B$8:$Q$8, _xlfn.XLOOKUP(A31,'16. Existing HQs and Projects'!$A$9:$A$58, '16. Existing HQs and Projects'!$B$9:$Q$58))</f>
        <v>1</v>
      </c>
      <c r="L31" s="37">
        <f t="shared" si="1"/>
        <v>0</v>
      </c>
      <c r="M31" s="37" cm="1">
        <f t="array" ref="M31">_xlfn.IFS(L31=0, 1, L31&gt;$L$59, 3, L31=$L$59, 3, L31&lt;$L$59, 2)</f>
        <v>1</v>
      </c>
      <c r="N31" s="13"/>
      <c r="O31" s="13"/>
      <c r="P31" s="13"/>
    </row>
    <row r="32" spans="1:16" ht="15.95" customHeight="1">
      <c r="A32" s="16" t="s">
        <v>133</v>
      </c>
      <c r="B32" s="20" cm="1">
        <f t="array" ref="B32">_xlfn.XLOOKUP($B$6, 'Metric Categories 1-14'!$B$7:$FM$7, _xlfn.XLOOKUP(A32, 'Metric Categories 1-14'!$A$8:$A$57, 'Metric Categories 1-14'!$B$8:$FM$57))</f>
        <v>1.8499999999999999</v>
      </c>
      <c r="C32" s="20" cm="1">
        <f t="array" ref="C32">_xlfn.XLOOKUP($C$6, 'Metric Categories 1-14'!$B$7:$FM$7, _xlfn.XLOOKUP(A32, 'Metric Categories 1-14'!$A$8:$A$57, 'Metric Categories 1-14'!$B$8:$FM$57))</f>
        <v>0.79999999999999993</v>
      </c>
      <c r="D32" s="20" cm="1">
        <f t="array" ref="D32">_xlfn.XLOOKUP($D$6, 'Metric Categories 1-14'!$B$7:$FM$7, _xlfn.XLOOKUP(A32, 'Metric Categories 1-14'!$A$8:$A$57, 'Metric Categories 1-14'!$B$8:$FM$57))</f>
        <v>1.5999999999999999</v>
      </c>
      <c r="E32" s="35">
        <f t="shared" si="0"/>
        <v>0</v>
      </c>
      <c r="F32" s="301" cm="1">
        <f t="array" ref="F32">_xlfn.IFS(E32=0, 1, E32&gt;$E$59, 3, E32&lt;$E$59, 2)</f>
        <v>1</v>
      </c>
      <c r="G32" s="20" cm="1">
        <f t="array" ref="G32">_xlfn.XLOOKUP($G$6, 'Metric Categories 1-14'!$B$7:$FM$7, _xlfn.XLOOKUP(A32, 'Metric Categories 1-14'!$A$8:$A$57, 'Metric Categories 1-14'!$B$8:$FM$57))</f>
        <v>0</v>
      </c>
      <c r="H32" s="20" cm="1">
        <f t="array" ref="H32">_xlfn.XLOOKUP($H$6, 'Metric Categories 1-14'!$B$7:$FM$7, _xlfn.XLOOKUP(A32, 'Metric Categories 1-14'!$A$8:$A$57, 'Metric Categories 1-14'!$B$8:$FM$57))</f>
        <v>1.6666666666666665</v>
      </c>
      <c r="I32" s="20" cm="1">
        <f t="array" ref="I32">_xlfn.XLOOKUP($I$6, 'Metric Categories 1-14'!$B$7:$FM$7, _xlfn.XLOOKUP(A32, 'Metric Categories 1-14'!$A$8:$A$57, 'Metric Categories 1-14'!$B$8:$FM$57))</f>
        <v>2</v>
      </c>
      <c r="J32" s="20" cm="1">
        <f t="array" ref="J32">_xlfn.XLOOKUP($J$6, '15. Workforce Calcs'!$B$8:$BG$8, _xlfn.XLOOKUP(A32, '15. Workforce Calcs'!$A$10:$A$59, '15. Workforce Calcs'!$B$10:$BG$59))</f>
        <v>1</v>
      </c>
      <c r="K32" s="20" cm="1">
        <f t="array" ref="K32">_xlfn.XLOOKUP($K$6, '16. Existing HQs and Projects'!$B$8:$Q$8, _xlfn.XLOOKUP(A32,'16. Existing HQs and Projects'!$A$9:$A$58, '16. Existing HQs and Projects'!$B$9:$Q$58))</f>
        <v>1</v>
      </c>
      <c r="L32" s="37">
        <f t="shared" si="1"/>
        <v>0</v>
      </c>
      <c r="M32" s="37" cm="1">
        <f t="array" ref="M32">_xlfn.IFS(L32=0, 1, L32&gt;$L$59, 3, L32=$L$59, 3, L32&lt;$L$59, 2)</f>
        <v>1</v>
      </c>
      <c r="N32" s="13"/>
      <c r="O32" s="13"/>
      <c r="P32" s="13"/>
    </row>
    <row r="33" spans="1:16" ht="15.95" customHeight="1">
      <c r="A33" s="16" t="s">
        <v>134</v>
      </c>
      <c r="B33" s="20" cm="1">
        <f t="array" ref="B33">_xlfn.XLOOKUP($B$6, 'Metric Categories 1-14'!$B$7:$FM$7, _xlfn.XLOOKUP(A33, 'Metric Categories 1-14'!$A$8:$A$57, 'Metric Categories 1-14'!$B$8:$FM$57))</f>
        <v>0.99999999999999989</v>
      </c>
      <c r="C33" s="20" cm="1">
        <f t="array" ref="C33">_xlfn.XLOOKUP($C$6, 'Metric Categories 1-14'!$B$7:$FM$7, _xlfn.XLOOKUP(A33, 'Metric Categories 1-14'!$A$8:$A$57, 'Metric Categories 1-14'!$B$8:$FM$57))</f>
        <v>0.99999999999999978</v>
      </c>
      <c r="D33" s="20" cm="1">
        <f t="array" ref="D33">_xlfn.XLOOKUP($D$6, 'Metric Categories 1-14'!$B$7:$FM$7, _xlfn.XLOOKUP(A33, 'Metric Categories 1-14'!$A$8:$A$57, 'Metric Categories 1-14'!$B$8:$FM$57))</f>
        <v>1.2000000000000002</v>
      </c>
      <c r="E33" s="35">
        <f t="shared" si="0"/>
        <v>0</v>
      </c>
      <c r="F33" s="301" cm="1">
        <f t="array" ref="F33">_xlfn.IFS(E33=0, 1, E33&gt;$E$59, 3, E33&lt;$E$59, 2)</f>
        <v>1</v>
      </c>
      <c r="G33" s="20" cm="1">
        <f t="array" ref="G33">_xlfn.XLOOKUP($G$6, 'Metric Categories 1-14'!$B$7:$FM$7, _xlfn.XLOOKUP(A33, 'Metric Categories 1-14'!$A$8:$A$57, 'Metric Categories 1-14'!$B$8:$FM$57))</f>
        <v>0</v>
      </c>
      <c r="H33" s="20" cm="1">
        <f t="array" ref="H33">_xlfn.XLOOKUP($H$6, 'Metric Categories 1-14'!$B$7:$FM$7, _xlfn.XLOOKUP(A33, 'Metric Categories 1-14'!$A$8:$A$57, 'Metric Categories 1-14'!$B$8:$FM$57))</f>
        <v>1</v>
      </c>
      <c r="I33" s="20" cm="1">
        <f t="array" ref="I33">_xlfn.XLOOKUP($I$6, 'Metric Categories 1-14'!$B$7:$FM$7, _xlfn.XLOOKUP(A33, 'Metric Categories 1-14'!$A$8:$A$57, 'Metric Categories 1-14'!$B$8:$FM$57))</f>
        <v>2</v>
      </c>
      <c r="J33" s="20" cm="1">
        <f t="array" ref="J33">_xlfn.XLOOKUP($J$6, '15. Workforce Calcs'!$B$8:$BG$8, _xlfn.XLOOKUP(A33, '15. Workforce Calcs'!$A$10:$A$59, '15. Workforce Calcs'!$B$10:$BG$59))</f>
        <v>1</v>
      </c>
      <c r="K33" s="20" cm="1">
        <f t="array" ref="K33">_xlfn.XLOOKUP($K$6, '16. Existing HQs and Projects'!$B$8:$Q$8, _xlfn.XLOOKUP(A33,'16. Existing HQs and Projects'!$A$9:$A$58, '16. Existing HQs and Projects'!$B$9:$Q$58))</f>
        <v>1</v>
      </c>
      <c r="L33" s="37">
        <f t="shared" si="1"/>
        <v>0</v>
      </c>
      <c r="M33" s="37" cm="1">
        <f t="array" ref="M33">_xlfn.IFS(L33=0, 1, L33&gt;$L$59, 3, L33=$L$59, 3, L33&lt;$L$59, 2)</f>
        <v>1</v>
      </c>
      <c r="N33" s="13"/>
      <c r="O33" s="13"/>
      <c r="P33" s="13"/>
    </row>
    <row r="34" spans="1:16" ht="15.95" customHeight="1">
      <c r="A34" s="16" t="s">
        <v>135</v>
      </c>
      <c r="B34" s="20" cm="1">
        <f t="array" ref="B34">_xlfn.XLOOKUP($B$6, 'Metric Categories 1-14'!$B$7:$FM$7, _xlfn.XLOOKUP(A34, 'Metric Categories 1-14'!$A$8:$A$57, 'Metric Categories 1-14'!$B$8:$FM$57))</f>
        <v>2.15</v>
      </c>
      <c r="C34" s="20" cm="1">
        <f t="array" ref="C34">_xlfn.XLOOKUP($C$6, 'Metric Categories 1-14'!$B$7:$FM$7, _xlfn.XLOOKUP(A34, 'Metric Categories 1-14'!$A$8:$A$57, 'Metric Categories 1-14'!$B$8:$FM$57))</f>
        <v>0.99999999999999978</v>
      </c>
      <c r="D34" s="20" cm="1">
        <f t="array" ref="D34">_xlfn.XLOOKUP($D$6, 'Metric Categories 1-14'!$B$7:$FM$7, _xlfn.XLOOKUP(A34, 'Metric Categories 1-14'!$A$8:$A$57, 'Metric Categories 1-14'!$B$8:$FM$57))</f>
        <v>1</v>
      </c>
      <c r="E34" s="35">
        <f t="shared" si="0"/>
        <v>0</v>
      </c>
      <c r="F34" s="301" cm="1">
        <f t="array" ref="F34">_xlfn.IFS(E34=0, 1, E34&gt;$E$59, 3, E34&lt;$E$59, 2)</f>
        <v>1</v>
      </c>
      <c r="G34" s="20" cm="1">
        <f t="array" ref="G34">_xlfn.XLOOKUP($G$6, 'Metric Categories 1-14'!$B$7:$FM$7, _xlfn.XLOOKUP(A34, 'Metric Categories 1-14'!$A$8:$A$57, 'Metric Categories 1-14'!$B$8:$FM$57))</f>
        <v>0</v>
      </c>
      <c r="H34" s="20" cm="1">
        <f t="array" ref="H34">_xlfn.XLOOKUP($H$6, 'Metric Categories 1-14'!$B$7:$FM$7, _xlfn.XLOOKUP(A34, 'Metric Categories 1-14'!$A$8:$A$57, 'Metric Categories 1-14'!$B$8:$FM$57))</f>
        <v>1.6666666666666665</v>
      </c>
      <c r="I34" s="20" cm="1">
        <f t="array" ref="I34">_xlfn.XLOOKUP($I$6, 'Metric Categories 1-14'!$B$7:$FM$7, _xlfn.XLOOKUP(A34, 'Metric Categories 1-14'!$A$8:$A$57, 'Metric Categories 1-14'!$B$8:$FM$57))</f>
        <v>2</v>
      </c>
      <c r="J34" s="20" cm="1">
        <f t="array" ref="J34">_xlfn.XLOOKUP($J$6, '15. Workforce Calcs'!$B$8:$BG$8, _xlfn.XLOOKUP(A34, '15. Workforce Calcs'!$A$10:$A$59, '15. Workforce Calcs'!$B$10:$BG$59))</f>
        <v>2</v>
      </c>
      <c r="K34" s="20" cm="1">
        <f t="array" ref="K34">_xlfn.XLOOKUP($K$6, '16. Existing HQs and Projects'!$B$8:$Q$8, _xlfn.XLOOKUP(A34,'16. Existing HQs and Projects'!$A$9:$A$58, '16. Existing HQs and Projects'!$B$9:$Q$58))</f>
        <v>1</v>
      </c>
      <c r="L34" s="37">
        <f t="shared" si="1"/>
        <v>0</v>
      </c>
      <c r="M34" s="37" cm="1">
        <f t="array" ref="M34">_xlfn.IFS(L34=0, 1, L34&gt;$L$59, 3, L34=$L$59, 3, L34&lt;$L$59, 2)</f>
        <v>1</v>
      </c>
      <c r="N34" s="13"/>
      <c r="O34" s="13"/>
      <c r="P34" s="13"/>
    </row>
    <row r="35" spans="1:16" ht="15.95" customHeight="1">
      <c r="A35" s="16" t="s">
        <v>136</v>
      </c>
      <c r="B35" s="20" cm="1">
        <f t="array" ref="B35">_xlfn.XLOOKUP($B$6, 'Metric Categories 1-14'!$B$7:$FM$7, _xlfn.XLOOKUP(A35, 'Metric Categories 1-14'!$A$8:$A$57, 'Metric Categories 1-14'!$B$8:$FM$57))</f>
        <v>1.95</v>
      </c>
      <c r="C35" s="20" cm="1">
        <f t="array" ref="C35">_xlfn.XLOOKUP($C$6, 'Metric Categories 1-14'!$B$7:$FM$7, _xlfn.XLOOKUP(A35, 'Metric Categories 1-14'!$A$8:$A$57, 'Metric Categories 1-14'!$B$8:$FM$57))</f>
        <v>1.0749999999999997</v>
      </c>
      <c r="D35" s="20" cm="1">
        <f t="array" ref="D35">_xlfn.XLOOKUP($D$6, 'Metric Categories 1-14'!$B$7:$FM$7, _xlfn.XLOOKUP(A35, 'Metric Categories 1-14'!$A$8:$A$57, 'Metric Categories 1-14'!$B$8:$FM$57))</f>
        <v>1.2</v>
      </c>
      <c r="E35" s="35">
        <f t="shared" si="0"/>
        <v>1.4187499999999997</v>
      </c>
      <c r="F35" s="301" cm="1">
        <f t="array" ref="F35">_xlfn.IFS(E35=0, 1, E35&gt;$E$59, 3, E35&lt;$E$59, 2)</f>
        <v>3</v>
      </c>
      <c r="G35" s="20" cm="1">
        <f t="array" ref="G35">_xlfn.XLOOKUP($G$6, 'Metric Categories 1-14'!$B$7:$FM$7, _xlfn.XLOOKUP(A35, 'Metric Categories 1-14'!$A$8:$A$57, 'Metric Categories 1-14'!$B$8:$FM$57))</f>
        <v>1.75</v>
      </c>
      <c r="H35" s="20" cm="1">
        <f t="array" ref="H35">_xlfn.XLOOKUP($H$6, 'Metric Categories 1-14'!$B$7:$FM$7, _xlfn.XLOOKUP(A35, 'Metric Categories 1-14'!$A$8:$A$57, 'Metric Categories 1-14'!$B$8:$FM$57))</f>
        <v>1</v>
      </c>
      <c r="I35" s="20" cm="1">
        <f t="array" ref="I35">_xlfn.XLOOKUP($I$6, 'Metric Categories 1-14'!$B$7:$FM$7, _xlfn.XLOOKUP(A35, 'Metric Categories 1-14'!$A$8:$A$57, 'Metric Categories 1-14'!$B$8:$FM$57))</f>
        <v>3</v>
      </c>
      <c r="J35" s="20" cm="1">
        <f t="array" ref="J35">_xlfn.XLOOKUP($J$6, '15. Workforce Calcs'!$B$8:$BG$8, _xlfn.XLOOKUP(A35, '15. Workforce Calcs'!$A$10:$A$59, '15. Workforce Calcs'!$B$10:$BG$59))</f>
        <v>1</v>
      </c>
      <c r="K35" s="20" cm="1">
        <f t="array" ref="K35">_xlfn.XLOOKUP($K$6, '16. Existing HQs and Projects'!$B$8:$Q$8, _xlfn.XLOOKUP(A35,'16. Existing HQs and Projects'!$A$9:$A$58, '16. Existing HQs and Projects'!$B$9:$Q$58))</f>
        <v>1</v>
      </c>
      <c r="L35" s="37">
        <f t="shared" si="1"/>
        <v>1.5999999999999999</v>
      </c>
      <c r="M35" s="37" cm="1">
        <f t="array" ref="M35">_xlfn.IFS(L35=0, 1, L35&gt;$L$59, 3, L35=$L$59, 3, L35&lt;$L$59, 2)</f>
        <v>2</v>
      </c>
      <c r="N35" s="13"/>
      <c r="O35" s="13"/>
      <c r="P35" s="13"/>
    </row>
    <row r="36" spans="1:16" ht="15.95" customHeight="1">
      <c r="A36" s="16" t="s">
        <v>137</v>
      </c>
      <c r="B36" s="20" cm="1">
        <f t="array" ref="B36">_xlfn.XLOOKUP($B$6, 'Metric Categories 1-14'!$B$7:$FM$7, _xlfn.XLOOKUP(A36, 'Metric Categories 1-14'!$A$8:$A$57, 'Metric Categories 1-14'!$B$8:$FM$57))</f>
        <v>2.25</v>
      </c>
      <c r="C36" s="20" cm="1">
        <f t="array" ref="C36">_xlfn.XLOOKUP($C$6, 'Metric Categories 1-14'!$B$7:$FM$7, _xlfn.XLOOKUP(A36, 'Metric Categories 1-14'!$A$8:$A$57, 'Metric Categories 1-14'!$B$8:$FM$57))</f>
        <v>1.2749999999999999</v>
      </c>
      <c r="D36" s="20" cm="1">
        <f t="array" ref="D36">_xlfn.XLOOKUP($D$6, 'Metric Categories 1-14'!$B$7:$FM$7, _xlfn.XLOOKUP(A36, 'Metric Categories 1-14'!$A$8:$A$57, 'Metric Categories 1-14'!$B$8:$FM$57))</f>
        <v>3</v>
      </c>
      <c r="E36" s="35">
        <f t="shared" si="0"/>
        <v>2.13375</v>
      </c>
      <c r="F36" s="301" cm="1">
        <f t="array" ref="F36">_xlfn.IFS(E36=0, 1, E36&gt;$E$59, 3, E36&lt;$E$59, 2)</f>
        <v>3</v>
      </c>
      <c r="G36" s="20" cm="1">
        <f t="array" ref="G36">_xlfn.XLOOKUP($G$6, 'Metric Categories 1-14'!$B$7:$FM$7, _xlfn.XLOOKUP(A36, 'Metric Categories 1-14'!$A$8:$A$57, 'Metric Categories 1-14'!$B$8:$FM$57))</f>
        <v>3</v>
      </c>
      <c r="H36" s="20" cm="1">
        <f t="array" ref="H36">_xlfn.XLOOKUP($H$6, 'Metric Categories 1-14'!$B$7:$FM$7, _xlfn.XLOOKUP(A36, 'Metric Categories 1-14'!$A$8:$A$57, 'Metric Categories 1-14'!$B$8:$FM$57))</f>
        <v>1.6666666666666665</v>
      </c>
      <c r="I36" s="20" cm="1">
        <f t="array" ref="I36">_xlfn.XLOOKUP($I$6, 'Metric Categories 1-14'!$B$7:$FM$7, _xlfn.XLOOKUP(A36, 'Metric Categories 1-14'!$A$8:$A$57, 'Metric Categories 1-14'!$B$8:$FM$57))</f>
        <v>2</v>
      </c>
      <c r="J36" s="20" cm="1">
        <f t="array" ref="J36">_xlfn.XLOOKUP($J$6, '15. Workforce Calcs'!$B$8:$BG$8, _xlfn.XLOOKUP(A36, '15. Workforce Calcs'!$A$10:$A$59, '15. Workforce Calcs'!$B$10:$BG$59))</f>
        <v>2</v>
      </c>
      <c r="K36" s="20" cm="1">
        <f t="array" ref="K36">_xlfn.XLOOKUP($K$6, '16. Existing HQs and Projects'!$B$8:$Q$8, _xlfn.XLOOKUP(A36,'16. Existing HQs and Projects'!$A$9:$A$58, '16. Existing HQs and Projects'!$B$9:$Q$58))</f>
        <v>1</v>
      </c>
      <c r="L36" s="37">
        <f t="shared" si="1"/>
        <v>2.2666666666666666</v>
      </c>
      <c r="M36" s="37" cm="1">
        <f t="array" ref="M36">_xlfn.IFS(L36=0, 1, L36&gt;$L$59, 3, L36=$L$59, 3, L36&lt;$L$59, 2)</f>
        <v>3</v>
      </c>
      <c r="N36" s="13"/>
      <c r="O36" s="13"/>
      <c r="P36" s="13"/>
    </row>
    <row r="37" spans="1:16" ht="15.95" customHeight="1">
      <c r="A37" s="16" t="s">
        <v>138</v>
      </c>
      <c r="B37" s="20" cm="1">
        <f t="array" ref="B37">_xlfn.XLOOKUP($B$6, 'Metric Categories 1-14'!$B$7:$FM$7, _xlfn.XLOOKUP(A37, 'Metric Categories 1-14'!$A$8:$A$57, 'Metric Categories 1-14'!$B$8:$FM$57))</f>
        <v>1.7</v>
      </c>
      <c r="C37" s="20" cm="1">
        <f t="array" ref="C37">_xlfn.XLOOKUP($C$6, 'Metric Categories 1-14'!$B$7:$FM$7, _xlfn.XLOOKUP(A37, 'Metric Categories 1-14'!$A$8:$A$57, 'Metric Categories 1-14'!$B$8:$FM$57))</f>
        <v>1.075</v>
      </c>
      <c r="D37" s="20" cm="1">
        <f t="array" ref="D37">_xlfn.XLOOKUP($D$6, 'Metric Categories 1-14'!$B$7:$FM$7, _xlfn.XLOOKUP(A37, 'Metric Categories 1-14'!$A$8:$A$57, 'Metric Categories 1-14'!$B$8:$FM$57))</f>
        <v>1.2000000000000002</v>
      </c>
      <c r="E37" s="35">
        <f t="shared" si="0"/>
        <v>0</v>
      </c>
      <c r="F37" s="301" cm="1">
        <f t="array" ref="F37">_xlfn.IFS(E37=0, 1, E37&gt;$E$59, 3, E37&lt;$E$59, 2)</f>
        <v>1</v>
      </c>
      <c r="G37" s="20" cm="1">
        <f t="array" ref="G37">_xlfn.XLOOKUP($G$6, 'Metric Categories 1-14'!$B$7:$FM$7, _xlfn.XLOOKUP(A37, 'Metric Categories 1-14'!$A$8:$A$57, 'Metric Categories 1-14'!$B$8:$FM$57))</f>
        <v>0</v>
      </c>
      <c r="H37" s="20" cm="1">
        <f t="array" ref="H37">_xlfn.XLOOKUP($H$6, 'Metric Categories 1-14'!$B$7:$FM$7, _xlfn.XLOOKUP(A37, 'Metric Categories 1-14'!$A$8:$A$57, 'Metric Categories 1-14'!$B$8:$FM$57))</f>
        <v>1.9999999999999998</v>
      </c>
      <c r="I37" s="20" cm="1">
        <f t="array" ref="I37">_xlfn.XLOOKUP($I$6, 'Metric Categories 1-14'!$B$7:$FM$7, _xlfn.XLOOKUP(A37, 'Metric Categories 1-14'!$A$8:$A$57, 'Metric Categories 1-14'!$B$8:$FM$57))</f>
        <v>1</v>
      </c>
      <c r="J37" s="20" cm="1">
        <f t="array" ref="J37">_xlfn.XLOOKUP($J$6, '15. Workforce Calcs'!$B$8:$BG$8, _xlfn.XLOOKUP(A37, '15. Workforce Calcs'!$A$10:$A$59, '15. Workforce Calcs'!$B$10:$BG$59))</f>
        <v>3</v>
      </c>
      <c r="K37" s="20" cm="1">
        <f t="array" ref="K37">_xlfn.XLOOKUP($K$6, '16. Existing HQs and Projects'!$B$8:$Q$8, _xlfn.XLOOKUP(A37,'16. Existing HQs and Projects'!$A$9:$A$58, '16. Existing HQs and Projects'!$B$9:$Q$58))</f>
        <v>1</v>
      </c>
      <c r="L37" s="37">
        <f t="shared" si="1"/>
        <v>0</v>
      </c>
      <c r="M37" s="37" cm="1">
        <f t="array" ref="M37">_xlfn.IFS(L37=0, 1, L37&gt;$L$59, 3, L37=$L$59, 3, L37&lt;$L$59, 2)</f>
        <v>1</v>
      </c>
      <c r="N37" s="13"/>
      <c r="O37" s="13"/>
      <c r="P37" s="13"/>
    </row>
    <row r="38" spans="1:16" ht="15.95" customHeight="1">
      <c r="A38" s="16" t="s">
        <v>139</v>
      </c>
      <c r="B38" s="20" cm="1">
        <f t="array" ref="B38">_xlfn.XLOOKUP($B$6, 'Metric Categories 1-14'!$B$7:$FM$7, _xlfn.XLOOKUP(A38, 'Metric Categories 1-14'!$A$8:$A$57, 'Metric Categories 1-14'!$B$8:$FM$57))</f>
        <v>2.4</v>
      </c>
      <c r="C38" s="20" cm="1">
        <f t="array" ref="C38">_xlfn.XLOOKUP($C$6, 'Metric Categories 1-14'!$B$7:$FM$7, _xlfn.XLOOKUP(A38, 'Metric Categories 1-14'!$A$8:$A$57, 'Metric Categories 1-14'!$B$8:$FM$57))</f>
        <v>1.2749999999999999</v>
      </c>
      <c r="D38" s="20" cm="1">
        <f t="array" ref="D38">_xlfn.XLOOKUP($D$6, 'Metric Categories 1-14'!$B$7:$FM$7, _xlfn.XLOOKUP(A38, 'Metric Categories 1-14'!$A$8:$A$57, 'Metric Categories 1-14'!$B$8:$FM$57))</f>
        <v>3</v>
      </c>
      <c r="E38" s="35">
        <f t="shared" ref="E38:E56" si="2">IF(G38=0, 0, (SUMPRODUCT($B$5:$D$5, B38:D38)))</f>
        <v>2.1862499999999998</v>
      </c>
      <c r="F38" s="301" cm="1">
        <f t="array" ref="F38">_xlfn.IFS(E38=0, 1, E38&gt;$E$59, 3, E38&lt;$E$59, 2)</f>
        <v>3</v>
      </c>
      <c r="G38" s="20" cm="1">
        <f t="array" ref="G38">_xlfn.XLOOKUP($G$6, 'Metric Categories 1-14'!$B$7:$FM$7, _xlfn.XLOOKUP(A38, 'Metric Categories 1-14'!$A$8:$A$57, 'Metric Categories 1-14'!$B$8:$FM$57))</f>
        <v>2</v>
      </c>
      <c r="H38" s="20" cm="1">
        <f t="array" ref="H38">_xlfn.XLOOKUP($H$6, 'Metric Categories 1-14'!$B$7:$FM$7, _xlfn.XLOOKUP(A38, 'Metric Categories 1-14'!$A$8:$A$57, 'Metric Categories 1-14'!$B$8:$FM$57))</f>
        <v>1.6666666666666665</v>
      </c>
      <c r="I38" s="20" cm="1">
        <f t="array" ref="I38">_xlfn.XLOOKUP($I$6, 'Metric Categories 1-14'!$B$7:$FM$7, _xlfn.XLOOKUP(A38, 'Metric Categories 1-14'!$A$8:$A$57, 'Metric Categories 1-14'!$B$8:$FM$57))</f>
        <v>1</v>
      </c>
      <c r="J38" s="20" cm="1">
        <f t="array" ref="J38">_xlfn.XLOOKUP($J$6, '15. Workforce Calcs'!$B$8:$BG$8, _xlfn.XLOOKUP(A38, '15. Workforce Calcs'!$A$10:$A$59, '15. Workforce Calcs'!$B$10:$BG$59))</f>
        <v>3</v>
      </c>
      <c r="K38" s="20" cm="1">
        <f t="array" ref="K38">_xlfn.XLOOKUP($K$6, '16. Existing HQs and Projects'!$B$8:$Q$8, _xlfn.XLOOKUP(A38,'16. Existing HQs and Projects'!$A$9:$A$58, '16. Existing HQs and Projects'!$B$9:$Q$58))</f>
        <v>3</v>
      </c>
      <c r="L38" s="37">
        <f t="shared" si="1"/>
        <v>1.9666666666666668</v>
      </c>
      <c r="M38" s="37" cm="1">
        <f t="array" ref="M38">_xlfn.IFS(L38=0, 1, L38&gt;$L$59, 3, L38=$L$59, 3, L38&lt;$L$59, 2)</f>
        <v>3</v>
      </c>
      <c r="N38" s="13"/>
      <c r="O38" s="13"/>
      <c r="P38" s="13"/>
    </row>
    <row r="39" spans="1:16" ht="15.95" customHeight="1">
      <c r="A39" s="16" t="s">
        <v>140</v>
      </c>
      <c r="B39" s="20" cm="1">
        <f t="array" ref="B39">_xlfn.XLOOKUP($B$6, 'Metric Categories 1-14'!$B$7:$FM$7, _xlfn.XLOOKUP(A39, 'Metric Categories 1-14'!$A$8:$A$57, 'Metric Categories 1-14'!$B$8:$FM$57))</f>
        <v>1.8499999999999999</v>
      </c>
      <c r="C39" s="20" cm="1">
        <f t="array" ref="C39">_xlfn.XLOOKUP($C$6, 'Metric Categories 1-14'!$B$7:$FM$7, _xlfn.XLOOKUP(A39, 'Metric Categories 1-14'!$A$8:$A$57, 'Metric Categories 1-14'!$B$8:$FM$57))</f>
        <v>0.99999999999999978</v>
      </c>
      <c r="D39" s="20" cm="1">
        <f t="array" ref="D39">_xlfn.XLOOKUP($D$6, 'Metric Categories 1-14'!$B$7:$FM$7, _xlfn.XLOOKUP(A39, 'Metric Categories 1-14'!$A$8:$A$57, 'Metric Categories 1-14'!$B$8:$FM$57))</f>
        <v>2.4</v>
      </c>
      <c r="E39" s="35">
        <f t="shared" si="2"/>
        <v>1.7174999999999998</v>
      </c>
      <c r="F39" s="301" cm="1">
        <f t="array" ref="F39">_xlfn.IFS(E39=0, 1, E39&gt;$E$59, 3, E39&lt;$E$59, 2)</f>
        <v>3</v>
      </c>
      <c r="G39" s="20" cm="1">
        <f t="array" ref="G39">_xlfn.XLOOKUP($G$6, 'Metric Categories 1-14'!$B$7:$FM$7, _xlfn.XLOOKUP(A39, 'Metric Categories 1-14'!$A$8:$A$57, 'Metric Categories 1-14'!$B$8:$FM$57))</f>
        <v>1.75</v>
      </c>
      <c r="H39" s="20" cm="1">
        <f t="array" ref="H39">_xlfn.XLOOKUP($H$6, 'Metric Categories 1-14'!$B$7:$FM$7, _xlfn.XLOOKUP(A39, 'Metric Categories 1-14'!$A$8:$A$57, 'Metric Categories 1-14'!$B$8:$FM$57))</f>
        <v>1.6666666666666665</v>
      </c>
      <c r="I39" s="20" cm="1">
        <f t="array" ref="I39">_xlfn.XLOOKUP($I$6, 'Metric Categories 1-14'!$B$7:$FM$7, _xlfn.XLOOKUP(A39, 'Metric Categories 1-14'!$A$8:$A$57, 'Metric Categories 1-14'!$B$8:$FM$57))</f>
        <v>3</v>
      </c>
      <c r="J39" s="20" cm="1">
        <f t="array" ref="J39">_xlfn.XLOOKUP($J$6, '15. Workforce Calcs'!$B$8:$BG$8, _xlfn.XLOOKUP(A39, '15. Workforce Calcs'!$A$10:$A$59, '15. Workforce Calcs'!$B$10:$BG$59))</f>
        <v>3</v>
      </c>
      <c r="K39" s="20" cm="1">
        <f t="array" ref="K39">_xlfn.XLOOKUP($K$6, '16. Existing HQs and Projects'!$B$8:$Q$8, _xlfn.XLOOKUP(A39,'16. Existing HQs and Projects'!$A$9:$A$58, '16. Existing HQs and Projects'!$B$9:$Q$58))</f>
        <v>3</v>
      </c>
      <c r="L39" s="37">
        <f t="shared" si="1"/>
        <v>2.1666666666666665</v>
      </c>
      <c r="M39" s="37" cm="1">
        <f t="array" ref="M39">_xlfn.IFS(L39=0, 1, L39&gt;$L$59, 3, L39=$L$59, 3, L39&lt;$L$59, 2)</f>
        <v>3</v>
      </c>
      <c r="N39" s="13"/>
      <c r="O39" s="13"/>
      <c r="P39" s="13"/>
    </row>
    <row r="40" spans="1:16" ht="15.95" customHeight="1">
      <c r="A40" s="16" t="s">
        <v>141</v>
      </c>
      <c r="B40" s="20" cm="1">
        <f t="array" ref="B40">_xlfn.XLOOKUP($B$6, 'Metric Categories 1-14'!$B$7:$FM$7, _xlfn.XLOOKUP(A40, 'Metric Categories 1-14'!$A$8:$A$57, 'Metric Categories 1-14'!$B$8:$FM$57))</f>
        <v>0.99999999999999989</v>
      </c>
      <c r="C40" s="20" cm="1">
        <f t="array" ref="C40">_xlfn.XLOOKUP($C$6, 'Metric Categories 1-14'!$B$7:$FM$7, _xlfn.XLOOKUP(A40, 'Metric Categories 1-14'!$A$8:$A$57, 'Metric Categories 1-14'!$B$8:$FM$57))</f>
        <v>0.99999999999999978</v>
      </c>
      <c r="D40" s="20" cm="1">
        <f t="array" ref="D40">_xlfn.XLOOKUP($D$6, 'Metric Categories 1-14'!$B$7:$FM$7, _xlfn.XLOOKUP(A40, 'Metric Categories 1-14'!$A$8:$A$57, 'Metric Categories 1-14'!$B$8:$FM$57))</f>
        <v>1</v>
      </c>
      <c r="E40" s="35">
        <f t="shared" si="2"/>
        <v>0</v>
      </c>
      <c r="F40" s="301" cm="1">
        <f t="array" ref="F40">_xlfn.IFS(E40=0, 1, E40&gt;$E$59, 3, E40&lt;$E$59, 2)</f>
        <v>1</v>
      </c>
      <c r="G40" s="20" cm="1">
        <f t="array" ref="G40">_xlfn.XLOOKUP($G$6, 'Metric Categories 1-14'!$B$7:$FM$7, _xlfn.XLOOKUP(A40, 'Metric Categories 1-14'!$A$8:$A$57, 'Metric Categories 1-14'!$B$8:$FM$57))</f>
        <v>0</v>
      </c>
      <c r="H40" s="20" cm="1">
        <f t="array" ref="H40">_xlfn.XLOOKUP($H$6, 'Metric Categories 1-14'!$B$7:$FM$7, _xlfn.XLOOKUP(A40, 'Metric Categories 1-14'!$A$8:$A$57, 'Metric Categories 1-14'!$B$8:$FM$57))</f>
        <v>1</v>
      </c>
      <c r="I40" s="20" cm="1">
        <f t="array" ref="I40">_xlfn.XLOOKUP($I$6, 'Metric Categories 1-14'!$B$7:$FM$7, _xlfn.XLOOKUP(A40, 'Metric Categories 1-14'!$A$8:$A$57, 'Metric Categories 1-14'!$B$8:$FM$57))</f>
        <v>3</v>
      </c>
      <c r="J40" s="20" cm="1">
        <f t="array" ref="J40">_xlfn.XLOOKUP($J$6, '15. Workforce Calcs'!$B$8:$BG$8, _xlfn.XLOOKUP(A40, '15. Workforce Calcs'!$A$10:$A$59, '15. Workforce Calcs'!$B$10:$BG$59))</f>
        <v>2</v>
      </c>
      <c r="K40" s="20" cm="1">
        <f t="array" ref="K40">_xlfn.XLOOKUP($K$6, '16. Existing HQs and Projects'!$B$8:$Q$8, _xlfn.XLOOKUP(A40,'16. Existing HQs and Projects'!$A$9:$A$58, '16. Existing HQs and Projects'!$B$9:$Q$58))</f>
        <v>1</v>
      </c>
      <c r="L40" s="37">
        <f t="shared" si="1"/>
        <v>0</v>
      </c>
      <c r="M40" s="37" cm="1">
        <f t="array" ref="M40">_xlfn.IFS(L40=0, 1, L40&gt;$L$59, 3, L40=$L$59, 3, L40&lt;$L$59, 2)</f>
        <v>1</v>
      </c>
      <c r="N40" s="13"/>
      <c r="O40" s="13"/>
      <c r="P40" s="13"/>
    </row>
    <row r="41" spans="1:16" ht="15.95" customHeight="1">
      <c r="A41" s="16" t="s">
        <v>142</v>
      </c>
      <c r="B41" s="20" cm="1">
        <f t="array" ref="B41">_xlfn.XLOOKUP($B$6, 'Metric Categories 1-14'!$B$7:$FM$7, _xlfn.XLOOKUP(A41, 'Metric Categories 1-14'!$A$8:$A$57, 'Metric Categories 1-14'!$B$8:$FM$57))</f>
        <v>0.99999999999999989</v>
      </c>
      <c r="C41" s="20" cm="1">
        <f t="array" ref="C41">_xlfn.XLOOKUP($C$6, 'Metric Categories 1-14'!$B$7:$FM$7, _xlfn.XLOOKUP(A41, 'Metric Categories 1-14'!$A$8:$A$57, 'Metric Categories 1-14'!$B$8:$FM$57))</f>
        <v>0.99999999999999978</v>
      </c>
      <c r="D41" s="20" cm="1">
        <f t="array" ref="D41">_xlfn.XLOOKUP($D$6, 'Metric Categories 1-14'!$B$7:$FM$7, _xlfn.XLOOKUP(A41, 'Metric Categories 1-14'!$A$8:$A$57, 'Metric Categories 1-14'!$B$8:$FM$57))</f>
        <v>1</v>
      </c>
      <c r="E41" s="35">
        <f t="shared" si="2"/>
        <v>0</v>
      </c>
      <c r="F41" s="301" cm="1">
        <f t="array" ref="F41">_xlfn.IFS(E41=0, 1, E41&gt;$E$59, 3, E41&lt;$E$59, 2)</f>
        <v>1</v>
      </c>
      <c r="G41" s="20" cm="1">
        <f t="array" ref="G41">_xlfn.XLOOKUP($G$6, 'Metric Categories 1-14'!$B$7:$FM$7, _xlfn.XLOOKUP(A41, 'Metric Categories 1-14'!$A$8:$A$57, 'Metric Categories 1-14'!$B$8:$FM$57))</f>
        <v>0</v>
      </c>
      <c r="H41" s="20" cm="1">
        <f t="array" ref="H41">_xlfn.XLOOKUP($H$6, 'Metric Categories 1-14'!$B$7:$FM$7, _xlfn.XLOOKUP(A41, 'Metric Categories 1-14'!$A$8:$A$57, 'Metric Categories 1-14'!$B$8:$FM$57))</f>
        <v>1</v>
      </c>
      <c r="I41" s="20" cm="1">
        <f t="array" ref="I41">_xlfn.XLOOKUP($I$6, 'Metric Categories 1-14'!$B$7:$FM$7, _xlfn.XLOOKUP(A41, 'Metric Categories 1-14'!$A$8:$A$57, 'Metric Categories 1-14'!$B$8:$FM$57))</f>
        <v>3</v>
      </c>
      <c r="J41" s="20" cm="1">
        <f t="array" ref="J41">_xlfn.XLOOKUP($J$6, '15. Workforce Calcs'!$B$8:$BG$8, _xlfn.XLOOKUP(A41, '15. Workforce Calcs'!$A$10:$A$59, '15. Workforce Calcs'!$B$10:$BG$59))</f>
        <v>3</v>
      </c>
      <c r="K41" s="20" cm="1">
        <f t="array" ref="K41">_xlfn.XLOOKUP($K$6, '16. Existing HQs and Projects'!$B$8:$Q$8, _xlfn.XLOOKUP(A41,'16. Existing HQs and Projects'!$A$9:$A$58, '16. Existing HQs and Projects'!$B$9:$Q$58))</f>
        <v>1</v>
      </c>
      <c r="L41" s="37">
        <f t="shared" si="1"/>
        <v>0</v>
      </c>
      <c r="M41" s="37" cm="1">
        <f t="array" ref="M41">_xlfn.IFS(L41=0, 1, L41&gt;$L$59, 3, L41=$L$59, 3, L41&lt;$L$59, 2)</f>
        <v>1</v>
      </c>
      <c r="N41" s="13"/>
      <c r="O41" s="13"/>
      <c r="P41" s="13"/>
    </row>
    <row r="42" spans="1:16" ht="15.95" customHeight="1">
      <c r="A42" s="16" t="s">
        <v>143</v>
      </c>
      <c r="B42" s="20" cm="1">
        <f t="array" ref="B42">_xlfn.XLOOKUP($B$6, 'Metric Categories 1-14'!$B$7:$FM$7, _xlfn.XLOOKUP(A42, 'Metric Categories 1-14'!$A$8:$A$57, 'Metric Categories 1-14'!$B$8:$FM$57))</f>
        <v>0.99999999999999989</v>
      </c>
      <c r="C42" s="20" cm="1">
        <f t="array" ref="C42">_xlfn.XLOOKUP($C$6, 'Metric Categories 1-14'!$B$7:$FM$7, _xlfn.XLOOKUP(A42, 'Metric Categories 1-14'!$A$8:$A$57, 'Metric Categories 1-14'!$B$8:$FM$57))</f>
        <v>0.79999999999999993</v>
      </c>
      <c r="D42" s="20" cm="1">
        <f t="array" ref="D42">_xlfn.XLOOKUP($D$6, 'Metric Categories 1-14'!$B$7:$FM$7, _xlfn.XLOOKUP(A42, 'Metric Categories 1-14'!$A$8:$A$57, 'Metric Categories 1-14'!$B$8:$FM$57))</f>
        <v>1</v>
      </c>
      <c r="E42" s="35">
        <f t="shared" si="2"/>
        <v>0</v>
      </c>
      <c r="F42" s="301" cm="1">
        <f t="array" ref="F42">_xlfn.IFS(E42=0, 1, E42&gt;$E$59, 3, E42&lt;$E$59, 2)</f>
        <v>1</v>
      </c>
      <c r="G42" s="20" cm="1">
        <f t="array" ref="G42">_xlfn.XLOOKUP($G$6, 'Metric Categories 1-14'!$B$7:$FM$7, _xlfn.XLOOKUP(A42, 'Metric Categories 1-14'!$A$8:$A$57, 'Metric Categories 1-14'!$B$8:$FM$57))</f>
        <v>0</v>
      </c>
      <c r="H42" s="20" cm="1">
        <f t="array" ref="H42">_xlfn.XLOOKUP($H$6, 'Metric Categories 1-14'!$B$7:$FM$7, _xlfn.XLOOKUP(A42, 'Metric Categories 1-14'!$A$8:$A$57, 'Metric Categories 1-14'!$B$8:$FM$57))</f>
        <v>1.3333333333333333</v>
      </c>
      <c r="I42" s="20" cm="1">
        <f t="array" ref="I42">_xlfn.XLOOKUP($I$6, 'Metric Categories 1-14'!$B$7:$FM$7, _xlfn.XLOOKUP(A42, 'Metric Categories 1-14'!$A$8:$A$57, 'Metric Categories 1-14'!$B$8:$FM$57))</f>
        <v>2</v>
      </c>
      <c r="J42" s="20" cm="1">
        <f t="array" ref="J42">_xlfn.XLOOKUP($J$6, '15. Workforce Calcs'!$B$8:$BG$8, _xlfn.XLOOKUP(A42, '15. Workforce Calcs'!$A$10:$A$59, '15. Workforce Calcs'!$B$10:$BG$59))</f>
        <v>3</v>
      </c>
      <c r="K42" s="20" cm="1">
        <f t="array" ref="K42">_xlfn.XLOOKUP($K$6, '16. Existing HQs and Projects'!$B$8:$Q$8, _xlfn.XLOOKUP(A42,'16. Existing HQs and Projects'!$A$9:$A$58, '16. Existing HQs and Projects'!$B$9:$Q$58))</f>
        <v>1</v>
      </c>
      <c r="L42" s="37">
        <f t="shared" si="1"/>
        <v>0</v>
      </c>
      <c r="M42" s="37" cm="1">
        <f t="array" ref="M42">_xlfn.IFS(L42=0, 1, L42&gt;$L$59, 3, L42=$L$59, 3, L42&lt;$L$59, 2)</f>
        <v>1</v>
      </c>
      <c r="N42" s="13"/>
      <c r="O42" s="13"/>
      <c r="P42" s="13"/>
    </row>
    <row r="43" spans="1:16" ht="15.95" customHeight="1">
      <c r="A43" s="16" t="s">
        <v>144</v>
      </c>
      <c r="B43" s="20" cm="1">
        <f t="array" ref="B43">_xlfn.XLOOKUP($B$6, 'Metric Categories 1-14'!$B$7:$FM$7, _xlfn.XLOOKUP(A43, 'Metric Categories 1-14'!$A$8:$A$57, 'Metric Categories 1-14'!$B$8:$FM$57))</f>
        <v>2</v>
      </c>
      <c r="C43" s="20" cm="1">
        <f t="array" ref="C43">_xlfn.XLOOKUP($C$6, 'Metric Categories 1-14'!$B$7:$FM$7, _xlfn.XLOOKUP(A43, 'Metric Categories 1-14'!$A$8:$A$57, 'Metric Categories 1-14'!$B$8:$FM$57))</f>
        <v>1.3499999999999999</v>
      </c>
      <c r="D43" s="20" cm="1">
        <f t="array" ref="D43">_xlfn.XLOOKUP($D$6, 'Metric Categories 1-14'!$B$7:$FM$7, _xlfn.XLOOKUP(A43, 'Metric Categories 1-14'!$A$8:$A$57, 'Metric Categories 1-14'!$B$8:$FM$57))</f>
        <v>1.6</v>
      </c>
      <c r="E43" s="35">
        <f t="shared" si="2"/>
        <v>1.6524999999999999</v>
      </c>
      <c r="F43" s="301" cm="1">
        <f t="array" ref="F43">_xlfn.IFS(E43=0, 1, E43&gt;$E$59, 3, E43&lt;$E$59, 2)</f>
        <v>3</v>
      </c>
      <c r="G43" s="20" cm="1">
        <f t="array" ref="G43">_xlfn.XLOOKUP($G$6, 'Metric Categories 1-14'!$B$7:$FM$7, _xlfn.XLOOKUP(A43, 'Metric Categories 1-14'!$A$8:$A$57, 'Metric Categories 1-14'!$B$8:$FM$57))</f>
        <v>2</v>
      </c>
      <c r="H43" s="20" cm="1">
        <f t="array" ref="H43">_xlfn.XLOOKUP($H$6, 'Metric Categories 1-14'!$B$7:$FM$7, _xlfn.XLOOKUP(A43, 'Metric Categories 1-14'!$A$8:$A$57, 'Metric Categories 1-14'!$B$8:$FM$57))</f>
        <v>2.333333333333333</v>
      </c>
      <c r="I43" s="20" cm="1">
        <f t="array" ref="I43">_xlfn.XLOOKUP($I$6, 'Metric Categories 1-14'!$B$7:$FM$7, _xlfn.XLOOKUP(A43, 'Metric Categories 1-14'!$A$8:$A$57, 'Metric Categories 1-14'!$B$8:$FM$57))</f>
        <v>1</v>
      </c>
      <c r="J43" s="20" cm="1">
        <f t="array" ref="J43">_xlfn.XLOOKUP($J$6, '15. Workforce Calcs'!$B$8:$BG$8, _xlfn.XLOOKUP(A43, '15. Workforce Calcs'!$A$10:$A$59, '15. Workforce Calcs'!$B$10:$BG$59))</f>
        <v>1</v>
      </c>
      <c r="K43" s="20" cm="1">
        <f t="array" ref="K43">_xlfn.XLOOKUP($K$6, '16. Existing HQs and Projects'!$B$8:$Q$8, _xlfn.XLOOKUP(A43,'16. Existing HQs and Projects'!$A$9:$A$58, '16. Existing HQs and Projects'!$B$9:$Q$58))</f>
        <v>1</v>
      </c>
      <c r="L43" s="37">
        <f t="shared" si="1"/>
        <v>1.7333333333333332</v>
      </c>
      <c r="M43" s="37" cm="1">
        <f t="array" ref="M43">_xlfn.IFS(L43=0, 1, L43&gt;$L$59, 3, L43=$L$59, 3, L43&lt;$L$59, 2)</f>
        <v>3</v>
      </c>
      <c r="N43" s="13"/>
      <c r="O43" s="13"/>
      <c r="P43" s="13"/>
    </row>
    <row r="44" spans="1:16" ht="15.95" customHeight="1">
      <c r="A44" s="16" t="s">
        <v>145</v>
      </c>
      <c r="B44" s="20" cm="1">
        <f t="array" ref="B44">_xlfn.XLOOKUP($B$6, 'Metric Categories 1-14'!$B$7:$FM$7, _xlfn.XLOOKUP(A44, 'Metric Categories 1-14'!$A$8:$A$57, 'Metric Categories 1-14'!$B$8:$FM$57))</f>
        <v>1.95</v>
      </c>
      <c r="C44" s="20" cm="1">
        <f t="array" ref="C44">_xlfn.XLOOKUP($C$6, 'Metric Categories 1-14'!$B$7:$FM$7, _xlfn.XLOOKUP(A44, 'Metric Categories 1-14'!$A$8:$A$57, 'Metric Categories 1-14'!$B$8:$FM$57))</f>
        <v>0.875</v>
      </c>
      <c r="D44" s="20" cm="1">
        <f t="array" ref="D44">_xlfn.XLOOKUP($D$6, 'Metric Categories 1-14'!$B$7:$FM$7, _xlfn.XLOOKUP(A44, 'Metric Categories 1-14'!$A$8:$A$57, 'Metric Categories 1-14'!$B$8:$FM$57))</f>
        <v>1.8000000000000003</v>
      </c>
      <c r="E44" s="35">
        <f t="shared" si="2"/>
        <v>0</v>
      </c>
      <c r="F44" s="301" cm="1">
        <f t="array" ref="F44">_xlfn.IFS(E44=0, 1, E44&gt;$E$59, 3, E44&lt;$E$59, 2)</f>
        <v>1</v>
      </c>
      <c r="G44" s="20" cm="1">
        <f t="array" ref="G44">_xlfn.XLOOKUP($G$6, 'Metric Categories 1-14'!$B$7:$FM$7, _xlfn.XLOOKUP(A44, 'Metric Categories 1-14'!$A$8:$A$57, 'Metric Categories 1-14'!$B$8:$FM$57))</f>
        <v>0</v>
      </c>
      <c r="H44" s="20" cm="1">
        <f t="array" ref="H44">_xlfn.XLOOKUP($H$6, 'Metric Categories 1-14'!$B$7:$FM$7, _xlfn.XLOOKUP(A44, 'Metric Categories 1-14'!$A$8:$A$57, 'Metric Categories 1-14'!$B$8:$FM$57))</f>
        <v>1.3333333333333333</v>
      </c>
      <c r="I44" s="20" cm="1">
        <f t="array" ref="I44">_xlfn.XLOOKUP($I$6, 'Metric Categories 1-14'!$B$7:$FM$7, _xlfn.XLOOKUP(A44, 'Metric Categories 1-14'!$A$8:$A$57, 'Metric Categories 1-14'!$B$8:$FM$57))</f>
        <v>2</v>
      </c>
      <c r="J44" s="20" cm="1">
        <f t="array" ref="J44">_xlfn.XLOOKUP($J$6, '15. Workforce Calcs'!$B$8:$BG$8, _xlfn.XLOOKUP(A44, '15. Workforce Calcs'!$A$10:$A$59, '15. Workforce Calcs'!$B$10:$BG$59))</f>
        <v>3</v>
      </c>
      <c r="K44" s="20" cm="1">
        <f t="array" ref="K44">_xlfn.XLOOKUP($K$6, '16. Existing HQs and Projects'!$B$8:$Q$8, _xlfn.XLOOKUP(A44,'16. Existing HQs and Projects'!$A$9:$A$58, '16. Existing HQs and Projects'!$B$9:$Q$58))</f>
        <v>1</v>
      </c>
      <c r="L44" s="37">
        <f t="shared" si="1"/>
        <v>0</v>
      </c>
      <c r="M44" s="37" cm="1">
        <f t="array" ref="M44">_xlfn.IFS(L44=0, 1, L44&gt;$L$59, 3, L44=$L$59, 3, L44&lt;$L$59, 2)</f>
        <v>1</v>
      </c>
      <c r="N44" s="13"/>
      <c r="O44" s="13"/>
      <c r="P44" s="13"/>
    </row>
    <row r="45" spans="1:16" ht="15.95" customHeight="1">
      <c r="A45" s="16" t="s">
        <v>146</v>
      </c>
      <c r="B45" s="20" cm="1">
        <f t="array" ref="B45">_xlfn.XLOOKUP($B$6, 'Metric Categories 1-14'!$B$7:$FM$7, _xlfn.XLOOKUP(A45, 'Metric Categories 1-14'!$A$8:$A$57, 'Metric Categories 1-14'!$B$8:$FM$57))</f>
        <v>2.4</v>
      </c>
      <c r="C45" s="20" cm="1">
        <f t="array" ref="C45">_xlfn.XLOOKUP($C$6, 'Metric Categories 1-14'!$B$7:$FM$7, _xlfn.XLOOKUP(A45, 'Metric Categories 1-14'!$A$8:$A$57, 'Metric Categories 1-14'!$B$8:$FM$57))</f>
        <v>1.0749999999999997</v>
      </c>
      <c r="D45" s="20" cm="1">
        <f t="array" ref="D45">_xlfn.XLOOKUP($D$6, 'Metric Categories 1-14'!$B$7:$FM$7, _xlfn.XLOOKUP(A45, 'Metric Categories 1-14'!$A$8:$A$57, 'Metric Categories 1-14'!$B$8:$FM$57))</f>
        <v>1.4000000000000001</v>
      </c>
      <c r="E45" s="35">
        <f t="shared" si="2"/>
        <v>1.63625</v>
      </c>
      <c r="F45" s="301" cm="1">
        <f t="array" ref="F45">_xlfn.IFS(E45=0, 1, E45&gt;$E$59, 3, E45&lt;$E$59, 2)</f>
        <v>3</v>
      </c>
      <c r="G45" s="20" cm="1">
        <f t="array" ref="G45">_xlfn.XLOOKUP($G$6, 'Metric Categories 1-14'!$B$7:$FM$7, _xlfn.XLOOKUP(A45, 'Metric Categories 1-14'!$A$8:$A$57, 'Metric Categories 1-14'!$B$8:$FM$57))</f>
        <v>2.5</v>
      </c>
      <c r="H45" s="20" cm="1">
        <f t="array" ref="H45">_xlfn.XLOOKUP($H$6, 'Metric Categories 1-14'!$B$7:$FM$7, _xlfn.XLOOKUP(A45, 'Metric Categories 1-14'!$A$8:$A$57, 'Metric Categories 1-14'!$B$8:$FM$57))</f>
        <v>1</v>
      </c>
      <c r="I45" s="20" cm="1">
        <f t="array" ref="I45">_xlfn.XLOOKUP($I$6, 'Metric Categories 1-14'!$B$7:$FM$7, _xlfn.XLOOKUP(A45, 'Metric Categories 1-14'!$A$8:$A$57, 'Metric Categories 1-14'!$B$8:$FM$57))</f>
        <v>1</v>
      </c>
      <c r="J45" s="20" cm="1">
        <f t="array" ref="J45">_xlfn.XLOOKUP($J$6, '15. Workforce Calcs'!$B$8:$BG$8, _xlfn.XLOOKUP(A45, '15. Workforce Calcs'!$A$10:$A$59, '15. Workforce Calcs'!$B$10:$BG$59))</f>
        <v>1</v>
      </c>
      <c r="K45" s="20" cm="1">
        <f t="array" ref="K45">_xlfn.XLOOKUP($K$6, '16. Existing HQs and Projects'!$B$8:$Q$8, _xlfn.XLOOKUP(A45,'16. Existing HQs and Projects'!$A$9:$A$58, '16. Existing HQs and Projects'!$B$9:$Q$58))</f>
        <v>1</v>
      </c>
      <c r="L45" s="37">
        <f t="shared" si="1"/>
        <v>1.5999999999999999</v>
      </c>
      <c r="M45" s="37" cm="1">
        <f t="array" ref="M45">_xlfn.IFS(L45=0, 1, L45&gt;$L$59, 3, L45=$L$59, 3, L45&lt;$L$59, 2)</f>
        <v>2</v>
      </c>
      <c r="N45" s="13"/>
      <c r="O45" s="13"/>
      <c r="P45" s="13"/>
    </row>
    <row r="46" spans="1:16" ht="15.95" customHeight="1">
      <c r="A46" s="16" t="s">
        <v>147</v>
      </c>
      <c r="B46" s="20" cm="1">
        <f t="array" ref="B46">_xlfn.XLOOKUP($B$6, 'Metric Categories 1-14'!$B$7:$FM$7, _xlfn.XLOOKUP(A46, 'Metric Categories 1-14'!$A$8:$A$57, 'Metric Categories 1-14'!$B$8:$FM$57))</f>
        <v>1.5</v>
      </c>
      <c r="C46" s="20" cm="1">
        <f t="array" ref="C46">_xlfn.XLOOKUP($C$6, 'Metric Categories 1-14'!$B$7:$FM$7, _xlfn.XLOOKUP(A46, 'Metric Categories 1-14'!$A$8:$A$57, 'Metric Categories 1-14'!$B$8:$FM$57))</f>
        <v>0.99999999999999978</v>
      </c>
      <c r="D46" s="20" cm="1">
        <f t="array" ref="D46">_xlfn.XLOOKUP($D$6, 'Metric Categories 1-14'!$B$7:$FM$7, _xlfn.XLOOKUP(A46, 'Metric Categories 1-14'!$A$8:$A$57, 'Metric Categories 1-14'!$B$8:$FM$57))</f>
        <v>1</v>
      </c>
      <c r="E46" s="35">
        <f t="shared" si="2"/>
        <v>1.1749999999999998</v>
      </c>
      <c r="F46" s="301" cm="1">
        <f t="array" ref="F46">_xlfn.IFS(E46=0, 1, E46&gt;$E$59, 3, E46&lt;$E$59, 2)</f>
        <v>2</v>
      </c>
      <c r="G46" s="20" cm="1">
        <f t="array" ref="G46">_xlfn.XLOOKUP($G$6, 'Metric Categories 1-14'!$B$7:$FM$7, _xlfn.XLOOKUP(A46, 'Metric Categories 1-14'!$A$8:$A$57, 'Metric Categories 1-14'!$B$8:$FM$57))</f>
        <v>2</v>
      </c>
      <c r="H46" s="20" cm="1">
        <f t="array" ref="H46">_xlfn.XLOOKUP($H$6, 'Metric Categories 1-14'!$B$7:$FM$7, _xlfn.XLOOKUP(A46, 'Metric Categories 1-14'!$A$8:$A$57, 'Metric Categories 1-14'!$B$8:$FM$57))</f>
        <v>1</v>
      </c>
      <c r="I46" s="20" cm="1">
        <f t="array" ref="I46">_xlfn.XLOOKUP($I$6, 'Metric Categories 1-14'!$B$7:$FM$7, _xlfn.XLOOKUP(A46, 'Metric Categories 1-14'!$A$8:$A$57, 'Metric Categories 1-14'!$B$8:$FM$57))</f>
        <v>3</v>
      </c>
      <c r="J46" s="20" cm="1">
        <f t="array" ref="J46">_xlfn.XLOOKUP($J$6, '15. Workforce Calcs'!$B$8:$BG$8, _xlfn.XLOOKUP(A46, '15. Workforce Calcs'!$A$10:$A$59, '15. Workforce Calcs'!$B$10:$BG$59))</f>
        <v>2</v>
      </c>
      <c r="K46" s="20" cm="1">
        <f t="array" ref="K46">_xlfn.XLOOKUP($K$6, '16. Existing HQs and Projects'!$B$8:$Q$8, _xlfn.XLOOKUP(A46,'16. Existing HQs and Projects'!$A$9:$A$58, '16. Existing HQs and Projects'!$B$9:$Q$58))</f>
        <v>1</v>
      </c>
      <c r="L46" s="37">
        <f t="shared" si="1"/>
        <v>1.85</v>
      </c>
      <c r="M46" s="37" cm="1">
        <f t="array" ref="M46">_xlfn.IFS(L46=0, 1, L46&gt;$L$59, 3, L46=$L$59, 3, L46&lt;$L$59, 2)</f>
        <v>3</v>
      </c>
      <c r="N46" s="13"/>
      <c r="O46" s="13"/>
      <c r="P46" s="13"/>
    </row>
    <row r="47" spans="1:16" ht="15.95" customHeight="1">
      <c r="A47" s="16" t="s">
        <v>148</v>
      </c>
      <c r="B47" s="20" cm="1">
        <f t="array" ref="B47">_xlfn.XLOOKUP($B$6, 'Metric Categories 1-14'!$B$7:$FM$7, _xlfn.XLOOKUP(A47, 'Metric Categories 1-14'!$A$8:$A$57, 'Metric Categories 1-14'!$B$8:$FM$57))</f>
        <v>0.99999999999999989</v>
      </c>
      <c r="C47" s="20" cm="1">
        <f t="array" ref="C47">_xlfn.XLOOKUP($C$6, 'Metric Categories 1-14'!$B$7:$FM$7, _xlfn.XLOOKUP(A47, 'Metric Categories 1-14'!$A$8:$A$57, 'Metric Categories 1-14'!$B$8:$FM$57))</f>
        <v>0.99999999999999978</v>
      </c>
      <c r="D47" s="20" cm="1">
        <f t="array" ref="D47">_xlfn.XLOOKUP($D$6, 'Metric Categories 1-14'!$B$7:$FM$7, _xlfn.XLOOKUP(A47, 'Metric Categories 1-14'!$A$8:$A$57, 'Metric Categories 1-14'!$B$8:$FM$57))</f>
        <v>1.5999999999999999</v>
      </c>
      <c r="E47" s="35">
        <f t="shared" si="2"/>
        <v>0</v>
      </c>
      <c r="F47" s="301" cm="1">
        <f t="array" ref="F47">_xlfn.IFS(E47=0, 1, E47&gt;$E$59, 3, E47&lt;$E$59, 2)</f>
        <v>1</v>
      </c>
      <c r="G47" s="20" cm="1">
        <f t="array" ref="G47">_xlfn.XLOOKUP($G$6, 'Metric Categories 1-14'!$B$7:$FM$7, _xlfn.XLOOKUP(A47, 'Metric Categories 1-14'!$A$8:$A$57, 'Metric Categories 1-14'!$B$8:$FM$57))</f>
        <v>0</v>
      </c>
      <c r="H47" s="20" cm="1">
        <f t="array" ref="H47">_xlfn.XLOOKUP($H$6, 'Metric Categories 1-14'!$B$7:$FM$7, _xlfn.XLOOKUP(A47, 'Metric Categories 1-14'!$A$8:$A$57, 'Metric Categories 1-14'!$B$8:$FM$57))</f>
        <v>1</v>
      </c>
      <c r="I47" s="20" cm="1">
        <f t="array" ref="I47">_xlfn.XLOOKUP($I$6, 'Metric Categories 1-14'!$B$7:$FM$7, _xlfn.XLOOKUP(A47, 'Metric Categories 1-14'!$A$8:$A$57, 'Metric Categories 1-14'!$B$8:$FM$57))</f>
        <v>1</v>
      </c>
      <c r="J47" s="20" cm="1">
        <f t="array" ref="J47">_xlfn.XLOOKUP($J$6, '15. Workforce Calcs'!$B$8:$BG$8, _xlfn.XLOOKUP(A47, '15. Workforce Calcs'!$A$10:$A$59, '15. Workforce Calcs'!$B$10:$BG$59))</f>
        <v>1</v>
      </c>
      <c r="K47" s="20" cm="1">
        <f t="array" ref="K47">_xlfn.XLOOKUP($K$6, '16. Existing HQs and Projects'!$B$8:$Q$8, _xlfn.XLOOKUP(A47,'16. Existing HQs and Projects'!$A$9:$A$58, '16. Existing HQs and Projects'!$B$9:$Q$58))</f>
        <v>1</v>
      </c>
      <c r="L47" s="37">
        <f t="shared" si="1"/>
        <v>0</v>
      </c>
      <c r="M47" s="37" cm="1">
        <f t="array" ref="M47">_xlfn.IFS(L47=0, 1, L47&gt;$L$59, 3, L47=$L$59, 3, L47&lt;$L$59, 2)</f>
        <v>1</v>
      </c>
      <c r="N47" s="13"/>
      <c r="O47" s="13"/>
      <c r="P47" s="13"/>
    </row>
    <row r="48" spans="1:16" ht="15.95" customHeight="1">
      <c r="A48" s="16" t="s">
        <v>149</v>
      </c>
      <c r="B48" s="20" cm="1">
        <f t="array" ref="B48">_xlfn.XLOOKUP($B$6, 'Metric Categories 1-14'!$B$7:$FM$7, _xlfn.XLOOKUP(A48, 'Metric Categories 1-14'!$A$8:$A$57, 'Metric Categories 1-14'!$B$8:$FM$57))</f>
        <v>0.99999999999999989</v>
      </c>
      <c r="C48" s="20" cm="1">
        <f t="array" ref="C48">_xlfn.XLOOKUP($C$6, 'Metric Categories 1-14'!$B$7:$FM$7, _xlfn.XLOOKUP(A48, 'Metric Categories 1-14'!$A$8:$A$57, 'Metric Categories 1-14'!$B$8:$FM$57))</f>
        <v>0.99999999999999978</v>
      </c>
      <c r="D48" s="20" cm="1">
        <f t="array" ref="D48">_xlfn.XLOOKUP($D$6, 'Metric Categories 1-14'!$B$7:$FM$7, _xlfn.XLOOKUP(A48, 'Metric Categories 1-14'!$A$8:$A$57, 'Metric Categories 1-14'!$B$8:$FM$57))</f>
        <v>1</v>
      </c>
      <c r="E48" s="35">
        <f t="shared" si="2"/>
        <v>0</v>
      </c>
      <c r="F48" s="301" cm="1">
        <f t="array" ref="F48">_xlfn.IFS(E48=0, 1, E48&gt;$E$59, 3, E48&lt;$E$59, 2)</f>
        <v>1</v>
      </c>
      <c r="G48" s="20" cm="1">
        <f t="array" ref="G48">_xlfn.XLOOKUP($G$6, 'Metric Categories 1-14'!$B$7:$FM$7, _xlfn.XLOOKUP(A48, 'Metric Categories 1-14'!$A$8:$A$57, 'Metric Categories 1-14'!$B$8:$FM$57))</f>
        <v>0</v>
      </c>
      <c r="H48" s="20" cm="1">
        <f t="array" ref="H48">_xlfn.XLOOKUP($H$6, 'Metric Categories 1-14'!$B$7:$FM$7, _xlfn.XLOOKUP(A48, 'Metric Categories 1-14'!$A$8:$A$57, 'Metric Categories 1-14'!$B$8:$FM$57))</f>
        <v>1</v>
      </c>
      <c r="I48" s="20" cm="1">
        <f t="array" ref="I48">_xlfn.XLOOKUP($I$6, 'Metric Categories 1-14'!$B$7:$FM$7, _xlfn.XLOOKUP(A48, 'Metric Categories 1-14'!$A$8:$A$57, 'Metric Categories 1-14'!$B$8:$FM$57))</f>
        <v>2</v>
      </c>
      <c r="J48" s="20" cm="1">
        <f t="array" ref="J48">_xlfn.XLOOKUP($J$6, '15. Workforce Calcs'!$B$8:$BG$8, _xlfn.XLOOKUP(A48, '15. Workforce Calcs'!$A$10:$A$59, '15. Workforce Calcs'!$B$10:$BG$59))</f>
        <v>3</v>
      </c>
      <c r="K48" s="20" cm="1">
        <f t="array" ref="K48">_xlfn.XLOOKUP($K$6, '16. Existing HQs and Projects'!$B$8:$Q$8, _xlfn.XLOOKUP(A48,'16. Existing HQs and Projects'!$A$9:$A$58, '16. Existing HQs and Projects'!$B$9:$Q$58))</f>
        <v>1</v>
      </c>
      <c r="L48" s="37">
        <f t="shared" si="1"/>
        <v>0</v>
      </c>
      <c r="M48" s="37" cm="1">
        <f t="array" ref="M48">_xlfn.IFS(L48=0, 1, L48&gt;$L$59, 3, L48=$L$59, 3, L48&lt;$L$59, 2)</f>
        <v>1</v>
      </c>
      <c r="N48" s="13"/>
      <c r="O48" s="13"/>
      <c r="P48" s="13"/>
    </row>
    <row r="49" spans="1:16" ht="15.95" customHeight="1">
      <c r="A49" s="16" t="s">
        <v>150</v>
      </c>
      <c r="B49" s="20" cm="1">
        <f t="array" ref="B49">_xlfn.XLOOKUP($B$6, 'Metric Categories 1-14'!$B$7:$FM$7, _xlfn.XLOOKUP(A49, 'Metric Categories 1-14'!$A$8:$A$57, 'Metric Categories 1-14'!$B$8:$FM$57))</f>
        <v>0.99999999999999989</v>
      </c>
      <c r="C49" s="20" cm="1">
        <f t="array" ref="C49">_xlfn.XLOOKUP($C$6, 'Metric Categories 1-14'!$B$7:$FM$7, _xlfn.XLOOKUP(A49, 'Metric Categories 1-14'!$A$8:$A$57, 'Metric Categories 1-14'!$B$8:$FM$57))</f>
        <v>0.99999999999999978</v>
      </c>
      <c r="D49" s="20" cm="1">
        <f t="array" ref="D49">_xlfn.XLOOKUP($D$6, 'Metric Categories 1-14'!$B$7:$FM$7, _xlfn.XLOOKUP(A49, 'Metric Categories 1-14'!$A$8:$A$57, 'Metric Categories 1-14'!$B$8:$FM$57))</f>
        <v>1</v>
      </c>
      <c r="E49" s="35">
        <f t="shared" si="2"/>
        <v>0.99999999999999978</v>
      </c>
      <c r="F49" s="301" cm="1">
        <f t="array" ref="F49">_xlfn.IFS(E49=0, 1, E49&gt;$E$59, 3, E49&lt;$E$59, 2)</f>
        <v>2</v>
      </c>
      <c r="G49" s="20" cm="1">
        <f t="array" ref="G49">_xlfn.XLOOKUP($G$6, 'Metric Categories 1-14'!$B$7:$FM$7, _xlfn.XLOOKUP(A49, 'Metric Categories 1-14'!$A$8:$A$57, 'Metric Categories 1-14'!$B$8:$FM$57))</f>
        <v>2.25</v>
      </c>
      <c r="H49" s="20" cm="1">
        <f t="array" ref="H49">_xlfn.XLOOKUP($H$6, 'Metric Categories 1-14'!$B$7:$FM$7, _xlfn.XLOOKUP(A49, 'Metric Categories 1-14'!$A$8:$A$57, 'Metric Categories 1-14'!$B$8:$FM$57))</f>
        <v>1.6666666666666665</v>
      </c>
      <c r="I49" s="20" cm="1">
        <f t="array" ref="I49">_xlfn.XLOOKUP($I$6, 'Metric Categories 1-14'!$B$7:$FM$7, _xlfn.XLOOKUP(A49, 'Metric Categories 1-14'!$A$8:$A$57, 'Metric Categories 1-14'!$B$8:$FM$57))</f>
        <v>3</v>
      </c>
      <c r="J49" s="20" cm="1">
        <f t="array" ref="J49">_xlfn.XLOOKUP($J$6, '15. Workforce Calcs'!$B$8:$BG$8, _xlfn.XLOOKUP(A49, '15. Workforce Calcs'!$A$10:$A$59, '15. Workforce Calcs'!$B$10:$BG$59))</f>
        <v>3</v>
      </c>
      <c r="K49" s="20" cm="1">
        <f t="array" ref="K49">_xlfn.XLOOKUP($K$6, '16. Existing HQs and Projects'!$B$8:$Q$8, _xlfn.XLOOKUP(A49,'16. Existing HQs and Projects'!$A$9:$A$58, '16. Existing HQs and Projects'!$B$9:$Q$58))</f>
        <v>1</v>
      </c>
      <c r="L49" s="37">
        <f t="shared" si="1"/>
        <v>2.2666666666666666</v>
      </c>
      <c r="M49" s="37" cm="1">
        <f t="array" ref="M49">_xlfn.IFS(L49=0, 1, L49&gt;$L$59, 3, L49=$L$59, 3, L49&lt;$L$59, 2)</f>
        <v>3</v>
      </c>
      <c r="N49" s="13"/>
      <c r="O49" s="13"/>
      <c r="P49" s="13"/>
    </row>
    <row r="50" spans="1:16" ht="15.95" customHeight="1">
      <c r="A50" s="16" t="s">
        <v>151</v>
      </c>
      <c r="B50" s="20" cm="1">
        <f t="array" ref="B50">_xlfn.XLOOKUP($B$6, 'Metric Categories 1-14'!$B$7:$FM$7, _xlfn.XLOOKUP(A50, 'Metric Categories 1-14'!$A$8:$A$57, 'Metric Categories 1-14'!$B$8:$FM$57))</f>
        <v>0.99999999999999989</v>
      </c>
      <c r="C50" s="20" cm="1">
        <f t="array" ref="C50">_xlfn.XLOOKUP($C$6, 'Metric Categories 1-14'!$B$7:$FM$7, _xlfn.XLOOKUP(A50, 'Metric Categories 1-14'!$A$8:$A$57, 'Metric Categories 1-14'!$B$8:$FM$57))</f>
        <v>0.99999999999999978</v>
      </c>
      <c r="D50" s="20" cm="1">
        <f t="array" ref="D50">_xlfn.XLOOKUP($D$6, 'Metric Categories 1-14'!$B$7:$FM$7, _xlfn.XLOOKUP(A50, 'Metric Categories 1-14'!$A$8:$A$57, 'Metric Categories 1-14'!$B$8:$FM$57))</f>
        <v>1</v>
      </c>
      <c r="E50" s="35">
        <f t="shared" si="2"/>
        <v>0</v>
      </c>
      <c r="F50" s="301" cm="1">
        <f t="array" ref="F50">_xlfn.IFS(E50=0, 1, E50&gt;$E$59, 3, E50&lt;$E$59, 2)</f>
        <v>1</v>
      </c>
      <c r="G50" s="20" cm="1">
        <f t="array" ref="G50">_xlfn.XLOOKUP($G$6, 'Metric Categories 1-14'!$B$7:$FM$7, _xlfn.XLOOKUP(A50, 'Metric Categories 1-14'!$A$8:$A$57, 'Metric Categories 1-14'!$B$8:$FM$57))</f>
        <v>0</v>
      </c>
      <c r="H50" s="20" cm="1">
        <f t="array" ref="H50">_xlfn.XLOOKUP($H$6, 'Metric Categories 1-14'!$B$7:$FM$7, _xlfn.XLOOKUP(A50, 'Metric Categories 1-14'!$A$8:$A$57, 'Metric Categories 1-14'!$B$8:$FM$57))</f>
        <v>2.6666666666666665</v>
      </c>
      <c r="I50" s="20" cm="1">
        <f t="array" ref="I50">_xlfn.XLOOKUP($I$6, 'Metric Categories 1-14'!$B$7:$FM$7, _xlfn.XLOOKUP(A50, 'Metric Categories 1-14'!$A$8:$A$57, 'Metric Categories 1-14'!$B$8:$FM$57))</f>
        <v>2</v>
      </c>
      <c r="J50" s="20" cm="1">
        <f t="array" ref="J50">_xlfn.XLOOKUP($J$6, '15. Workforce Calcs'!$B$8:$BG$8, _xlfn.XLOOKUP(A50, '15. Workforce Calcs'!$A$10:$A$59, '15. Workforce Calcs'!$B$10:$BG$59))</f>
        <v>2</v>
      </c>
      <c r="K50" s="20" cm="1">
        <f t="array" ref="K50">_xlfn.XLOOKUP($K$6, '16. Existing HQs and Projects'!$B$8:$Q$8, _xlfn.XLOOKUP(A50,'16. Existing HQs and Projects'!$A$9:$A$58, '16. Existing HQs and Projects'!$B$9:$Q$58))</f>
        <v>1</v>
      </c>
      <c r="L50" s="37">
        <f t="shared" si="1"/>
        <v>0</v>
      </c>
      <c r="M50" s="37" cm="1">
        <f t="array" ref="M50">_xlfn.IFS(L50=0, 1, L50&gt;$L$59, 3, L50=$L$59, 3, L50&lt;$L$59, 2)</f>
        <v>1</v>
      </c>
      <c r="N50" s="13"/>
      <c r="O50" s="13"/>
      <c r="P50" s="13"/>
    </row>
    <row r="51" spans="1:16" ht="15.95" customHeight="1">
      <c r="A51" s="16" t="s">
        <v>152</v>
      </c>
      <c r="B51" s="20" cm="1">
        <f t="array" ref="B51">_xlfn.XLOOKUP($B$6, 'Metric Categories 1-14'!$B$7:$FM$7, _xlfn.XLOOKUP(A51, 'Metric Categories 1-14'!$A$8:$A$57, 'Metric Categories 1-14'!$B$8:$FM$57))</f>
        <v>2</v>
      </c>
      <c r="C51" s="20" cm="1">
        <f t="array" ref="C51">_xlfn.XLOOKUP($C$6, 'Metric Categories 1-14'!$B$7:$FM$7, _xlfn.XLOOKUP(A51, 'Metric Categories 1-14'!$A$8:$A$57, 'Metric Categories 1-14'!$B$8:$FM$57))</f>
        <v>1.0749999999999997</v>
      </c>
      <c r="D51" s="20" cm="1">
        <f t="array" ref="D51">_xlfn.XLOOKUP($D$6, 'Metric Categories 1-14'!$B$7:$FM$7, _xlfn.XLOOKUP(A51, 'Metric Categories 1-14'!$A$8:$A$57, 'Metric Categories 1-14'!$B$8:$FM$57))</f>
        <v>1.4</v>
      </c>
      <c r="E51" s="35">
        <f t="shared" si="2"/>
        <v>0</v>
      </c>
      <c r="F51" s="301" cm="1">
        <f t="array" ref="F51">_xlfn.IFS(E51=0, 1, E51&gt;$E$59, 3, E51&lt;$E$59, 2)</f>
        <v>1</v>
      </c>
      <c r="G51" s="20" cm="1">
        <f t="array" ref="G51">_xlfn.XLOOKUP($G$6, 'Metric Categories 1-14'!$B$7:$FM$7, _xlfn.XLOOKUP(A51, 'Metric Categories 1-14'!$A$8:$A$57, 'Metric Categories 1-14'!$B$8:$FM$57))</f>
        <v>0</v>
      </c>
      <c r="H51" s="20" cm="1">
        <f t="array" ref="H51">_xlfn.XLOOKUP($H$6, 'Metric Categories 1-14'!$B$7:$FM$7, _xlfn.XLOOKUP(A51, 'Metric Categories 1-14'!$A$8:$A$57, 'Metric Categories 1-14'!$B$8:$FM$57))</f>
        <v>1.3333333333333333</v>
      </c>
      <c r="I51" s="20" cm="1">
        <f t="array" ref="I51">_xlfn.XLOOKUP($I$6, 'Metric Categories 1-14'!$B$7:$FM$7, _xlfn.XLOOKUP(A51, 'Metric Categories 1-14'!$A$8:$A$57, 'Metric Categories 1-14'!$B$8:$FM$57))</f>
        <v>2</v>
      </c>
      <c r="J51" s="20" cm="1">
        <f t="array" ref="J51">_xlfn.XLOOKUP($J$6, '15. Workforce Calcs'!$B$8:$BG$8, _xlfn.XLOOKUP(A51, '15. Workforce Calcs'!$A$10:$A$59, '15. Workforce Calcs'!$B$10:$BG$59))</f>
        <v>1</v>
      </c>
      <c r="K51" s="20" cm="1">
        <f t="array" ref="K51">_xlfn.XLOOKUP($K$6, '16. Existing HQs and Projects'!$B$8:$Q$8, _xlfn.XLOOKUP(A51,'16. Existing HQs and Projects'!$A$9:$A$58, '16. Existing HQs and Projects'!$B$9:$Q$58))</f>
        <v>1</v>
      </c>
      <c r="L51" s="37">
        <f t="shared" si="1"/>
        <v>0</v>
      </c>
      <c r="M51" s="37" cm="1">
        <f t="array" ref="M51">_xlfn.IFS(L51=0, 1, L51&gt;$L$59, 3, L51=$L$59, 3, L51&lt;$L$59, 2)</f>
        <v>1</v>
      </c>
      <c r="N51" s="13"/>
      <c r="O51" s="13"/>
      <c r="P51" s="13"/>
    </row>
    <row r="52" spans="1:16" ht="15.95" customHeight="1">
      <c r="A52" s="16" t="s">
        <v>153</v>
      </c>
      <c r="B52" s="20" cm="1">
        <f t="array" ref="B52">_xlfn.XLOOKUP($B$6, 'Metric Categories 1-14'!$B$7:$FM$7, _xlfn.XLOOKUP(A52, 'Metric Categories 1-14'!$A$8:$A$57, 'Metric Categories 1-14'!$B$8:$FM$57))</f>
        <v>2.4</v>
      </c>
      <c r="C52" s="20" cm="1">
        <f t="array" ref="C52">_xlfn.XLOOKUP($C$6, 'Metric Categories 1-14'!$B$7:$FM$7, _xlfn.XLOOKUP(A52, 'Metric Categories 1-14'!$A$8:$A$57, 'Metric Categories 1-14'!$B$8:$FM$57))</f>
        <v>0.99999999999999978</v>
      </c>
      <c r="D52" s="20" cm="1">
        <f t="array" ref="D52">_xlfn.XLOOKUP($D$6, 'Metric Categories 1-14'!$B$7:$FM$7, _xlfn.XLOOKUP(A52, 'Metric Categories 1-14'!$A$8:$A$57, 'Metric Categories 1-14'!$B$8:$FM$57))</f>
        <v>2.2000000000000002</v>
      </c>
      <c r="E52" s="35">
        <f t="shared" si="2"/>
        <v>1.85</v>
      </c>
      <c r="F52" s="301" cm="1">
        <f t="array" ref="F52">_xlfn.IFS(E52=0, 1, E52&gt;$E$59, 3, E52&lt;$E$59, 2)</f>
        <v>3</v>
      </c>
      <c r="G52" s="20" cm="1">
        <f t="array" ref="G52">_xlfn.XLOOKUP($G$6, 'Metric Categories 1-14'!$B$7:$FM$7, _xlfn.XLOOKUP(A52, 'Metric Categories 1-14'!$A$8:$A$57, 'Metric Categories 1-14'!$B$8:$FM$57))</f>
        <v>2</v>
      </c>
      <c r="H52" s="20" cm="1">
        <f t="array" ref="H52">_xlfn.XLOOKUP($H$6, 'Metric Categories 1-14'!$B$7:$FM$7, _xlfn.XLOOKUP(A52, 'Metric Categories 1-14'!$A$8:$A$57, 'Metric Categories 1-14'!$B$8:$FM$57))</f>
        <v>1.3333333333333333</v>
      </c>
      <c r="I52" s="20" cm="1">
        <f t="array" ref="I52">_xlfn.XLOOKUP($I$6, 'Metric Categories 1-14'!$B$7:$FM$7, _xlfn.XLOOKUP(A52, 'Metric Categories 1-14'!$A$8:$A$57, 'Metric Categories 1-14'!$B$8:$FM$57))</f>
        <v>2</v>
      </c>
      <c r="J52" s="20" cm="1">
        <f t="array" ref="J52">_xlfn.XLOOKUP($J$6, '15. Workforce Calcs'!$B$8:$BG$8, _xlfn.XLOOKUP(A52, '15. Workforce Calcs'!$A$10:$A$59, '15. Workforce Calcs'!$B$10:$BG$59))</f>
        <v>2</v>
      </c>
      <c r="K52" s="20" cm="1">
        <f t="array" ref="K52">_xlfn.XLOOKUP($K$6, '16. Existing HQs and Projects'!$B$8:$Q$8, _xlfn.XLOOKUP(A52,'16. Existing HQs and Projects'!$A$9:$A$58, '16. Existing HQs and Projects'!$B$9:$Q$58))</f>
        <v>1</v>
      </c>
      <c r="L52" s="37">
        <f t="shared" si="1"/>
        <v>1.7833333333333334</v>
      </c>
      <c r="M52" s="37" cm="1">
        <f t="array" ref="M52">_xlfn.IFS(L52=0, 1, L52&gt;$L$59, 3, L52=$L$59, 3, L52&lt;$L$59, 2)</f>
        <v>3</v>
      </c>
      <c r="N52" s="13"/>
      <c r="O52" s="13"/>
      <c r="P52" s="13"/>
    </row>
    <row r="53" spans="1:16" ht="15.95" customHeight="1">
      <c r="A53" s="16" t="s">
        <v>154</v>
      </c>
      <c r="B53" s="20" cm="1">
        <f t="array" ref="B53">_xlfn.XLOOKUP($B$6, 'Metric Categories 1-14'!$B$7:$FM$7, _xlfn.XLOOKUP(A53, 'Metric Categories 1-14'!$A$8:$A$57, 'Metric Categories 1-14'!$B$8:$FM$57))</f>
        <v>2.5500000000000003</v>
      </c>
      <c r="C53" s="20" cm="1">
        <f t="array" ref="C53">_xlfn.XLOOKUP($C$6, 'Metric Categories 1-14'!$B$7:$FM$7, _xlfn.XLOOKUP(A53, 'Metric Categories 1-14'!$A$8:$A$57, 'Metric Categories 1-14'!$B$8:$FM$57))</f>
        <v>1.6499999999999997</v>
      </c>
      <c r="D53" s="20" cm="1">
        <f t="array" ref="D53">_xlfn.XLOOKUP($D$6, 'Metric Categories 1-14'!$B$7:$FM$7, _xlfn.XLOOKUP(A53, 'Metric Categories 1-14'!$A$8:$A$57, 'Metric Categories 1-14'!$B$8:$FM$57))</f>
        <v>2.8</v>
      </c>
      <c r="E53" s="35">
        <f t="shared" si="2"/>
        <v>2.31</v>
      </c>
      <c r="F53" s="301" cm="1">
        <f t="array" ref="F53">_xlfn.IFS(E53=0, 1, E53&gt;$E$59, 3, E53&lt;$E$59, 2)</f>
        <v>3</v>
      </c>
      <c r="G53" s="20" cm="1">
        <f t="array" ref="G53">_xlfn.XLOOKUP($G$6, 'Metric Categories 1-14'!$B$7:$FM$7, _xlfn.XLOOKUP(A53, 'Metric Categories 1-14'!$A$8:$A$57, 'Metric Categories 1-14'!$B$8:$FM$57))</f>
        <v>2.25</v>
      </c>
      <c r="H53" s="20" cm="1">
        <f t="array" ref="H53">_xlfn.XLOOKUP($H$6, 'Metric Categories 1-14'!$B$7:$FM$7, _xlfn.XLOOKUP(A53, 'Metric Categories 1-14'!$A$8:$A$57, 'Metric Categories 1-14'!$B$8:$FM$57))</f>
        <v>2.333333333333333</v>
      </c>
      <c r="I53" s="20" cm="1">
        <f t="array" ref="I53">_xlfn.XLOOKUP($I$6, 'Metric Categories 1-14'!$B$7:$FM$7, _xlfn.XLOOKUP(A53, 'Metric Categories 1-14'!$A$8:$A$57, 'Metric Categories 1-14'!$B$8:$FM$57))</f>
        <v>2</v>
      </c>
      <c r="J53" s="20" cm="1">
        <f t="array" ref="J53">_xlfn.XLOOKUP($J$6, '15. Workforce Calcs'!$B$8:$BG$8, _xlfn.XLOOKUP(A53, '15. Workforce Calcs'!$A$10:$A$59, '15. Workforce Calcs'!$B$10:$BG$59))</f>
        <v>2</v>
      </c>
      <c r="K53" s="20" cm="1">
        <f t="array" ref="K53">_xlfn.XLOOKUP($K$6, '16. Existing HQs and Projects'!$B$8:$Q$8, _xlfn.XLOOKUP(A53,'16. Existing HQs and Projects'!$A$9:$A$58, '16. Existing HQs and Projects'!$B$9:$Q$58))</f>
        <v>1</v>
      </c>
      <c r="L53" s="37">
        <f t="shared" si="1"/>
        <v>2.1333333333333333</v>
      </c>
      <c r="M53" s="37" cm="1">
        <f t="array" ref="M53">_xlfn.IFS(L53=0, 1, L53&gt;$L$59, 3, L53=$L$59, 3, L53&lt;$L$59, 2)</f>
        <v>3</v>
      </c>
      <c r="N53" s="13"/>
      <c r="O53" s="13"/>
      <c r="P53" s="13"/>
    </row>
    <row r="54" spans="1:16" ht="15.95" customHeight="1">
      <c r="A54" s="16" t="s">
        <v>155</v>
      </c>
      <c r="B54" s="20" cm="1">
        <f t="array" ref="B54">_xlfn.XLOOKUP($B$6, 'Metric Categories 1-14'!$B$7:$FM$7, _xlfn.XLOOKUP(A54, 'Metric Categories 1-14'!$A$8:$A$57, 'Metric Categories 1-14'!$B$8:$FM$57))</f>
        <v>0.99999999999999989</v>
      </c>
      <c r="C54" s="20" cm="1">
        <f t="array" ref="C54">_xlfn.XLOOKUP($C$6, 'Metric Categories 1-14'!$B$7:$FM$7, _xlfn.XLOOKUP(A54, 'Metric Categories 1-14'!$A$8:$A$57, 'Metric Categories 1-14'!$B$8:$FM$57))</f>
        <v>0.99999999999999978</v>
      </c>
      <c r="D54" s="20" cm="1">
        <f t="array" ref="D54">_xlfn.XLOOKUP($D$6, 'Metric Categories 1-14'!$B$7:$FM$7, _xlfn.XLOOKUP(A54, 'Metric Categories 1-14'!$A$8:$A$57, 'Metric Categories 1-14'!$B$8:$FM$57))</f>
        <v>1.6</v>
      </c>
      <c r="E54" s="35">
        <f t="shared" si="2"/>
        <v>0</v>
      </c>
      <c r="F54" s="301" cm="1">
        <f t="array" ref="F54">_xlfn.IFS(E54=0, 1, E54&gt;$E$59, 3, E54&lt;$E$59, 2)</f>
        <v>1</v>
      </c>
      <c r="G54" s="20" cm="1">
        <f t="array" ref="G54">_xlfn.XLOOKUP($G$6, 'Metric Categories 1-14'!$B$7:$FM$7, _xlfn.XLOOKUP(A54, 'Metric Categories 1-14'!$A$8:$A$57, 'Metric Categories 1-14'!$B$8:$FM$57))</f>
        <v>0</v>
      </c>
      <c r="H54" s="20" cm="1">
        <f t="array" ref="H54">_xlfn.XLOOKUP($H$6, 'Metric Categories 1-14'!$B$7:$FM$7, _xlfn.XLOOKUP(A54, 'Metric Categories 1-14'!$A$8:$A$57, 'Metric Categories 1-14'!$B$8:$FM$57))</f>
        <v>1</v>
      </c>
      <c r="I54" s="20" cm="1">
        <f t="array" ref="I54">_xlfn.XLOOKUP($I$6, 'Metric Categories 1-14'!$B$7:$FM$7, _xlfn.XLOOKUP(A54, 'Metric Categories 1-14'!$A$8:$A$57, 'Metric Categories 1-14'!$B$8:$FM$57))</f>
        <v>2</v>
      </c>
      <c r="J54" s="20" cm="1">
        <f t="array" ref="J54">_xlfn.XLOOKUP($J$6, '15. Workforce Calcs'!$B$8:$BG$8, _xlfn.XLOOKUP(A54, '15. Workforce Calcs'!$A$10:$A$59, '15. Workforce Calcs'!$B$10:$BG$59))</f>
        <v>3</v>
      </c>
      <c r="K54" s="20" cm="1">
        <f t="array" ref="K54">_xlfn.XLOOKUP($K$6, '16. Existing HQs and Projects'!$B$8:$Q$8, _xlfn.XLOOKUP(A54,'16. Existing HQs and Projects'!$A$9:$A$58, '16. Existing HQs and Projects'!$B$9:$Q$58))</f>
        <v>1</v>
      </c>
      <c r="L54" s="37">
        <f t="shared" si="1"/>
        <v>0</v>
      </c>
      <c r="M54" s="37" cm="1">
        <f t="array" ref="M54">_xlfn.IFS(L54=0, 1, L54&gt;$L$59, 3, L54=$L$59, 3, L54&lt;$L$59, 2)</f>
        <v>1</v>
      </c>
      <c r="N54" s="13"/>
      <c r="O54" s="13"/>
      <c r="P54" s="13"/>
    </row>
    <row r="55" spans="1:16" ht="15.95" customHeight="1">
      <c r="A55" s="16" t="s">
        <v>156</v>
      </c>
      <c r="B55" s="20" cm="1">
        <f t="array" ref="B55">_xlfn.XLOOKUP($B$6, 'Metric Categories 1-14'!$B$7:$FM$7, _xlfn.XLOOKUP(A55, 'Metric Categories 1-14'!$A$8:$A$57, 'Metric Categories 1-14'!$B$8:$FM$57))</f>
        <v>1.25</v>
      </c>
      <c r="C55" s="20" cm="1">
        <f t="array" ref="C55">_xlfn.XLOOKUP($C$6, 'Metric Categories 1-14'!$B$7:$FM$7, _xlfn.XLOOKUP(A55, 'Metric Categories 1-14'!$A$8:$A$57, 'Metric Categories 1-14'!$B$8:$FM$57))</f>
        <v>0.99999999999999978</v>
      </c>
      <c r="D55" s="20" cm="1">
        <f t="array" ref="D55">_xlfn.XLOOKUP($D$6, 'Metric Categories 1-14'!$B$7:$FM$7, _xlfn.XLOOKUP(A55, 'Metric Categories 1-14'!$A$8:$A$57, 'Metric Categories 1-14'!$B$8:$FM$57))</f>
        <v>1.5999999999999999</v>
      </c>
      <c r="E55" s="35">
        <f t="shared" si="2"/>
        <v>0</v>
      </c>
      <c r="F55" s="301" cm="1">
        <f t="array" ref="F55">_xlfn.IFS(E55=0, 1, E55&gt;$E$59, 3, E55&lt;$E$59, 2)</f>
        <v>1</v>
      </c>
      <c r="G55" s="20" cm="1">
        <f t="array" ref="G55">_xlfn.XLOOKUP($G$6, 'Metric Categories 1-14'!$B$7:$FM$7, _xlfn.XLOOKUP(A55, 'Metric Categories 1-14'!$A$8:$A$57, 'Metric Categories 1-14'!$B$8:$FM$57))</f>
        <v>0</v>
      </c>
      <c r="H55" s="20" cm="1">
        <f t="array" ref="H55">_xlfn.XLOOKUP($H$6, 'Metric Categories 1-14'!$B$7:$FM$7, _xlfn.XLOOKUP(A55, 'Metric Categories 1-14'!$A$8:$A$57, 'Metric Categories 1-14'!$B$8:$FM$57))</f>
        <v>1.3333333333333333</v>
      </c>
      <c r="I55" s="20" cm="1">
        <f t="array" ref="I55">_xlfn.XLOOKUP($I$6, 'Metric Categories 1-14'!$B$7:$FM$7, _xlfn.XLOOKUP(A55, 'Metric Categories 1-14'!$A$8:$A$57, 'Metric Categories 1-14'!$B$8:$FM$57))</f>
        <v>1</v>
      </c>
      <c r="J55" s="20" cm="1">
        <f t="array" ref="J55">_xlfn.XLOOKUP($J$6, '15. Workforce Calcs'!$B$8:$BG$8, _xlfn.XLOOKUP(A55, '15. Workforce Calcs'!$A$10:$A$59, '15. Workforce Calcs'!$B$10:$BG$59))</f>
        <v>2</v>
      </c>
      <c r="K55" s="20" cm="1">
        <f t="array" ref="K55">_xlfn.XLOOKUP($K$6, '16. Existing HQs and Projects'!$B$8:$Q$8, _xlfn.XLOOKUP(A55,'16. Existing HQs and Projects'!$A$9:$A$58, '16. Existing HQs and Projects'!$B$9:$Q$58))</f>
        <v>1</v>
      </c>
      <c r="L55" s="37">
        <f t="shared" si="1"/>
        <v>0</v>
      </c>
      <c r="M55" s="37" cm="1">
        <f t="array" ref="M55">_xlfn.IFS(L55=0, 1, L55&gt;$L$59, 3, L55=$L$59, 3, L55&lt;$L$59, 2)</f>
        <v>1</v>
      </c>
      <c r="N55" s="13"/>
      <c r="O55" s="13"/>
      <c r="P55" s="13"/>
    </row>
    <row r="56" spans="1:16" ht="15.95" customHeight="1">
      <c r="A56" s="16" t="s">
        <v>157</v>
      </c>
      <c r="B56" s="20" cm="1">
        <f t="array" ref="B56">_xlfn.XLOOKUP($B$6, 'Metric Categories 1-14'!$B$7:$FM$7, _xlfn.XLOOKUP(A56, 'Metric Categories 1-14'!$A$8:$A$57, 'Metric Categories 1-14'!$B$8:$FM$57))</f>
        <v>0.99999999999999989</v>
      </c>
      <c r="C56" s="20" cm="1">
        <f t="array" ref="C56">_xlfn.XLOOKUP($C$6, 'Metric Categories 1-14'!$B$7:$FM$7, _xlfn.XLOOKUP(A56, 'Metric Categories 1-14'!$A$8:$A$57, 'Metric Categories 1-14'!$B$8:$FM$57))</f>
        <v>0.79999999999999993</v>
      </c>
      <c r="D56" s="20" cm="1">
        <f t="array" ref="D56">_xlfn.XLOOKUP($D$6, 'Metric Categories 1-14'!$B$7:$FM$7, _xlfn.XLOOKUP(A56, 'Metric Categories 1-14'!$A$8:$A$57, 'Metric Categories 1-14'!$B$8:$FM$57))</f>
        <v>1.5999999999999999</v>
      </c>
      <c r="E56" s="35">
        <f t="shared" si="2"/>
        <v>0</v>
      </c>
      <c r="F56" s="301" cm="1">
        <f t="array" ref="F56">_xlfn.IFS(E56=0, 1, E56&gt;$E$59, 3, E56&lt;$E$59, 2)</f>
        <v>1</v>
      </c>
      <c r="G56" s="20" cm="1">
        <f t="array" ref="G56">_xlfn.XLOOKUP($G$6, 'Metric Categories 1-14'!$B$7:$FM$7, _xlfn.XLOOKUP(A56, 'Metric Categories 1-14'!$A$8:$A$57, 'Metric Categories 1-14'!$B$8:$FM$57))</f>
        <v>0</v>
      </c>
      <c r="H56" s="20" cm="1">
        <f t="array" ref="H56">_xlfn.XLOOKUP($H$6, 'Metric Categories 1-14'!$B$7:$FM$7, _xlfn.XLOOKUP(A56, 'Metric Categories 1-14'!$A$8:$A$57, 'Metric Categories 1-14'!$B$8:$FM$57))</f>
        <v>1.3333333333333333</v>
      </c>
      <c r="I56" s="20" cm="1">
        <f t="array" ref="I56">_xlfn.XLOOKUP($I$6, 'Metric Categories 1-14'!$B$7:$FM$7, _xlfn.XLOOKUP(A56, 'Metric Categories 1-14'!$A$8:$A$57, 'Metric Categories 1-14'!$B$8:$FM$57))</f>
        <v>1</v>
      </c>
      <c r="J56" s="20" cm="1">
        <f t="array" ref="J56">_xlfn.XLOOKUP($J$6, '15. Workforce Calcs'!$B$8:$BG$8, _xlfn.XLOOKUP(A56, '15. Workforce Calcs'!$A$10:$A$59, '15. Workforce Calcs'!$B$10:$BG$59))</f>
        <v>2</v>
      </c>
      <c r="K56" s="20" cm="1">
        <f t="array" ref="K56">_xlfn.XLOOKUP($K$6, '16. Existing HQs and Projects'!$B$8:$Q$8, _xlfn.XLOOKUP(A56,'16. Existing HQs and Projects'!$A$9:$A$58, '16. Existing HQs and Projects'!$B$9:$Q$58))</f>
        <v>1</v>
      </c>
      <c r="L56" s="37">
        <f t="shared" si="1"/>
        <v>0</v>
      </c>
      <c r="M56" s="37" cm="1">
        <f t="array" ref="M56">_xlfn.IFS(L56=0, 1, L56&gt;$L$59, 3, L56=$L$59, 3, L56&lt;$L$59, 2)</f>
        <v>1</v>
      </c>
      <c r="N56" s="13"/>
      <c r="O56" s="13"/>
      <c r="P56" s="13"/>
    </row>
    <row r="57" spans="1:16" ht="15.95" customHeight="1">
      <c r="B57" s="13"/>
      <c r="C57" s="13"/>
      <c r="D57" s="13"/>
      <c r="G57" s="13"/>
      <c r="H57" s="13"/>
      <c r="I57" s="13"/>
      <c r="J57" s="13"/>
      <c r="K57" s="20"/>
      <c r="M57" s="13"/>
      <c r="N57" s="13"/>
      <c r="O57" s="13"/>
      <c r="P57" s="13"/>
    </row>
    <row r="58" spans="1:16" ht="15.95" customHeight="1">
      <c r="B58" s="13"/>
      <c r="C58" s="13"/>
      <c r="D58" s="13"/>
      <c r="E58" s="35">
        <f>PERCENTILE(E7:E56, 1/3)</f>
        <v>0</v>
      </c>
      <c r="G58" s="13"/>
      <c r="H58" s="13"/>
      <c r="I58" s="13"/>
      <c r="J58" s="13"/>
      <c r="K58" s="13"/>
      <c r="L58" s="37">
        <f>PERCENTILE(L7:L56, 1/3)</f>
        <v>0</v>
      </c>
      <c r="M58" s="13"/>
      <c r="N58" s="13"/>
      <c r="O58" s="13"/>
      <c r="P58" s="13"/>
    </row>
    <row r="59" spans="1:16" ht="15.95" customHeight="1">
      <c r="B59" s="13"/>
      <c r="C59" s="13"/>
      <c r="D59" s="13"/>
      <c r="E59" s="351">
        <f>PERCENTILE(E7:E56, 2/3)</f>
        <v>1.3099999999999994</v>
      </c>
      <c r="G59" s="13"/>
      <c r="H59" s="13"/>
      <c r="I59" s="13"/>
      <c r="J59" s="13"/>
      <c r="K59" s="13"/>
      <c r="L59" s="352">
        <f>PERCENTILE(L7:L56, 2/3)</f>
        <v>1.6944444444444442</v>
      </c>
      <c r="M59" s="13"/>
      <c r="N59" s="13"/>
      <c r="O59" s="13"/>
      <c r="P59" s="13"/>
    </row>
    <row r="60" spans="1:16" ht="15.95" customHeight="1">
      <c r="B60" s="13"/>
      <c r="C60" s="13"/>
      <c r="D60" s="13"/>
      <c r="G60" s="13"/>
      <c r="H60" s="13"/>
      <c r="I60" s="13"/>
      <c r="J60" s="13"/>
      <c r="K60" s="13"/>
      <c r="M60" s="13"/>
      <c r="N60" s="13"/>
      <c r="O60" s="13"/>
      <c r="P60" s="13"/>
    </row>
    <row r="61" spans="1:16" ht="15.95" customHeight="1">
      <c r="B61" s="13"/>
      <c r="C61" s="13"/>
      <c r="D61" s="13"/>
      <c r="G61" s="13"/>
      <c r="H61" s="13"/>
      <c r="I61" s="13"/>
      <c r="J61" s="13"/>
      <c r="K61" s="13"/>
      <c r="M61" s="13"/>
      <c r="N61" s="13"/>
      <c r="O61" s="13"/>
      <c r="P61" s="13"/>
    </row>
    <row r="62" spans="1:16" ht="15.95" customHeight="1">
      <c r="B62" s="13"/>
      <c r="C62" s="13"/>
      <c r="D62" s="13"/>
      <c r="G62" s="13"/>
      <c r="H62" s="13"/>
      <c r="I62" s="13"/>
      <c r="J62" s="13"/>
      <c r="K62" s="13"/>
      <c r="M62" s="13"/>
      <c r="N62" s="13"/>
      <c r="O62" s="13"/>
      <c r="P62" s="13"/>
    </row>
    <row r="63" spans="1:16" ht="15.95" customHeight="1">
      <c r="B63" s="13"/>
      <c r="C63" s="13"/>
      <c r="D63" s="13"/>
      <c r="G63" s="13"/>
      <c r="H63" s="13"/>
      <c r="I63" s="13"/>
      <c r="J63" s="13"/>
      <c r="K63" s="13"/>
      <c r="M63" s="13"/>
      <c r="N63" s="13"/>
      <c r="O63" s="13"/>
      <c r="P63" s="13"/>
    </row>
    <row r="64" spans="1:16" ht="15.95" customHeight="1">
      <c r="B64" s="13"/>
      <c r="C64" s="13"/>
      <c r="D64" s="13"/>
      <c r="G64" s="13"/>
      <c r="H64" s="13"/>
      <c r="I64" s="13"/>
      <c r="J64" s="13"/>
      <c r="K64" s="13"/>
      <c r="M64" s="13"/>
      <c r="N64" s="13"/>
      <c r="O64" s="13"/>
      <c r="P64" s="13"/>
    </row>
    <row r="65" spans="2:16" ht="15.95" customHeight="1">
      <c r="B65" s="13"/>
      <c r="C65" s="13"/>
      <c r="D65" s="13"/>
      <c r="G65" s="13"/>
      <c r="H65" s="13"/>
      <c r="I65" s="13"/>
      <c r="J65" s="13"/>
      <c r="K65" s="13"/>
      <c r="M65" s="13"/>
      <c r="N65" s="13"/>
      <c r="O65" s="13"/>
      <c r="P65" s="13"/>
    </row>
    <row r="66" spans="2:16" ht="15.95" customHeight="1">
      <c r="B66" s="13"/>
      <c r="C66" s="13"/>
      <c r="D66" s="13"/>
      <c r="G66" s="13"/>
      <c r="H66" s="13"/>
      <c r="I66" s="13"/>
      <c r="J66" s="13"/>
      <c r="K66" s="13"/>
      <c r="M66" s="13"/>
      <c r="N66" s="13"/>
      <c r="O66" s="13"/>
      <c r="P66" s="13"/>
    </row>
    <row r="67" spans="2:16" ht="15.95" customHeight="1">
      <c r="B67" s="13"/>
      <c r="C67" s="13"/>
      <c r="D67" s="13"/>
      <c r="G67" s="13"/>
      <c r="H67" s="13"/>
      <c r="I67" s="13"/>
      <c r="J67" s="13"/>
      <c r="K67" s="13"/>
      <c r="M67" s="13"/>
      <c r="N67" s="13"/>
      <c r="O67" s="13"/>
      <c r="P67" s="13"/>
    </row>
    <row r="68" spans="2:16" ht="15.95" customHeight="1">
      <c r="B68" s="13"/>
      <c r="C68" s="13"/>
      <c r="D68" s="13"/>
      <c r="G68" s="13"/>
      <c r="H68" s="13"/>
      <c r="I68" s="13"/>
      <c r="J68" s="13"/>
      <c r="K68" s="13"/>
      <c r="M68" s="13"/>
      <c r="N68" s="13"/>
      <c r="O68" s="13"/>
      <c r="P68" s="13"/>
    </row>
    <row r="69" spans="2:16" ht="15.95" customHeight="1">
      <c r="B69" s="13"/>
      <c r="C69" s="13"/>
      <c r="D69" s="13"/>
      <c r="G69" s="13"/>
      <c r="H69" s="13"/>
      <c r="I69" s="13"/>
      <c r="J69" s="13"/>
      <c r="K69" s="13"/>
      <c r="M69" s="13"/>
      <c r="N69" s="13"/>
      <c r="O69" s="13"/>
      <c r="P69" s="13"/>
    </row>
    <row r="70" spans="2:16" ht="15.95" customHeight="1">
      <c r="B70" s="13"/>
      <c r="C70" s="13"/>
      <c r="D70" s="13"/>
      <c r="G70" s="13"/>
      <c r="H70" s="13"/>
      <c r="I70" s="13"/>
      <c r="J70" s="13"/>
      <c r="K70" s="13"/>
      <c r="M70" s="13"/>
      <c r="N70" s="13"/>
      <c r="O70" s="13"/>
      <c r="P70" s="13"/>
    </row>
    <row r="71" spans="2:16" ht="15.95" customHeight="1">
      <c r="B71" s="13"/>
      <c r="C71" s="13"/>
      <c r="D71" s="13"/>
      <c r="G71" s="13"/>
      <c r="H71" s="13"/>
      <c r="I71" s="13"/>
      <c r="J71" s="13"/>
      <c r="K71" s="13"/>
      <c r="M71" s="13"/>
      <c r="N71" s="13"/>
      <c r="O71" s="13"/>
      <c r="P71" s="13"/>
    </row>
    <row r="72" spans="2:16" ht="15.95" customHeight="1">
      <c r="B72" s="13"/>
      <c r="C72" s="13"/>
      <c r="D72" s="13"/>
      <c r="G72" s="13"/>
      <c r="H72" s="13"/>
      <c r="I72" s="13"/>
      <c r="J72" s="13"/>
      <c r="K72" s="13"/>
      <c r="M72" s="13"/>
      <c r="N72" s="13"/>
      <c r="O72" s="13"/>
      <c r="P72" s="13"/>
    </row>
    <row r="73" spans="2:16" ht="15.95" customHeight="1">
      <c r="B73" s="13"/>
      <c r="C73" s="13"/>
      <c r="D73" s="13"/>
      <c r="G73" s="13"/>
      <c r="H73" s="13"/>
      <c r="I73" s="13"/>
      <c r="J73" s="13"/>
      <c r="K73" s="13"/>
      <c r="M73" s="13"/>
      <c r="N73" s="13"/>
      <c r="O73" s="13"/>
      <c r="P73" s="13"/>
    </row>
    <row r="74" spans="2:16" ht="15.95" customHeight="1">
      <c r="B74" s="13"/>
      <c r="C74" s="13"/>
      <c r="D74" s="13"/>
      <c r="G74" s="13"/>
      <c r="H74" s="13"/>
      <c r="I74" s="13"/>
      <c r="J74" s="13"/>
      <c r="K74" s="13"/>
      <c r="M74" s="13"/>
      <c r="N74" s="13"/>
      <c r="O74" s="13"/>
      <c r="P74" s="13"/>
    </row>
    <row r="75" spans="2:16" ht="15.95" customHeight="1">
      <c r="B75" s="13"/>
      <c r="C75" s="13"/>
      <c r="D75" s="13"/>
      <c r="G75" s="13"/>
      <c r="H75" s="13"/>
      <c r="I75" s="13"/>
      <c r="J75" s="13"/>
      <c r="K75" s="13"/>
      <c r="M75" s="13"/>
      <c r="N75" s="13"/>
      <c r="O75" s="13"/>
      <c r="P75" s="13"/>
    </row>
    <row r="76" spans="2:16" ht="15.95" customHeight="1">
      <c r="B76" s="13"/>
      <c r="C76" s="13"/>
      <c r="D76" s="13"/>
      <c r="G76" s="13"/>
      <c r="H76" s="13"/>
      <c r="I76" s="13"/>
      <c r="J76" s="13"/>
      <c r="K76" s="13"/>
      <c r="M76" s="13"/>
      <c r="N76" s="13"/>
      <c r="O76" s="13"/>
      <c r="P76" s="13"/>
    </row>
    <row r="77" spans="2:16" ht="15.95" customHeight="1">
      <c r="B77" s="13"/>
      <c r="C77" s="13"/>
      <c r="D77" s="13"/>
      <c r="G77" s="13"/>
      <c r="H77" s="13"/>
      <c r="I77" s="13"/>
      <c r="J77" s="13"/>
      <c r="K77" s="13"/>
      <c r="M77" s="13"/>
      <c r="N77" s="13"/>
      <c r="O77" s="13"/>
      <c r="P77" s="13"/>
    </row>
    <row r="78" spans="2:16" ht="15.95" customHeight="1">
      <c r="B78" s="13"/>
      <c r="C78" s="13"/>
      <c r="D78" s="13"/>
      <c r="G78" s="13"/>
      <c r="H78" s="13"/>
      <c r="I78" s="13"/>
      <c r="J78" s="13"/>
      <c r="K78" s="13"/>
      <c r="M78" s="13"/>
      <c r="N78" s="13"/>
      <c r="O78" s="13"/>
      <c r="P78" s="13"/>
    </row>
    <row r="79" spans="2:16" ht="15.95" customHeight="1">
      <c r="B79" s="13"/>
      <c r="C79" s="13"/>
      <c r="D79" s="13"/>
      <c r="G79" s="13"/>
      <c r="H79" s="13"/>
      <c r="I79" s="13"/>
      <c r="J79" s="13"/>
      <c r="K79" s="13"/>
      <c r="M79" s="13"/>
      <c r="N79" s="13"/>
      <c r="O79" s="13"/>
      <c r="P79" s="13"/>
    </row>
    <row r="80" spans="2:16" ht="15.95" customHeight="1">
      <c r="B80" s="13"/>
      <c r="C80" s="13"/>
      <c r="D80" s="13"/>
      <c r="G80" s="13"/>
      <c r="H80" s="13"/>
      <c r="I80" s="13"/>
      <c r="J80" s="13"/>
      <c r="K80" s="13"/>
      <c r="M80" s="13"/>
      <c r="N80" s="13"/>
      <c r="O80" s="13"/>
      <c r="P80" s="13"/>
    </row>
    <row r="81" spans="2:16" ht="15.95" customHeight="1">
      <c r="B81" s="13"/>
      <c r="C81" s="13"/>
      <c r="D81" s="13"/>
      <c r="G81" s="13"/>
      <c r="H81" s="13"/>
      <c r="I81" s="13"/>
      <c r="J81" s="13"/>
      <c r="K81" s="13"/>
      <c r="M81" s="13"/>
      <c r="N81" s="13"/>
      <c r="O81" s="13"/>
      <c r="P81" s="13"/>
    </row>
    <row r="82" spans="2:16" ht="15.95" customHeight="1">
      <c r="B82" s="13"/>
      <c r="C82" s="13"/>
      <c r="D82" s="13"/>
      <c r="G82" s="13"/>
      <c r="H82" s="13"/>
      <c r="I82" s="13"/>
      <c r="J82" s="13"/>
      <c r="K82" s="13"/>
      <c r="M82" s="13"/>
      <c r="N82" s="13"/>
      <c r="O82" s="13"/>
      <c r="P82" s="13"/>
    </row>
    <row r="83" spans="2:16" ht="15.95" customHeight="1">
      <c r="B83" s="13"/>
      <c r="C83" s="13"/>
      <c r="D83" s="13"/>
      <c r="G83" s="13"/>
      <c r="H83" s="13"/>
      <c r="I83" s="13"/>
      <c r="J83" s="13"/>
      <c r="K83" s="13"/>
      <c r="M83" s="13"/>
      <c r="N83" s="13"/>
      <c r="O83" s="13"/>
      <c r="P83" s="13"/>
    </row>
    <row r="84" spans="2:16" ht="15.95" customHeight="1">
      <c r="B84" s="13"/>
      <c r="C84" s="13"/>
      <c r="D84" s="13"/>
      <c r="G84" s="13"/>
      <c r="H84" s="13"/>
      <c r="I84" s="13"/>
      <c r="J84" s="13"/>
      <c r="K84" s="13"/>
      <c r="M84" s="13"/>
      <c r="N84" s="13"/>
      <c r="O84" s="13"/>
      <c r="P84" s="13"/>
    </row>
    <row r="85" spans="2:16" ht="15.95" customHeight="1">
      <c r="B85" s="13"/>
      <c r="C85" s="13"/>
      <c r="D85" s="13"/>
      <c r="G85" s="13"/>
      <c r="H85" s="13"/>
      <c r="I85" s="13"/>
      <c r="J85" s="13"/>
      <c r="K85" s="13"/>
      <c r="M85" s="13"/>
      <c r="N85" s="13"/>
      <c r="O85" s="13"/>
      <c r="P85" s="13"/>
    </row>
    <row r="86" spans="2:16" ht="15.95" customHeight="1">
      <c r="B86" s="13"/>
      <c r="C86" s="13"/>
      <c r="D86" s="13"/>
      <c r="G86" s="13"/>
      <c r="H86" s="13"/>
      <c r="I86" s="13"/>
      <c r="J86" s="13"/>
      <c r="K86" s="13"/>
      <c r="M86" s="13"/>
      <c r="N86" s="13"/>
      <c r="O86" s="13"/>
      <c r="P86" s="13"/>
    </row>
    <row r="87" spans="2:16" ht="15.95" customHeight="1">
      <c r="B87" s="13"/>
      <c r="C87" s="13"/>
      <c r="D87" s="13"/>
      <c r="G87" s="13"/>
      <c r="H87" s="13"/>
      <c r="I87" s="13"/>
      <c r="J87" s="13"/>
      <c r="K87" s="13"/>
      <c r="M87" s="13"/>
      <c r="N87" s="13"/>
      <c r="O87" s="13"/>
      <c r="P87" s="13"/>
    </row>
    <row r="88" spans="2:16" ht="15.95" customHeight="1">
      <c r="B88" s="13"/>
      <c r="C88" s="13"/>
      <c r="D88" s="13"/>
      <c r="G88" s="13"/>
      <c r="H88" s="13"/>
      <c r="I88" s="13"/>
      <c r="J88" s="13"/>
      <c r="K88" s="13"/>
      <c r="M88" s="13"/>
      <c r="N88" s="13"/>
      <c r="O88" s="13"/>
      <c r="P88" s="13"/>
    </row>
    <row r="89" spans="2:16" ht="15.95" customHeight="1">
      <c r="B89" s="13"/>
      <c r="C89" s="13"/>
      <c r="D89" s="13"/>
      <c r="G89" s="13"/>
      <c r="H89" s="13"/>
      <c r="I89" s="13"/>
      <c r="J89" s="13"/>
      <c r="K89" s="13"/>
      <c r="M89" s="13"/>
      <c r="N89" s="13"/>
      <c r="O89" s="13"/>
      <c r="P89" s="13"/>
    </row>
    <row r="90" spans="2:16" ht="15.95" customHeight="1">
      <c r="B90" s="13"/>
      <c r="C90" s="13"/>
      <c r="D90" s="13"/>
      <c r="G90" s="13"/>
      <c r="H90" s="13"/>
      <c r="I90" s="13"/>
      <c r="J90" s="13"/>
      <c r="K90" s="13"/>
      <c r="M90" s="13"/>
      <c r="N90" s="13"/>
      <c r="O90" s="13"/>
      <c r="P90" s="13"/>
    </row>
    <row r="91" spans="2:16" ht="15.95" customHeight="1">
      <c r="B91" s="13"/>
      <c r="C91" s="13"/>
      <c r="D91" s="13"/>
      <c r="G91" s="13"/>
      <c r="H91" s="13"/>
      <c r="I91" s="13"/>
      <c r="J91" s="13"/>
      <c r="K91" s="13"/>
      <c r="M91" s="13"/>
      <c r="N91" s="13"/>
      <c r="O91" s="13"/>
      <c r="P91" s="13"/>
    </row>
    <row r="92" spans="2:16" ht="15.95" customHeight="1">
      <c r="B92" s="13"/>
      <c r="C92" s="13"/>
      <c r="D92" s="13"/>
      <c r="G92" s="13"/>
      <c r="H92" s="13"/>
      <c r="I92" s="13"/>
      <c r="J92" s="13"/>
      <c r="K92" s="13"/>
      <c r="M92" s="13"/>
      <c r="N92" s="13"/>
      <c r="O92" s="13"/>
      <c r="P92" s="13"/>
    </row>
    <row r="93" spans="2:16" ht="15.95" customHeight="1">
      <c r="B93" s="13"/>
      <c r="C93" s="13"/>
      <c r="D93" s="13"/>
      <c r="G93" s="13"/>
      <c r="H93" s="13"/>
      <c r="I93" s="13"/>
      <c r="J93" s="13"/>
      <c r="K93" s="13"/>
      <c r="M93" s="13"/>
      <c r="N93" s="13"/>
      <c r="O93" s="13"/>
      <c r="P93" s="13"/>
    </row>
    <row r="94" spans="2:16" ht="15.95" customHeight="1">
      <c r="B94" s="13"/>
      <c r="C94" s="13"/>
      <c r="D94" s="13"/>
      <c r="G94" s="13"/>
      <c r="H94" s="13"/>
      <c r="I94" s="13"/>
      <c r="J94" s="13"/>
      <c r="K94" s="13"/>
      <c r="M94" s="13"/>
      <c r="N94" s="13"/>
      <c r="O94" s="13"/>
      <c r="P94" s="13"/>
    </row>
    <row r="95" spans="2:16" ht="15.95" customHeight="1">
      <c r="B95" s="13"/>
      <c r="C95" s="13"/>
      <c r="D95" s="13"/>
      <c r="G95" s="13"/>
      <c r="H95" s="13"/>
      <c r="I95" s="13"/>
      <c r="J95" s="13"/>
      <c r="K95" s="13"/>
      <c r="M95" s="13"/>
      <c r="N95" s="13"/>
      <c r="O95" s="13"/>
      <c r="P95" s="13"/>
    </row>
    <row r="96" spans="2:16" ht="15.95" customHeight="1">
      <c r="B96" s="13"/>
      <c r="C96" s="13"/>
      <c r="D96" s="13"/>
      <c r="G96" s="13"/>
      <c r="H96" s="13"/>
      <c r="I96" s="13"/>
      <c r="J96" s="13"/>
      <c r="K96" s="13"/>
      <c r="M96" s="13"/>
      <c r="N96" s="13"/>
      <c r="O96" s="13"/>
      <c r="P96" s="13"/>
    </row>
    <row r="97" spans="2:16" ht="15.95" customHeight="1">
      <c r="B97" s="13"/>
      <c r="C97" s="13"/>
      <c r="D97" s="13"/>
      <c r="G97" s="13"/>
      <c r="H97" s="13"/>
      <c r="I97" s="13"/>
      <c r="J97" s="13"/>
      <c r="K97" s="13"/>
      <c r="M97" s="13"/>
      <c r="N97" s="13"/>
      <c r="O97" s="13"/>
      <c r="P97" s="13"/>
    </row>
    <row r="98" spans="2:16" ht="15.95" customHeight="1">
      <c r="B98" s="13"/>
      <c r="C98" s="13"/>
      <c r="D98" s="13"/>
      <c r="G98" s="13"/>
      <c r="H98" s="13"/>
      <c r="I98" s="13"/>
      <c r="J98" s="13"/>
      <c r="K98" s="13"/>
      <c r="M98" s="13"/>
      <c r="N98" s="13"/>
      <c r="O98" s="13"/>
      <c r="P98" s="13"/>
    </row>
    <row r="99" spans="2:16" ht="15.95" customHeight="1">
      <c r="B99" s="13"/>
      <c r="C99" s="13"/>
      <c r="D99" s="13"/>
      <c r="G99" s="13"/>
      <c r="H99" s="13"/>
      <c r="I99" s="13"/>
      <c r="J99" s="13"/>
      <c r="K99" s="13"/>
      <c r="M99" s="13"/>
      <c r="N99" s="13"/>
      <c r="O99" s="13"/>
      <c r="P99" s="13"/>
    </row>
  </sheetData>
  <mergeCells count="2">
    <mergeCell ref="B4:E4"/>
    <mergeCell ref="G4:K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5A2D25AEA9304AAFD8C49346BC90ED" ma:contentTypeVersion="20" ma:contentTypeDescription="Create a new document." ma:contentTypeScope="" ma:versionID="68d65dae53715b8b5e2829fd8f84ed87">
  <xsd:schema xmlns:xsd="http://www.w3.org/2001/XMLSchema" xmlns:xs="http://www.w3.org/2001/XMLSchema" xmlns:p="http://schemas.microsoft.com/office/2006/metadata/properties" xmlns:ns1="http://schemas.microsoft.com/sharepoint/v3" xmlns:ns2="89755542-b848-4b3c-b55e-53b440191046" xmlns:ns3="edaa3f65-a4bc-4798-8342-1877022639e4" xmlns:ns4="a1df9832-fa29-4d0b-8301-c5ccf72ca850" targetNamespace="http://schemas.microsoft.com/office/2006/metadata/properties" ma:root="true" ma:fieldsID="fed8677c460db7ece1d63e9f6d774f13" ns1:_="" ns2:_="" ns3:_="" ns4:_="">
    <xsd:import namespace="http://schemas.microsoft.com/sharepoint/v3"/>
    <xsd:import namespace="89755542-b848-4b3c-b55e-53b440191046"/>
    <xsd:import namespace="edaa3f65-a4bc-4798-8342-1877022639e4"/>
    <xsd:import namespace="a1df9832-fa29-4d0b-8301-c5ccf72ca8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lcf76f155ced4ddcb4097134ff3c332f" minOccurs="0"/>
                <xsd:element ref="ns2:Notes" minOccurs="0"/>
                <xsd:element ref="ns2:MediaServiceDateTaken" minOccurs="0"/>
                <xsd:element ref="ns2:MediaLengthInSeconds" minOccurs="0"/>
                <xsd:element ref="ns2:MediaServiceSearchProperties"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755542-b848-4b3c-b55e-53b4401910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8ca830c-a034-4168-b956-d7763e68b615" ma:termSetId="09814cd3-568e-fe90-9814-8d621ff8fb84" ma:anchorId="fba54fb3-c3e1-fe81-a776-ca4b69148c4d" ma:open="true" ma:isKeyword="false">
      <xsd:complexType>
        <xsd:sequence>
          <xsd:element ref="pc:Terms" minOccurs="0" maxOccurs="1"/>
        </xsd:sequence>
      </xsd:complexType>
    </xsd:element>
    <xsd:element name="Notes" ma:index="19" nillable="true" ma:displayName="Notes" ma:format="Dropdown" ma:internalName="Notes">
      <xsd:simpleType>
        <xsd:restriction base="dms:Text">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aa3f65-a4bc-4798-8342-1877022639e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c3dd968-0126-4d7c-8cc6-a3b40c886937}" ma:internalName="TaxCatchAll" ma:showField="CatchAllData" ma:web="edaa3f65-a4bc-4798-8342-1877022639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755542-b848-4b3c-b55e-53b440191046">
      <Terms xmlns="http://schemas.microsoft.com/office/infopath/2007/PartnerControls"/>
    </lcf76f155ced4ddcb4097134ff3c332f>
    <TaxCatchAll xmlns="a1df9832-fa29-4d0b-8301-c5ccf72ca850" xsi:nil="true"/>
    <Notes xmlns="89755542-b848-4b3c-b55e-53b44019104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20C0-D64D-43E6-99FD-15B29C0A82AE}"/>
</file>

<file path=customXml/itemProps2.xml><?xml version="1.0" encoding="utf-8"?>
<ds:datastoreItem xmlns:ds="http://schemas.openxmlformats.org/officeDocument/2006/customXml" ds:itemID="{4E9C5FD3-9358-4062-A4C5-78B0F3449F7F}"/>
</file>

<file path=customXml/itemProps3.xml><?xml version="1.0" encoding="utf-8"?>
<ds:datastoreItem xmlns:ds="http://schemas.openxmlformats.org/officeDocument/2006/customXml" ds:itemID="{40283162-1FD2-4967-B5EA-512CBCCED06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2024-01-09T19:54:16Z</dcterms:created>
  <dcterms:modified xsi:type="dcterms:W3CDTF">2024-11-06T21:10:45Z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0x010100465A2D25AEA9304AAFD8C49346BC90ED</vt:lpwstr>
  </property>
  <property fmtid="{D5CDD505-2E9C-101B-9397-08002B2CF9AE}" pid="3" name="MediaServiceImageTags">
    <vt:lpwstr/>
  </property>
</Properties>
</file>