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defaultThemeVersion="166925"/>
  <mc:AlternateContent xmlns:mc="http://schemas.openxmlformats.org/markup-compatibility/2006">
    <mc:Choice Requires="x15">
      <x15ac:absPath xmlns:x15ac="http://schemas.microsoft.com/office/spreadsheetml/2010/11/ac" url="https://rockmtnins.sharepoint.com/sites/HorizonZero/Shared Documents/4. Work/Carbon Accounting/Aluminum/Emissions Reporting Guidance/Calculation tools/"/>
    </mc:Choice>
  </mc:AlternateContent>
  <xr:revisionPtr revIDLastSave="0" documentId="8_{A31F4CE3-9519-4D1E-AC36-A326352AB064}" xr6:coauthVersionLast="47" xr6:coauthVersionMax="47" xr10:uidLastSave="{00000000-0000-0000-0000-000000000000}"/>
  <bookViews>
    <workbookView xWindow="-90" yWindow="-90" windowWidth="19380" windowHeight="11460" tabRatio="873" firstSheet="1" activeTab="1" xr2:uid="{00000000-000D-0000-FFFF-FFFF00000000}"/>
  </bookViews>
  <sheets>
    <sheet name="Asset 1" sheetId="2" state="hidden" r:id="rId1"/>
    <sheet name="READ ME FIRST" sheetId="16" r:id="rId2"/>
    <sheet name="Summary Output" sheetId="17" r:id="rId3"/>
    <sheet name="WBCSD PACT aligned data fields" sheetId="31" r:id="rId4"/>
    <sheet name="Bauxite" sheetId="26" r:id="rId5"/>
    <sheet name="Alumina" sheetId="25" r:id="rId6"/>
    <sheet name="Anode Production" sheetId="24" r:id="rId7"/>
    <sheet name="Mine to Smelter" sheetId="23" r:id="rId8"/>
    <sheet name="Smelter Casting Scrap Only " sheetId="28" r:id="rId9"/>
    <sheet name="Final Casting" sheetId="20" r:id="rId10"/>
    <sheet name="Semi-Fabrication" sheetId="22" r:id="rId11"/>
    <sheet name="Default EF" sheetId="13" r:id="rId12"/>
    <sheet name="Self-gen and Contract Power" sheetId="14" r:id="rId13"/>
    <sheet name="Reference (hide)" sheetId="19" r:id="rId14"/>
    <sheet name="Default EF (hide)" sheetId="29" state="hidden" r:id="rId15"/>
    <sheet name="Reference flow" sheetId="15" state="hidden" r:id="rId16"/>
    <sheet name="Scratch Sheet1" sheetId="6" state="hidden" r:id="rId17"/>
    <sheet name="Scratch Sheet2" sheetId="8" state="hidden" r:id="rId18"/>
    <sheet name="Company emission (not finished)" sheetId="1" state="hidden" r:id="rId19"/>
  </sheets>
  <externalReferences>
    <externalReference r:id="rId20"/>
  </externalReferences>
  <definedNames>
    <definedName name="_xlnm._FilterDatabase" localSheetId="11" hidden="1">'Default EF'!$B$2:$C$2</definedName>
    <definedName name="_xlnm._FilterDatabase" localSheetId="14" hidden="1">'Default EF (hide)'!$B$2:$C$2</definedName>
    <definedName name="Direct_EF">OFFSET('[1]Emissions Factors'!$A$4,0,0,COUNTA('[1]Emissions Factors'!$A:$A)-2,3)</definedName>
    <definedName name="Indirect_EF">OFFSET('[1]Emissions Factors'!$F$4,0,0,COUNTA('[1]Emissions Factors'!$F:$F)-2,3)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8" l="1"/>
  <c r="H71" i="26"/>
  <c r="H116" i="22"/>
  <c r="H124" i="20"/>
  <c r="H117" i="28"/>
  <c r="H97" i="23"/>
  <c r="H85" i="24"/>
  <c r="H84" i="25"/>
  <c r="H84" i="26"/>
  <c r="M64" i="14"/>
  <c r="P69" i="14" s="1"/>
  <c r="M65" i="14"/>
  <c r="M66" i="14"/>
  <c r="M67" i="14"/>
  <c r="M68" i="14"/>
  <c r="M69" i="14"/>
  <c r="M70" i="14"/>
  <c r="M71" i="14"/>
  <c r="M63" i="14"/>
  <c r="P71" i="14"/>
  <c r="H44" i="23"/>
  <c r="J19" i="13"/>
  <c r="G19" i="13"/>
  <c r="AZ2" i="31"/>
  <c r="AW2" i="31"/>
  <c r="AL2" i="31"/>
  <c r="AA2" i="31"/>
  <c r="X2" i="31"/>
  <c r="W2" i="31"/>
  <c r="V2" i="31"/>
  <c r="P2" i="31"/>
  <c r="O2" i="31" s="1"/>
  <c r="N2" i="31"/>
  <c r="M2" i="31"/>
  <c r="K2" i="31"/>
  <c r="H2" i="31"/>
  <c r="AT2" i="31"/>
  <c r="AS2" i="31"/>
  <c r="AF2" i="31"/>
  <c r="AE2" i="31"/>
  <c r="J2" i="31"/>
  <c r="F2" i="31"/>
  <c r="S2" i="31"/>
  <c r="T2" i="31"/>
  <c r="G31" i="22" l="1"/>
  <c r="D30" i="22"/>
  <c r="D31" i="22" s="1"/>
  <c r="B65" i="22"/>
  <c r="I64" i="22"/>
  <c r="H64" i="22"/>
  <c r="D64" i="22"/>
  <c r="I63" i="22"/>
  <c r="H63" i="22"/>
  <c r="D63" i="22"/>
  <c r="I62" i="22"/>
  <c r="H62" i="22"/>
  <c r="D62" i="22"/>
  <c r="I61" i="22"/>
  <c r="H61" i="22"/>
  <c r="D61" i="22"/>
  <c r="I60" i="22"/>
  <c r="H60" i="22"/>
  <c r="D60" i="22"/>
  <c r="I59" i="22"/>
  <c r="H59" i="22"/>
  <c r="D59" i="22"/>
  <c r="I58" i="22"/>
  <c r="H58" i="22"/>
  <c r="D58" i="22"/>
  <c r="I57" i="22"/>
  <c r="H57" i="22"/>
  <c r="D57" i="22"/>
  <c r="I56" i="22"/>
  <c r="H56" i="22"/>
  <c r="D56" i="22"/>
  <c r="I55" i="22"/>
  <c r="H55" i="22"/>
  <c r="D55" i="22"/>
  <c r="D65" i="22" s="1"/>
  <c r="AB2" i="31"/>
  <c r="AU2" i="31"/>
  <c r="AK2" i="31"/>
  <c r="AG2" i="31"/>
  <c r="J22" i="13"/>
  <c r="G22" i="13"/>
  <c r="I65" i="22" l="1"/>
  <c r="H65" i="22"/>
  <c r="J20" i="13"/>
  <c r="G23" i="13" l="1"/>
  <c r="D56" i="26"/>
  <c r="J26" i="29"/>
  <c r="J23" i="29"/>
  <c r="M23" i="29" s="1"/>
  <c r="G23" i="29"/>
  <c r="G22" i="29" s="1"/>
  <c r="T22" i="29"/>
  <c r="V22" i="29" s="1"/>
  <c r="J22" i="29"/>
  <c r="M22" i="29" s="1"/>
  <c r="J21" i="29"/>
  <c r="M21" i="29" s="1"/>
  <c r="G21" i="29"/>
  <c r="J20" i="29"/>
  <c r="M20" i="29" s="1"/>
  <c r="G20" i="29"/>
  <c r="J19" i="29"/>
  <c r="M19" i="29" s="1"/>
  <c r="G19" i="29"/>
  <c r="J18" i="29"/>
  <c r="M18" i="29" s="1"/>
  <c r="J17" i="29"/>
  <c r="M17" i="29" s="1"/>
  <c r="J16" i="29"/>
  <c r="M16" i="29" s="1"/>
  <c r="J15" i="29"/>
  <c r="M15" i="29" s="1"/>
  <c r="J14" i="29"/>
  <c r="M14" i="29" s="1"/>
  <c r="C104" i="14"/>
  <c r="H104" i="14" s="1"/>
  <c r="C105" i="14"/>
  <c r="H105" i="14" s="1"/>
  <c r="C103" i="14"/>
  <c r="H103" i="14" s="1"/>
  <c r="C83" i="14"/>
  <c r="H83" i="14" s="1"/>
  <c r="C84" i="14"/>
  <c r="H84" i="14" s="1"/>
  <c r="C82" i="14"/>
  <c r="H82" i="14" s="1"/>
  <c r="C81" i="14"/>
  <c r="H81" i="14" s="1"/>
  <c r="E100" i="14"/>
  <c r="D100" i="14"/>
  <c r="E99" i="14"/>
  <c r="D99" i="14"/>
  <c r="E98" i="14"/>
  <c r="D98" i="14"/>
  <c r="E97" i="14"/>
  <c r="D97" i="14"/>
  <c r="E96" i="14"/>
  <c r="D96" i="14"/>
  <c r="E95" i="14"/>
  <c r="D95" i="14"/>
  <c r="E94" i="14"/>
  <c r="D94" i="14"/>
  <c r="E93" i="14"/>
  <c r="D93" i="14"/>
  <c r="E92" i="14"/>
  <c r="D92" i="14"/>
  <c r="U22" i="29" l="1"/>
  <c r="H102" i="14"/>
  <c r="B50" i="17" l="1"/>
  <c r="AV2" i="31" s="1"/>
  <c r="D35" i="28"/>
  <c r="D36" i="28" s="1"/>
  <c r="G36" i="28"/>
  <c r="D61" i="24" l="1"/>
  <c r="D62" i="24"/>
  <c r="D60" i="26"/>
  <c r="D61" i="26"/>
  <c r="D60" i="25"/>
  <c r="D61" i="25"/>
  <c r="H116" i="28" l="1"/>
  <c r="C114" i="28"/>
  <c r="H114" i="28" s="1"/>
  <c r="C113" i="28"/>
  <c r="H113" i="28" s="1"/>
  <c r="C112" i="28"/>
  <c r="H112" i="28" s="1"/>
  <c r="C111" i="28"/>
  <c r="H111" i="28" s="1"/>
  <c r="C110" i="28"/>
  <c r="H110" i="28" s="1"/>
  <c r="C109" i="28"/>
  <c r="H109" i="28" s="1"/>
  <c r="C108" i="28"/>
  <c r="H108" i="28" s="1"/>
  <c r="C107" i="28"/>
  <c r="H107" i="28" s="1"/>
  <c r="C106" i="28"/>
  <c r="H106" i="28" s="1"/>
  <c r="C105" i="28"/>
  <c r="H105" i="28" s="1"/>
  <c r="C102" i="28"/>
  <c r="H102" i="28" s="1"/>
  <c r="C101" i="28"/>
  <c r="H101" i="28" s="1"/>
  <c r="C100" i="28"/>
  <c r="H100" i="28" s="1"/>
  <c r="E97" i="28"/>
  <c r="D97" i="28"/>
  <c r="E96" i="28"/>
  <c r="D96" i="28"/>
  <c r="E95" i="28"/>
  <c r="D95" i="28"/>
  <c r="E94" i="28"/>
  <c r="D94" i="28"/>
  <c r="E93" i="28"/>
  <c r="D93" i="28"/>
  <c r="E92" i="28"/>
  <c r="D92" i="28"/>
  <c r="E91" i="28"/>
  <c r="D91" i="28"/>
  <c r="E90" i="28"/>
  <c r="D90" i="28"/>
  <c r="E89" i="28"/>
  <c r="D89" i="28"/>
  <c r="C81" i="28"/>
  <c r="H81" i="28" s="1"/>
  <c r="C80" i="28"/>
  <c r="H80" i="28" s="1"/>
  <c r="C79" i="28"/>
  <c r="H79" i="28" s="1"/>
  <c r="C78" i="28"/>
  <c r="H78" i="28" s="1"/>
  <c r="D74" i="28"/>
  <c r="G70" i="28"/>
  <c r="B69" i="28"/>
  <c r="G68" i="28"/>
  <c r="D68" i="28"/>
  <c r="G67" i="28"/>
  <c r="D67" i="28"/>
  <c r="G66" i="28"/>
  <c r="D66" i="28"/>
  <c r="G65" i="28"/>
  <c r="D65" i="28"/>
  <c r="G64" i="28"/>
  <c r="D64" i="28"/>
  <c r="G63" i="28"/>
  <c r="G62" i="28"/>
  <c r="G61" i="28"/>
  <c r="G60" i="28"/>
  <c r="G59" i="28"/>
  <c r="D59" i="28"/>
  <c r="B52" i="28"/>
  <c r="G51" i="28"/>
  <c r="D51" i="28"/>
  <c r="G50" i="28"/>
  <c r="D50" i="28"/>
  <c r="G49" i="28"/>
  <c r="D49" i="28"/>
  <c r="G48" i="28"/>
  <c r="D48" i="28"/>
  <c r="G47" i="28"/>
  <c r="D47" i="28"/>
  <c r="G46" i="28"/>
  <c r="D46" i="28"/>
  <c r="G45" i="28"/>
  <c r="D45" i="28"/>
  <c r="G44" i="28"/>
  <c r="D44" i="28"/>
  <c r="G43" i="28"/>
  <c r="D43" i="28"/>
  <c r="G42" i="28"/>
  <c r="G53" i="28" s="1"/>
  <c r="D42" i="28"/>
  <c r="G30" i="28"/>
  <c r="D29" i="28"/>
  <c r="D30" i="28" s="1"/>
  <c r="G24" i="28"/>
  <c r="D23" i="28"/>
  <c r="D24" i="28" s="1"/>
  <c r="H96" i="23"/>
  <c r="D123" i="23"/>
  <c r="D107" i="23"/>
  <c r="D73" i="23"/>
  <c r="D74" i="23"/>
  <c r="D100" i="20"/>
  <c r="D101" i="20"/>
  <c r="D93" i="22"/>
  <c r="D92" i="22"/>
  <c r="D94" i="22"/>
  <c r="E66" i="14"/>
  <c r="E67" i="14"/>
  <c r="E68" i="14"/>
  <c r="E69" i="14"/>
  <c r="E70" i="14"/>
  <c r="E71" i="14"/>
  <c r="E65" i="14"/>
  <c r="E64" i="14"/>
  <c r="E63" i="14"/>
  <c r="H71" i="14"/>
  <c r="E32" i="14"/>
  <c r="E33" i="14"/>
  <c r="E34" i="14"/>
  <c r="E35" i="14"/>
  <c r="E36" i="14"/>
  <c r="E37" i="14"/>
  <c r="E31" i="14"/>
  <c r="E30" i="14"/>
  <c r="E29" i="14"/>
  <c r="E14" i="14"/>
  <c r="E15" i="14"/>
  <c r="E16" i="14"/>
  <c r="E11" i="14"/>
  <c r="E12" i="14"/>
  <c r="E13" i="14"/>
  <c r="E10" i="14"/>
  <c r="E9" i="14"/>
  <c r="E8" i="14"/>
  <c r="D95" i="22"/>
  <c r="D71" i="20"/>
  <c r="D72" i="20"/>
  <c r="D73" i="20"/>
  <c r="D74" i="20"/>
  <c r="D75" i="20"/>
  <c r="D67" i="20"/>
  <c r="D68" i="20"/>
  <c r="D69" i="20"/>
  <c r="D70" i="20"/>
  <c r="D66" i="20"/>
  <c r="H83" i="26"/>
  <c r="C81" i="26"/>
  <c r="H81" i="26" s="1"/>
  <c r="C80" i="26"/>
  <c r="H80" i="26" s="1"/>
  <c r="C79" i="26"/>
  <c r="H79" i="26" s="1"/>
  <c r="C78" i="26"/>
  <c r="H78" i="26" s="1"/>
  <c r="C77" i="26"/>
  <c r="H77" i="26" s="1"/>
  <c r="C76" i="26"/>
  <c r="H76" i="26" s="1"/>
  <c r="C75" i="26"/>
  <c r="H75" i="26" s="1"/>
  <c r="C74" i="26"/>
  <c r="H74" i="26" s="1"/>
  <c r="C73" i="26"/>
  <c r="H73" i="26" s="1"/>
  <c r="C72" i="26"/>
  <c r="H72" i="26" s="1"/>
  <c r="C69" i="26"/>
  <c r="H69" i="26" s="1"/>
  <c r="C68" i="26"/>
  <c r="H68" i="26" s="1"/>
  <c r="C67" i="26"/>
  <c r="H67" i="26" s="1"/>
  <c r="E64" i="26"/>
  <c r="D64" i="26"/>
  <c r="E63" i="26"/>
  <c r="D63" i="26"/>
  <c r="E62" i="26"/>
  <c r="D62" i="26"/>
  <c r="E61" i="26"/>
  <c r="E60" i="26"/>
  <c r="E59" i="26"/>
  <c r="D59" i="26"/>
  <c r="E58" i="26"/>
  <c r="D58" i="26"/>
  <c r="E57" i="26"/>
  <c r="D57" i="26"/>
  <c r="E56" i="26"/>
  <c r="C48" i="26"/>
  <c r="H48" i="26" s="1"/>
  <c r="C47" i="26"/>
  <c r="H47" i="26" s="1"/>
  <c r="C46" i="26"/>
  <c r="H46" i="26" s="1"/>
  <c r="C45" i="26"/>
  <c r="H45" i="26" s="1"/>
  <c r="D41" i="26"/>
  <c r="H32" i="26"/>
  <c r="H31" i="26"/>
  <c r="H30" i="26"/>
  <c r="H29" i="26"/>
  <c r="H28" i="26"/>
  <c r="H27" i="26"/>
  <c r="H26" i="26"/>
  <c r="H25" i="26"/>
  <c r="H24" i="26"/>
  <c r="G18" i="26"/>
  <c r="D17" i="26"/>
  <c r="D18" i="26" s="1"/>
  <c r="C27" i="25"/>
  <c r="H27" i="25" s="1"/>
  <c r="C26" i="25"/>
  <c r="H26" i="25" s="1"/>
  <c r="C25" i="25"/>
  <c r="H25" i="25" s="1"/>
  <c r="C24" i="25"/>
  <c r="H83" i="25"/>
  <c r="C81" i="25"/>
  <c r="H81" i="25" s="1"/>
  <c r="C80" i="25"/>
  <c r="H80" i="25" s="1"/>
  <c r="C79" i="25"/>
  <c r="H79" i="25" s="1"/>
  <c r="C78" i="25"/>
  <c r="H78" i="25" s="1"/>
  <c r="C77" i="25"/>
  <c r="H77" i="25" s="1"/>
  <c r="C76" i="25"/>
  <c r="H76" i="25" s="1"/>
  <c r="C75" i="25"/>
  <c r="H75" i="25" s="1"/>
  <c r="C74" i="25"/>
  <c r="H74" i="25" s="1"/>
  <c r="C73" i="25"/>
  <c r="H73" i="25" s="1"/>
  <c r="C72" i="25"/>
  <c r="H72" i="25" s="1"/>
  <c r="C69" i="25"/>
  <c r="H69" i="25" s="1"/>
  <c r="C68" i="25"/>
  <c r="H68" i="25" s="1"/>
  <c r="C67" i="25"/>
  <c r="H67" i="25" s="1"/>
  <c r="E64" i="25"/>
  <c r="D64" i="25"/>
  <c r="E63" i="25"/>
  <c r="D63" i="25"/>
  <c r="E62" i="25"/>
  <c r="D62" i="25"/>
  <c r="E61" i="25"/>
  <c r="E60" i="25"/>
  <c r="E59" i="25"/>
  <c r="D59" i="25"/>
  <c r="E58" i="25"/>
  <c r="D58" i="25"/>
  <c r="E57" i="25"/>
  <c r="D57" i="25"/>
  <c r="E56" i="25"/>
  <c r="D56" i="25"/>
  <c r="C48" i="25"/>
  <c r="H48" i="25" s="1"/>
  <c r="C47" i="25"/>
  <c r="H47" i="25" s="1"/>
  <c r="C46" i="25"/>
  <c r="H46" i="25" s="1"/>
  <c r="C45" i="25"/>
  <c r="H45" i="25" s="1"/>
  <c r="D41" i="25"/>
  <c r="H32" i="25"/>
  <c r="H31" i="25"/>
  <c r="H30" i="25"/>
  <c r="H29" i="25"/>
  <c r="H28" i="25"/>
  <c r="G18" i="25"/>
  <c r="D17" i="25"/>
  <c r="D18" i="25" s="1"/>
  <c r="C27" i="24"/>
  <c r="H27" i="24" s="1"/>
  <c r="C26" i="24"/>
  <c r="H26" i="24" s="1"/>
  <c r="C25" i="24"/>
  <c r="H25" i="24" s="1"/>
  <c r="H103" i="24"/>
  <c r="H102" i="24"/>
  <c r="H101" i="24"/>
  <c r="H100" i="24"/>
  <c r="H99" i="24"/>
  <c r="H98" i="24"/>
  <c r="H97" i="24"/>
  <c r="H96" i="24"/>
  <c r="H95" i="24"/>
  <c r="H84" i="24"/>
  <c r="C82" i="24"/>
  <c r="H82" i="24" s="1"/>
  <c r="C81" i="24"/>
  <c r="H81" i="24" s="1"/>
  <c r="C80" i="24"/>
  <c r="H80" i="24" s="1"/>
  <c r="C79" i="24"/>
  <c r="H79" i="24" s="1"/>
  <c r="C78" i="24"/>
  <c r="H78" i="24" s="1"/>
  <c r="C77" i="24"/>
  <c r="H77" i="24" s="1"/>
  <c r="C76" i="24"/>
  <c r="H76" i="24" s="1"/>
  <c r="C75" i="24"/>
  <c r="H75" i="24" s="1"/>
  <c r="C74" i="24"/>
  <c r="H74" i="24" s="1"/>
  <c r="C73" i="24"/>
  <c r="H73" i="24" s="1"/>
  <c r="C70" i="24"/>
  <c r="H70" i="24" s="1"/>
  <c r="C69" i="24"/>
  <c r="H69" i="24" s="1"/>
  <c r="C68" i="24"/>
  <c r="H68" i="24" s="1"/>
  <c r="E65" i="24"/>
  <c r="D65" i="24"/>
  <c r="E64" i="24"/>
  <c r="D64" i="24"/>
  <c r="E63" i="24"/>
  <c r="D63" i="24"/>
  <c r="E62" i="24"/>
  <c r="E61" i="24"/>
  <c r="E60" i="24"/>
  <c r="D60" i="24"/>
  <c r="E59" i="24"/>
  <c r="D59" i="24"/>
  <c r="E58" i="24"/>
  <c r="D58" i="24"/>
  <c r="E57" i="24"/>
  <c r="D57" i="24"/>
  <c r="C49" i="24"/>
  <c r="H49" i="24" s="1"/>
  <c r="C48" i="24"/>
  <c r="H48" i="24" s="1"/>
  <c r="C47" i="24"/>
  <c r="H47" i="24" s="1"/>
  <c r="C46" i="24"/>
  <c r="H46" i="24" s="1"/>
  <c r="D42" i="24"/>
  <c r="H33" i="24"/>
  <c r="H32" i="24"/>
  <c r="H31" i="24"/>
  <c r="H30" i="24"/>
  <c r="H29" i="24"/>
  <c r="H28" i="24"/>
  <c r="G18" i="24"/>
  <c r="D17" i="24"/>
  <c r="D18" i="24" s="1"/>
  <c r="C124" i="23"/>
  <c r="H124" i="23" s="1"/>
  <c r="C125" i="23"/>
  <c r="H125" i="23" s="1"/>
  <c r="C126" i="23"/>
  <c r="H126" i="23" s="1"/>
  <c r="C123" i="23"/>
  <c r="H131" i="23"/>
  <c r="H130" i="23"/>
  <c r="H129" i="23"/>
  <c r="H128" i="23"/>
  <c r="C127" i="23"/>
  <c r="H127" i="23" s="1"/>
  <c r="C109" i="23"/>
  <c r="H109" i="23" s="1"/>
  <c r="C108" i="23"/>
  <c r="H108" i="23" s="1"/>
  <c r="C107" i="23"/>
  <c r="H115" i="23"/>
  <c r="H114" i="23"/>
  <c r="H113" i="23"/>
  <c r="H112" i="23"/>
  <c r="C111" i="23"/>
  <c r="H111" i="23" s="1"/>
  <c r="C110" i="23"/>
  <c r="H110" i="23" s="1"/>
  <c r="C41" i="23"/>
  <c r="C40" i="23"/>
  <c r="C39" i="23"/>
  <c r="C38" i="23"/>
  <c r="H104" i="28" l="1"/>
  <c r="H72" i="24"/>
  <c r="H71" i="25"/>
  <c r="H99" i="28"/>
  <c r="H123" i="23"/>
  <c r="H132" i="23" s="1"/>
  <c r="H107" i="23"/>
  <c r="H116" i="23" s="1"/>
  <c r="G69" i="28"/>
  <c r="G52" i="28"/>
  <c r="D52" i="28"/>
  <c r="H69" i="14"/>
  <c r="H66" i="26"/>
  <c r="H34" i="26"/>
  <c r="H33" i="26"/>
  <c r="H66" i="25"/>
  <c r="H34" i="25"/>
  <c r="H35" i="24"/>
  <c r="H34" i="24"/>
  <c r="H104" i="24"/>
  <c r="H105" i="24"/>
  <c r="H67" i="24"/>
  <c r="H133" i="23"/>
  <c r="H117" i="23"/>
  <c r="J26" i="13"/>
  <c r="H45" i="23"/>
  <c r="H43" i="23"/>
  <c r="H42" i="23"/>
  <c r="H41" i="23"/>
  <c r="H40" i="23"/>
  <c r="H39" i="23"/>
  <c r="H38" i="23"/>
  <c r="C94" i="23"/>
  <c r="H94" i="23" s="1"/>
  <c r="C93" i="23"/>
  <c r="H93" i="23" s="1"/>
  <c r="C92" i="23"/>
  <c r="H92" i="23" s="1"/>
  <c r="C91" i="23"/>
  <c r="H91" i="23" s="1"/>
  <c r="C90" i="23"/>
  <c r="H90" i="23" s="1"/>
  <c r="C89" i="23"/>
  <c r="H89" i="23" s="1"/>
  <c r="C88" i="23"/>
  <c r="H88" i="23" s="1"/>
  <c r="C87" i="23"/>
  <c r="H87" i="23" s="1"/>
  <c r="H84" i="23" s="1"/>
  <c r="C86" i="23"/>
  <c r="H86" i="23" s="1"/>
  <c r="C85" i="23"/>
  <c r="H85" i="23" s="1"/>
  <c r="C82" i="23"/>
  <c r="H82" i="23" s="1"/>
  <c r="C81" i="23"/>
  <c r="H81" i="23" s="1"/>
  <c r="C80" i="23"/>
  <c r="H80" i="23" s="1"/>
  <c r="E77" i="23"/>
  <c r="D77" i="23"/>
  <c r="E76" i="23"/>
  <c r="D76" i="23"/>
  <c r="E75" i="23"/>
  <c r="D75" i="23"/>
  <c r="E74" i="23"/>
  <c r="E73" i="23"/>
  <c r="E72" i="23"/>
  <c r="D72" i="23"/>
  <c r="E71" i="23"/>
  <c r="D71" i="23"/>
  <c r="E70" i="23"/>
  <c r="D70" i="23"/>
  <c r="E69" i="23"/>
  <c r="D69" i="23"/>
  <c r="C61" i="23"/>
  <c r="H61" i="23" s="1"/>
  <c r="C60" i="23"/>
  <c r="H60" i="23" s="1"/>
  <c r="C59" i="23"/>
  <c r="H59" i="23" s="1"/>
  <c r="C58" i="23"/>
  <c r="H58" i="23" s="1"/>
  <c r="D54" i="23"/>
  <c r="G28" i="23"/>
  <c r="D27" i="23"/>
  <c r="D28" i="23" s="1"/>
  <c r="E88" i="22"/>
  <c r="E89" i="22"/>
  <c r="E90" i="22"/>
  <c r="D88" i="22"/>
  <c r="D89" i="22"/>
  <c r="D90" i="22"/>
  <c r="I40" i="22"/>
  <c r="I41" i="22"/>
  <c r="I42" i="22"/>
  <c r="I43" i="22"/>
  <c r="I44" i="22"/>
  <c r="I45" i="22"/>
  <c r="I46" i="22"/>
  <c r="I47" i="22"/>
  <c r="I48" i="22"/>
  <c r="I39" i="22"/>
  <c r="H39" i="22"/>
  <c r="D96" i="22"/>
  <c r="E96" i="22"/>
  <c r="E95" i="22"/>
  <c r="D104" i="20"/>
  <c r="E104" i="20"/>
  <c r="E96" i="20"/>
  <c r="E97" i="20"/>
  <c r="E98" i="20"/>
  <c r="D96" i="20"/>
  <c r="D97" i="20"/>
  <c r="D98" i="20"/>
  <c r="E103" i="20"/>
  <c r="D103" i="20"/>
  <c r="H115" i="22"/>
  <c r="C113" i="22"/>
  <c r="H113" i="22" s="1"/>
  <c r="C112" i="22"/>
  <c r="H112" i="22" s="1"/>
  <c r="C111" i="22"/>
  <c r="H111" i="22" s="1"/>
  <c r="C110" i="22"/>
  <c r="H110" i="22" s="1"/>
  <c r="C109" i="22"/>
  <c r="H109" i="22" s="1"/>
  <c r="C108" i="22"/>
  <c r="H108" i="22" s="1"/>
  <c r="C107" i="22"/>
  <c r="H107" i="22" s="1"/>
  <c r="C106" i="22"/>
  <c r="H106" i="22" s="1"/>
  <c r="C105" i="22"/>
  <c r="H105" i="22" s="1"/>
  <c r="C104" i="22"/>
  <c r="H104" i="22" s="1"/>
  <c r="C101" i="22"/>
  <c r="H101" i="22" s="1"/>
  <c r="C100" i="22"/>
  <c r="H100" i="22" s="1"/>
  <c r="C99" i="22"/>
  <c r="H99" i="22" s="1"/>
  <c r="E94" i="22"/>
  <c r="E93" i="22"/>
  <c r="E92" i="22"/>
  <c r="E91" i="22"/>
  <c r="D91" i="22"/>
  <c r="C80" i="22"/>
  <c r="H80" i="22" s="1"/>
  <c r="C79" i="22"/>
  <c r="H79" i="22" s="1"/>
  <c r="C78" i="22"/>
  <c r="H78" i="22" s="1"/>
  <c r="C77" i="22"/>
  <c r="H77" i="22" s="1"/>
  <c r="D73" i="22"/>
  <c r="B49" i="22"/>
  <c r="H48" i="22"/>
  <c r="D48" i="22"/>
  <c r="H47" i="22"/>
  <c r="D47" i="22"/>
  <c r="H46" i="22"/>
  <c r="D46" i="22"/>
  <c r="H45" i="22"/>
  <c r="D45" i="22"/>
  <c r="H44" i="22"/>
  <c r="D44" i="22"/>
  <c r="H43" i="22"/>
  <c r="D43" i="22"/>
  <c r="H42" i="22"/>
  <c r="D42" i="22"/>
  <c r="H41" i="22"/>
  <c r="D41" i="22"/>
  <c r="H40" i="22"/>
  <c r="D40" i="22"/>
  <c r="D39" i="22"/>
  <c r="G24" i="22"/>
  <c r="D23" i="22"/>
  <c r="D24" i="22" s="1"/>
  <c r="H103" i="22" l="1"/>
  <c r="C37" i="23"/>
  <c r="H47" i="23"/>
  <c r="H24" i="25"/>
  <c r="H33" i="25" s="1"/>
  <c r="H37" i="23"/>
  <c r="H46" i="23" s="1"/>
  <c r="H79" i="23"/>
  <c r="I49" i="22"/>
  <c r="D49" i="22"/>
  <c r="H98" i="22"/>
  <c r="H49" i="22"/>
  <c r="D52" i="20" l="1"/>
  <c r="D53" i="20"/>
  <c r="D54" i="20"/>
  <c r="D55" i="20"/>
  <c r="D56" i="20"/>
  <c r="D48" i="20"/>
  <c r="D49" i="20"/>
  <c r="D36" i="20" s="1"/>
  <c r="D50" i="20"/>
  <c r="D51" i="20"/>
  <c r="D37" i="20" s="1"/>
  <c r="F37" i="20" s="1"/>
  <c r="D47" i="20"/>
  <c r="F36" i="20" l="1"/>
  <c r="D57" i="20"/>
  <c r="D35" i="20" s="1"/>
  <c r="E37" i="20" l="1"/>
  <c r="F35" i="20"/>
  <c r="E36" i="20"/>
  <c r="G36" i="20" l="1"/>
  <c r="B41" i="17" s="1"/>
  <c r="AQ2" i="31" s="1"/>
  <c r="G37" i="20"/>
  <c r="B42" i="17" s="1"/>
  <c r="AR2" i="31" s="1"/>
  <c r="G30" i="20"/>
  <c r="D29" i="20"/>
  <c r="D30" i="20" s="1"/>
  <c r="B76" i="20"/>
  <c r="G75" i="20"/>
  <c r="G74" i="20"/>
  <c r="G73" i="20"/>
  <c r="G72" i="20"/>
  <c r="G71" i="20"/>
  <c r="G70" i="20"/>
  <c r="G69" i="20"/>
  <c r="G68" i="20"/>
  <c r="G67" i="20"/>
  <c r="G66" i="20"/>
  <c r="G77" i="20" s="1"/>
  <c r="G48" i="20"/>
  <c r="G49" i="20"/>
  <c r="G50" i="20"/>
  <c r="G51" i="20"/>
  <c r="G52" i="20"/>
  <c r="G53" i="20"/>
  <c r="G54" i="20"/>
  <c r="G55" i="20"/>
  <c r="G56" i="20"/>
  <c r="G47" i="20"/>
  <c r="G58" i="20" s="1"/>
  <c r="C85" i="20"/>
  <c r="H85" i="20" s="1"/>
  <c r="C86" i="20"/>
  <c r="H86" i="20" s="1"/>
  <c r="C87" i="20"/>
  <c r="H87" i="20" s="1"/>
  <c r="C88" i="20"/>
  <c r="H88" i="20" s="1"/>
  <c r="C107" i="20"/>
  <c r="H107" i="20" s="1"/>
  <c r="C108" i="20"/>
  <c r="H108" i="20" s="1"/>
  <c r="C109" i="20"/>
  <c r="H109" i="20" s="1"/>
  <c r="C112" i="20"/>
  <c r="H112" i="20" s="1"/>
  <c r="C113" i="20"/>
  <c r="H113" i="20" s="1"/>
  <c r="C114" i="20"/>
  <c r="H114" i="20" s="1"/>
  <c r="C115" i="20"/>
  <c r="H115" i="20" s="1"/>
  <c r="C116" i="20"/>
  <c r="H116" i="20" s="1"/>
  <c r="C117" i="20"/>
  <c r="H117" i="20" s="1"/>
  <c r="C118" i="20"/>
  <c r="H118" i="20" s="1"/>
  <c r="C119" i="20"/>
  <c r="H119" i="20" s="1"/>
  <c r="C120" i="20"/>
  <c r="H120" i="20" s="1"/>
  <c r="C121" i="20"/>
  <c r="H121" i="20" s="1"/>
  <c r="H123" i="20"/>
  <c r="E102" i="20"/>
  <c r="D102" i="20"/>
  <c r="E101" i="20"/>
  <c r="E100" i="20"/>
  <c r="E99" i="20"/>
  <c r="D99" i="20"/>
  <c r="D81" i="20"/>
  <c r="B57" i="20"/>
  <c r="G24" i="20"/>
  <c r="D23" i="20"/>
  <c r="D24" i="20" s="1"/>
  <c r="J23" i="13"/>
  <c r="J21" i="13"/>
  <c r="J18" i="13"/>
  <c r="J15" i="13"/>
  <c r="J16" i="13"/>
  <c r="J17" i="13"/>
  <c r="H111" i="20" l="1"/>
  <c r="C96" i="14"/>
  <c r="H96" i="14" s="1"/>
  <c r="C60" i="26"/>
  <c r="H60" i="26" s="1"/>
  <c r="C93" i="28"/>
  <c r="H93" i="28" s="1"/>
  <c r="C98" i="14"/>
  <c r="H98" i="14" s="1"/>
  <c r="C62" i="26"/>
  <c r="H62" i="26" s="1"/>
  <c r="C95" i="28"/>
  <c r="H95" i="28" s="1"/>
  <c r="C101" i="20"/>
  <c r="H101" i="20" s="1"/>
  <c r="C97" i="14"/>
  <c r="H97" i="14" s="1"/>
  <c r="C61" i="26"/>
  <c r="H61" i="26" s="1"/>
  <c r="C94" i="28"/>
  <c r="H94" i="28" s="1"/>
  <c r="C100" i="14"/>
  <c r="H100" i="14" s="1"/>
  <c r="C64" i="26"/>
  <c r="H64" i="26" s="1"/>
  <c r="C97" i="28"/>
  <c r="H97" i="28" s="1"/>
  <c r="C94" i="14"/>
  <c r="H94" i="14" s="1"/>
  <c r="C58" i="26"/>
  <c r="H58" i="26" s="1"/>
  <c r="C91" i="28"/>
  <c r="H91" i="28" s="1"/>
  <c r="C99" i="14"/>
  <c r="H99" i="14" s="1"/>
  <c r="C63" i="26"/>
  <c r="H63" i="26" s="1"/>
  <c r="C96" i="28"/>
  <c r="H96" i="28" s="1"/>
  <c r="C93" i="14"/>
  <c r="H93" i="14" s="1"/>
  <c r="C57" i="26"/>
  <c r="H57" i="26" s="1"/>
  <c r="C90" i="28"/>
  <c r="H90" i="28" s="1"/>
  <c r="C95" i="14"/>
  <c r="H95" i="14" s="1"/>
  <c r="C92" i="28"/>
  <c r="H92" i="28" s="1"/>
  <c r="C59" i="26"/>
  <c r="H59" i="26" s="1"/>
  <c r="C60" i="25"/>
  <c r="H60" i="25" s="1"/>
  <c r="C61" i="24"/>
  <c r="H61" i="24" s="1"/>
  <c r="C102" i="20"/>
  <c r="H102" i="20" s="1"/>
  <c r="C62" i="25"/>
  <c r="H62" i="25" s="1"/>
  <c r="C63" i="24"/>
  <c r="H63" i="24" s="1"/>
  <c r="C64" i="25"/>
  <c r="H64" i="25" s="1"/>
  <c r="C65" i="24"/>
  <c r="H65" i="24" s="1"/>
  <c r="C61" i="25"/>
  <c r="H61" i="25" s="1"/>
  <c r="C62" i="24"/>
  <c r="H62" i="24" s="1"/>
  <c r="C98" i="20"/>
  <c r="H98" i="20" s="1"/>
  <c r="C59" i="24"/>
  <c r="H59" i="24" s="1"/>
  <c r="C58" i="25"/>
  <c r="H58" i="25" s="1"/>
  <c r="C103" i="20"/>
  <c r="H103" i="20" s="1"/>
  <c r="C64" i="24"/>
  <c r="H64" i="24" s="1"/>
  <c r="C63" i="25"/>
  <c r="H63" i="25" s="1"/>
  <c r="C97" i="20"/>
  <c r="H97" i="20" s="1"/>
  <c r="C57" i="25"/>
  <c r="H57" i="25" s="1"/>
  <c r="C58" i="24"/>
  <c r="H58" i="24" s="1"/>
  <c r="C99" i="20"/>
  <c r="H99" i="20" s="1"/>
  <c r="C60" i="24"/>
  <c r="H60" i="24" s="1"/>
  <c r="C59" i="25"/>
  <c r="H59" i="25" s="1"/>
  <c r="C95" i="22"/>
  <c r="H95" i="22" s="1"/>
  <c r="C76" i="23"/>
  <c r="H76" i="23" s="1"/>
  <c r="C100" i="20"/>
  <c r="H100" i="20" s="1"/>
  <c r="C74" i="23"/>
  <c r="H74" i="23" s="1"/>
  <c r="C93" i="22"/>
  <c r="H93" i="22" s="1"/>
  <c r="C72" i="23"/>
  <c r="H72" i="23" s="1"/>
  <c r="C91" i="22"/>
  <c r="H91" i="22" s="1"/>
  <c r="C90" i="22"/>
  <c r="H90" i="22" s="1"/>
  <c r="C71" i="23"/>
  <c r="H71" i="23" s="1"/>
  <c r="C94" i="22"/>
  <c r="H94" i="22" s="1"/>
  <c r="C75" i="23"/>
  <c r="H75" i="23" s="1"/>
  <c r="C92" i="22"/>
  <c r="H92" i="22" s="1"/>
  <c r="C73" i="23"/>
  <c r="H73" i="23" s="1"/>
  <c r="C70" i="23"/>
  <c r="H70" i="23" s="1"/>
  <c r="C89" i="22"/>
  <c r="H89" i="22" s="1"/>
  <c r="C77" i="23"/>
  <c r="H77" i="23" s="1"/>
  <c r="C96" i="22"/>
  <c r="H96" i="22" s="1"/>
  <c r="C104" i="20"/>
  <c r="H104" i="20" s="1"/>
  <c r="G76" i="20"/>
  <c r="G57" i="20"/>
  <c r="H106" i="20"/>
  <c r="J14" i="13"/>
  <c r="C92" i="14" l="1"/>
  <c r="H92" i="14" s="1"/>
  <c r="H91" i="14" s="1"/>
  <c r="C89" i="28"/>
  <c r="H89" i="28" s="1"/>
  <c r="H88" i="28" s="1"/>
  <c r="C56" i="26"/>
  <c r="H56" i="26" s="1"/>
  <c r="H55" i="26" s="1"/>
  <c r="C56" i="25"/>
  <c r="H56" i="25" s="1"/>
  <c r="H55" i="25" s="1"/>
  <c r="C57" i="24"/>
  <c r="H57" i="24" s="1"/>
  <c r="H56" i="24" s="1"/>
  <c r="C69" i="23"/>
  <c r="H69" i="23" s="1"/>
  <c r="H68" i="23" s="1"/>
  <c r="C88" i="22"/>
  <c r="H88" i="22" s="1"/>
  <c r="H87" i="22" s="1"/>
  <c r="C96" i="20"/>
  <c r="H96" i="20" s="1"/>
  <c r="H95" i="20" s="1"/>
  <c r="M14" i="13"/>
  <c r="G20" i="13" l="1"/>
  <c r="G21" i="13"/>
  <c r="C87" i="14" l="1"/>
  <c r="H87" i="14" s="1"/>
  <c r="C51" i="26"/>
  <c r="H51" i="26" s="1"/>
  <c r="C84" i="28"/>
  <c r="H84" i="28" s="1"/>
  <c r="C86" i="14"/>
  <c r="H86" i="14" s="1"/>
  <c r="C50" i="26"/>
  <c r="H50" i="26" s="1"/>
  <c r="C83" i="28"/>
  <c r="H83" i="28" s="1"/>
  <c r="C89" i="14"/>
  <c r="H89" i="14" s="1"/>
  <c r="C86" i="28"/>
  <c r="H86" i="28" s="1"/>
  <c r="C53" i="26"/>
  <c r="H53" i="26" s="1"/>
  <c r="C85" i="14"/>
  <c r="H85" i="14" s="1"/>
  <c r="C49" i="26"/>
  <c r="H49" i="26" s="1"/>
  <c r="C82" i="28"/>
  <c r="H82" i="28" s="1"/>
  <c r="C51" i="25"/>
  <c r="H51" i="25" s="1"/>
  <c r="C52" i="24"/>
  <c r="H52" i="24" s="1"/>
  <c r="C65" i="23"/>
  <c r="H65" i="23" s="1"/>
  <c r="C54" i="24"/>
  <c r="H54" i="24" s="1"/>
  <c r="C53" i="25"/>
  <c r="H53" i="25" s="1"/>
  <c r="C50" i="24"/>
  <c r="H50" i="24" s="1"/>
  <c r="C49" i="25"/>
  <c r="H49" i="25" s="1"/>
  <c r="C50" i="25"/>
  <c r="H50" i="25" s="1"/>
  <c r="C51" i="24"/>
  <c r="H51" i="24" s="1"/>
  <c r="C84" i="22"/>
  <c r="H84" i="22" s="1"/>
  <c r="C92" i="20"/>
  <c r="H92" i="20" s="1"/>
  <c r="C66" i="23"/>
  <c r="H66" i="23" s="1"/>
  <c r="C85" i="22"/>
  <c r="H85" i="22" s="1"/>
  <c r="C93" i="20"/>
  <c r="H93" i="20" s="1"/>
  <c r="M23" i="13"/>
  <c r="C62" i="23"/>
  <c r="H62" i="23" s="1"/>
  <c r="C81" i="22"/>
  <c r="H81" i="22" s="1"/>
  <c r="C89" i="20"/>
  <c r="H89" i="20" s="1"/>
  <c r="M19" i="13"/>
  <c r="C83" i="22"/>
  <c r="H83" i="22" s="1"/>
  <c r="C64" i="23"/>
  <c r="H64" i="23" s="1"/>
  <c r="C91" i="20"/>
  <c r="H91" i="20" s="1"/>
  <c r="C82" i="22"/>
  <c r="H82" i="22" s="1"/>
  <c r="C63" i="23"/>
  <c r="H63" i="23" s="1"/>
  <c r="C90" i="20"/>
  <c r="H90" i="20" s="1"/>
  <c r="C88" i="14" l="1"/>
  <c r="H88" i="14" s="1"/>
  <c r="H80" i="14" s="1"/>
  <c r="C85" i="28"/>
  <c r="H85" i="28" s="1"/>
  <c r="H77" i="28" s="1"/>
  <c r="H118" i="28" s="1"/>
  <c r="C52" i="26"/>
  <c r="H52" i="26" s="1"/>
  <c r="H44" i="26" s="1"/>
  <c r="C53" i="24"/>
  <c r="H53" i="24" s="1"/>
  <c r="H45" i="24" s="1"/>
  <c r="H86" i="24" s="1"/>
  <c r="E17" i="24" s="1"/>
  <c r="C52" i="25"/>
  <c r="H52" i="25" s="1"/>
  <c r="H44" i="25" s="1"/>
  <c r="H85" i="25" s="1"/>
  <c r="E17" i="25" s="1"/>
  <c r="H118" i="22"/>
  <c r="H76" i="22"/>
  <c r="H117" i="22" s="1"/>
  <c r="H99" i="23"/>
  <c r="H27" i="23" s="1"/>
  <c r="H57" i="23"/>
  <c r="H98" i="23" s="1"/>
  <c r="E27" i="23" s="1"/>
  <c r="H84" i="20"/>
  <c r="H125" i="20" s="1"/>
  <c r="H126" i="20"/>
  <c r="H85" i="26" l="1"/>
  <c r="E17" i="26" s="1"/>
  <c r="E23" i="22"/>
  <c r="E30" i="22"/>
  <c r="H30" i="22"/>
  <c r="H23" i="22"/>
  <c r="I23" i="22" s="1"/>
  <c r="B54" i="17" s="1"/>
  <c r="BA2" i="31" s="1"/>
  <c r="H87" i="24"/>
  <c r="H17" i="24" s="1"/>
  <c r="H86" i="26"/>
  <c r="H17" i="26" s="1"/>
  <c r="H119" i="28"/>
  <c r="H35" i="28" s="1"/>
  <c r="E29" i="28"/>
  <c r="E23" i="28"/>
  <c r="H106" i="14"/>
  <c r="B76" i="14"/>
  <c r="J79" i="14" s="1"/>
  <c r="H86" i="25"/>
  <c r="H17" i="25" s="1"/>
  <c r="I17" i="25" s="1"/>
  <c r="H23" i="20"/>
  <c r="H29" i="20"/>
  <c r="I27" i="23"/>
  <c r="E29" i="20"/>
  <c r="E23" i="20"/>
  <c r="F23" i="22"/>
  <c r="F24" i="22" s="1"/>
  <c r="G23" i="22"/>
  <c r="B52" i="17" s="1"/>
  <c r="AX2" i="31" s="1"/>
  <c r="F17" i="26" l="1"/>
  <c r="F18" i="26" s="1"/>
  <c r="G17" i="26"/>
  <c r="I17" i="26"/>
  <c r="I30" i="22"/>
  <c r="G30" i="22"/>
  <c r="B53" i="17" s="1"/>
  <c r="AY2" i="31" s="1"/>
  <c r="F30" i="22"/>
  <c r="F31" i="22" s="1"/>
  <c r="H29" i="28"/>
  <c r="I29" i="28" s="1"/>
  <c r="I35" i="28"/>
  <c r="H23" i="28"/>
  <c r="I23" i="28" s="1"/>
  <c r="F29" i="28"/>
  <c r="F30" i="28" s="1"/>
  <c r="G29" i="28"/>
  <c r="G35" i="28"/>
  <c r="F35" i="28"/>
  <c r="F36" i="28" s="1"/>
  <c r="G23" i="28"/>
  <c r="F23" i="28"/>
  <c r="F24" i="28" s="1"/>
  <c r="G17" i="24"/>
  <c r="F17" i="24"/>
  <c r="F18" i="24" s="1"/>
  <c r="I17" i="24"/>
  <c r="G17" i="25"/>
  <c r="F17" i="25"/>
  <c r="F18" i="25" s="1"/>
  <c r="I29" i="20"/>
  <c r="F29" i="20"/>
  <c r="F30" i="20" s="1"/>
  <c r="G29" i="20"/>
  <c r="B40" i="17" s="1"/>
  <c r="AP2" i="31" s="1"/>
  <c r="F23" i="20"/>
  <c r="F24" i="20" s="1"/>
  <c r="G23" i="20"/>
  <c r="B39" i="17" s="1"/>
  <c r="AO2" i="31" s="1"/>
  <c r="F27" i="23"/>
  <c r="F28" i="23" s="1"/>
  <c r="G27" i="23"/>
  <c r="B45" i="17" s="1"/>
  <c r="AJ2" i="31" s="1"/>
  <c r="I23" i="20"/>
  <c r="M22" i="13"/>
  <c r="G25" i="2"/>
  <c r="N68" i="2"/>
  <c r="O68" i="2" s="1"/>
  <c r="M15" i="13"/>
  <c r="M16" i="13"/>
  <c r="M17" i="13"/>
  <c r="M18" i="13"/>
  <c r="M20" i="13"/>
  <c r="M21" i="13"/>
  <c r="T22" i="13"/>
  <c r="V22" i="13" s="1"/>
  <c r="U22" i="13" l="1"/>
  <c r="A4" i="6"/>
  <c r="A3" i="6"/>
  <c r="L4" i="6"/>
  <c r="G57" i="2"/>
  <c r="H57" i="2" s="1"/>
  <c r="G58" i="2"/>
  <c r="H58" i="2" s="1"/>
  <c r="G59" i="2"/>
  <c r="H59" i="2" s="1"/>
  <c r="G56" i="2"/>
  <c r="H56" i="2" s="1"/>
  <c r="P68" i="2"/>
  <c r="N95" i="2"/>
  <c r="N93" i="2" s="1"/>
  <c r="N96" i="2"/>
  <c r="N97" i="2"/>
  <c r="N98" i="2"/>
  <c r="N99" i="2"/>
  <c r="N100" i="2"/>
  <c r="N101" i="2"/>
  <c r="N102" i="2"/>
  <c r="N103" i="2"/>
  <c r="N104" i="2"/>
  <c r="N94" i="2"/>
  <c r="N110" i="2"/>
  <c r="N109" i="2"/>
  <c r="N80" i="2"/>
  <c r="N79" i="2"/>
  <c r="N70" i="2"/>
  <c r="N71" i="2"/>
  <c r="N72" i="2"/>
  <c r="N73" i="2"/>
  <c r="N74" i="2"/>
  <c r="N75" i="2"/>
  <c r="N76" i="2"/>
  <c r="N77" i="2"/>
  <c r="N69" i="2"/>
  <c r="O69" i="2" s="1"/>
  <c r="N66" i="2"/>
  <c r="N67" i="2"/>
  <c r="O67" i="2" s="1"/>
  <c r="N65" i="2"/>
  <c r="N48" i="2"/>
  <c r="N47" i="2"/>
  <c r="N25" i="2"/>
  <c r="N26" i="2"/>
  <c r="N27" i="2"/>
  <c r="N28" i="2"/>
  <c r="N29" i="2"/>
  <c r="N30" i="2"/>
  <c r="N31" i="2"/>
  <c r="N32" i="2"/>
  <c r="N33" i="2"/>
  <c r="N34" i="2"/>
  <c r="N35" i="2"/>
  <c r="N36" i="2"/>
  <c r="N37" i="2"/>
  <c r="N38" i="2"/>
  <c r="N39" i="2"/>
  <c r="N40" i="2"/>
  <c r="N41" i="2"/>
  <c r="N24" i="2"/>
  <c r="N20" i="2"/>
  <c r="N21" i="2"/>
  <c r="N22" i="2"/>
  <c r="N23" i="2"/>
  <c r="J20" i="2"/>
  <c r="J93" i="2"/>
  <c r="J95" i="2"/>
  <c r="J52" i="2"/>
  <c r="J51" i="2"/>
  <c r="J50" i="2"/>
  <c r="J114" i="2"/>
  <c r="J113" i="2"/>
  <c r="J112" i="2"/>
  <c r="J84" i="2"/>
  <c r="J83" i="2"/>
  <c r="J82" i="2"/>
  <c r="J32" i="2"/>
  <c r="J68" i="2"/>
  <c r="J94" i="2"/>
  <c r="J96" i="2"/>
  <c r="J97" i="2"/>
  <c r="J98" i="2"/>
  <c r="J99" i="2"/>
  <c r="J100" i="2"/>
  <c r="J101" i="2"/>
  <c r="J102" i="2"/>
  <c r="J103" i="2"/>
  <c r="J104" i="2"/>
  <c r="J105" i="2"/>
  <c r="J106" i="2"/>
  <c r="J107" i="2"/>
  <c r="J108" i="2"/>
  <c r="J74" i="2"/>
  <c r="J75" i="2"/>
  <c r="J76" i="2"/>
  <c r="J77" i="2"/>
  <c r="J78" i="2"/>
  <c r="J72" i="2"/>
  <c r="J73" i="2"/>
  <c r="J66" i="2"/>
  <c r="J67" i="2"/>
  <c r="J69" i="2"/>
  <c r="J70" i="2"/>
  <c r="J71" i="2"/>
  <c r="J65" i="2"/>
  <c r="J42" i="2"/>
  <c r="J43" i="2"/>
  <c r="J44" i="2"/>
  <c r="J45" i="2"/>
  <c r="J46" i="2"/>
  <c r="J40" i="2"/>
  <c r="J41" i="2"/>
  <c r="J39" i="2"/>
  <c r="J38" i="2"/>
  <c r="J24" i="2"/>
  <c r="J25" i="2"/>
  <c r="J26" i="2"/>
  <c r="J27" i="2"/>
  <c r="J28" i="2"/>
  <c r="J29" i="2"/>
  <c r="J30" i="2"/>
  <c r="J31" i="2"/>
  <c r="J21" i="2"/>
  <c r="J22" i="2"/>
  <c r="J23" i="2"/>
  <c r="D28" i="6" l="1"/>
  <c r="G104" i="2"/>
  <c r="O104" i="2" s="1"/>
  <c r="G103" i="2"/>
  <c r="O103" i="2" s="1"/>
  <c r="G102" i="2"/>
  <c r="O102" i="2" s="1"/>
  <c r="G101" i="2"/>
  <c r="O101" i="2" s="1"/>
  <c r="G100" i="2"/>
  <c r="O100" i="2" s="1"/>
  <c r="G99" i="2"/>
  <c r="O99" i="2" s="1"/>
  <c r="G98" i="2"/>
  <c r="O98" i="2" s="1"/>
  <c r="G97" i="2"/>
  <c r="O97" i="2" s="1"/>
  <c r="G96" i="2"/>
  <c r="O96" i="2" s="1"/>
  <c r="G77" i="2"/>
  <c r="O77" i="2" s="1"/>
  <c r="G76" i="2"/>
  <c r="O76" i="2" s="1"/>
  <c r="G75" i="2"/>
  <c r="O75" i="2" s="1"/>
  <c r="G74" i="2"/>
  <c r="O74" i="2" s="1"/>
  <c r="G73" i="2"/>
  <c r="O73" i="2" s="1"/>
  <c r="G72" i="2"/>
  <c r="K72" i="2" s="1"/>
  <c r="G71" i="2"/>
  <c r="O71" i="2" s="1"/>
  <c r="G70" i="2"/>
  <c r="O70" i="2" s="1"/>
  <c r="G69" i="2"/>
  <c r="G23" i="2"/>
  <c r="K23" i="2" s="1"/>
  <c r="G24" i="2"/>
  <c r="K24" i="2" s="1"/>
  <c r="O24" i="2" l="1"/>
  <c r="P24" i="2" s="1"/>
  <c r="O23" i="2"/>
  <c r="P23" i="2" s="1"/>
  <c r="O72" i="2"/>
  <c r="P72" i="2" s="1"/>
  <c r="K73" i="2"/>
  <c r="P73" i="2" s="1"/>
  <c r="K97" i="2"/>
  <c r="P97" i="2" s="1"/>
  <c r="K99" i="2"/>
  <c r="P99" i="2" s="1"/>
  <c r="K101" i="2"/>
  <c r="P101" i="2" s="1"/>
  <c r="K103" i="2"/>
  <c r="P103" i="2" s="1"/>
  <c r="K96" i="2"/>
  <c r="P96" i="2" s="1"/>
  <c r="K98" i="2"/>
  <c r="P98" i="2" s="1"/>
  <c r="K100" i="2"/>
  <c r="P100" i="2" s="1"/>
  <c r="K102" i="2"/>
  <c r="P102" i="2" s="1"/>
  <c r="K104" i="2"/>
  <c r="P104" i="2" s="1"/>
  <c r="K70" i="2"/>
  <c r="P70" i="2" s="1"/>
  <c r="K74" i="2"/>
  <c r="P74" i="2" s="1"/>
  <c r="K69" i="2"/>
  <c r="P69" i="2" s="1"/>
  <c r="K71" i="2"/>
  <c r="P71" i="2" s="1"/>
  <c r="K77" i="2"/>
  <c r="P77" i="2" s="1"/>
  <c r="K76" i="2"/>
  <c r="P76" i="2" s="1"/>
  <c r="K75" i="2"/>
  <c r="P75" i="2" s="1"/>
  <c r="G68" i="2" l="1"/>
  <c r="G32" i="2"/>
  <c r="O32" i="2" s="1"/>
  <c r="K68" i="2" l="1"/>
  <c r="K32" i="2"/>
  <c r="P32" i="2" s="1"/>
  <c r="G52" i="2" l="1"/>
  <c r="G51" i="2"/>
  <c r="G50" i="2"/>
  <c r="G48" i="2"/>
  <c r="G47" i="2"/>
  <c r="G84" i="2"/>
  <c r="G83" i="2"/>
  <c r="G82" i="2"/>
  <c r="G80" i="2"/>
  <c r="G79" i="2"/>
  <c r="F54" i="14"/>
  <c r="F53" i="14"/>
  <c r="F52" i="14"/>
  <c r="F51" i="14"/>
  <c r="F50" i="14"/>
  <c r="F49" i="14"/>
  <c r="F48" i="14"/>
  <c r="F47" i="14"/>
  <c r="F46" i="14"/>
  <c r="F45" i="14"/>
  <c r="G113" i="2"/>
  <c r="G114" i="2"/>
  <c r="J37" i="14"/>
  <c r="J13" i="14"/>
  <c r="J11" i="14"/>
  <c r="J48" i="14" l="1"/>
  <c r="K113" i="2"/>
  <c r="P113" i="2" s="1"/>
  <c r="K84" i="2"/>
  <c r="P84" i="2" s="1"/>
  <c r="K83" i="2"/>
  <c r="P83" i="2" s="1"/>
  <c r="K50" i="2"/>
  <c r="P50" i="2" s="1"/>
  <c r="K114" i="2"/>
  <c r="P114" i="2" s="1"/>
  <c r="O79" i="2"/>
  <c r="P79" i="2" s="1"/>
  <c r="K51" i="2"/>
  <c r="P51" i="2" s="1"/>
  <c r="K82" i="2"/>
  <c r="P82" i="2" s="1"/>
  <c r="O47" i="2"/>
  <c r="P47" i="2" s="1"/>
  <c r="O48" i="2"/>
  <c r="P48" i="2" s="1"/>
  <c r="O80" i="2"/>
  <c r="P80" i="2" s="1"/>
  <c r="K52" i="2"/>
  <c r="P52" i="2" s="1"/>
  <c r="J46" i="14"/>
  <c r="J9" i="14"/>
  <c r="J35" i="14"/>
  <c r="G112" i="2"/>
  <c r="G93" i="2"/>
  <c r="E65" i="2"/>
  <c r="E94" i="2"/>
  <c r="G110" i="2"/>
  <c r="O110" i="2" s="1"/>
  <c r="P110" i="2" s="1"/>
  <c r="G109" i="2"/>
  <c r="O109" i="2" s="1"/>
  <c r="P109" i="2" s="1"/>
  <c r="K43" i="2"/>
  <c r="P43" i="2" s="1"/>
  <c r="K105" i="2"/>
  <c r="K106" i="2"/>
  <c r="K107" i="2"/>
  <c r="K108" i="2"/>
  <c r="K78" i="2"/>
  <c r="G95" i="2"/>
  <c r="C12" i="8"/>
  <c r="C13" i="8"/>
  <c r="B44" i="8"/>
  <c r="B42" i="8"/>
  <c r="E8" i="8"/>
  <c r="E9" i="8"/>
  <c r="D31" i="6"/>
  <c r="D29" i="6"/>
  <c r="D30" i="6"/>
  <c r="H24" i="6"/>
  <c r="H22" i="6"/>
  <c r="C29" i="6"/>
  <c r="C30" i="6"/>
  <c r="C28" i="6"/>
  <c r="C35" i="6"/>
  <c r="D22" i="6"/>
  <c r="D21" i="6"/>
  <c r="K95" i="2" l="1"/>
  <c r="O95" i="2"/>
  <c r="K93" i="2"/>
  <c r="O93" i="2"/>
  <c r="K112" i="2"/>
  <c r="P112" i="2" s="1"/>
  <c r="P93" i="2" l="1"/>
  <c r="P95" i="2"/>
  <c r="L9" i="6"/>
  <c r="K44" i="2"/>
  <c r="K46" i="2"/>
  <c r="G94" i="2"/>
  <c r="O94" i="2" s="1"/>
  <c r="G65" i="2"/>
  <c r="O65" i="2" s="1"/>
  <c r="G67" i="2"/>
  <c r="G66" i="2"/>
  <c r="K66" i="2" l="1"/>
  <c r="O66" i="2"/>
  <c r="C12" i="2"/>
  <c r="D12" i="2"/>
  <c r="K65" i="2"/>
  <c r="D11" i="2"/>
  <c r="K67" i="2"/>
  <c r="C11" i="2"/>
  <c r="K94" i="2"/>
  <c r="P46" i="2"/>
  <c r="K45" i="2"/>
  <c r="P45" i="2" s="1"/>
  <c r="P44" i="2"/>
  <c r="K42" i="2"/>
  <c r="P42" i="2" s="1"/>
  <c r="P65" i="2" l="1"/>
  <c r="P94" i="2"/>
  <c r="G36" i="2"/>
  <c r="O36" i="2" s="1"/>
  <c r="G29" i="2"/>
  <c r="O29" i="2" s="1"/>
  <c r="G37" i="2"/>
  <c r="O37" i="2" s="1"/>
  <c r="G35" i="2"/>
  <c r="O35" i="2" s="1"/>
  <c r="C20" i="6"/>
  <c r="C24" i="6"/>
  <c r="G38" i="2"/>
  <c r="O38" i="2" s="1"/>
  <c r="G39" i="2"/>
  <c r="O39" i="2" s="1"/>
  <c r="G40" i="2"/>
  <c r="O40" i="2" s="1"/>
  <c r="G41" i="2"/>
  <c r="K41" i="2" s="1"/>
  <c r="J8" i="6"/>
  <c r="L8" i="6" s="1"/>
  <c r="J7" i="6"/>
  <c r="L7" i="6" s="1"/>
  <c r="J6" i="6"/>
  <c r="L6" i="6" s="1"/>
  <c r="L10" i="6" s="1"/>
  <c r="J4" i="6"/>
  <c r="C5" i="6"/>
  <c r="J5" i="6" s="1"/>
  <c r="L5" i="6" s="1"/>
  <c r="P67" i="2" l="1"/>
  <c r="P66" i="2"/>
  <c r="D20" i="6"/>
  <c r="D23" i="6"/>
  <c r="O41" i="2"/>
  <c r="P41" i="2" s="1"/>
  <c r="K29" i="2"/>
  <c r="P29" i="2" s="1"/>
  <c r="P36" i="2"/>
  <c r="G34" i="2" l="1"/>
  <c r="O34" i="2" s="1"/>
  <c r="G33" i="2"/>
  <c r="O33" i="2" s="1"/>
  <c r="P35" i="2" l="1"/>
  <c r="P37" i="2"/>
  <c r="P33" i="2"/>
  <c r="P34" i="2"/>
  <c r="K38" i="2" l="1"/>
  <c r="K40" i="2"/>
  <c r="G30" i="2"/>
  <c r="O30" i="2" s="1"/>
  <c r="G31" i="2"/>
  <c r="O31" i="2" s="1"/>
  <c r="G26" i="2"/>
  <c r="O26" i="2" s="1"/>
  <c r="G27" i="2"/>
  <c r="O27" i="2" s="1"/>
  <c r="G28" i="2"/>
  <c r="O28" i="2" s="1"/>
  <c r="G22" i="2"/>
  <c r="K25" i="2" l="1"/>
  <c r="O25" i="2"/>
  <c r="K22" i="2"/>
  <c r="O22" i="2"/>
  <c r="K31" i="2"/>
  <c r="P31" i="2" s="1"/>
  <c r="K30" i="2"/>
  <c r="P30" i="2" s="1"/>
  <c r="K39" i="2"/>
  <c r="P39" i="2" s="1"/>
  <c r="P40" i="2"/>
  <c r="P38" i="2"/>
  <c r="K28" i="2"/>
  <c r="P28" i="2" s="1"/>
  <c r="K27" i="2"/>
  <c r="P27" i="2" s="1"/>
  <c r="K26" i="2"/>
  <c r="P26" i="2" s="1"/>
  <c r="P25" i="2" l="1"/>
  <c r="P22" i="2"/>
  <c r="G21" i="2"/>
  <c r="O21" i="2" s="1"/>
  <c r="G20" i="2"/>
  <c r="O20" i="2" s="1"/>
  <c r="K21" i="2" l="1"/>
  <c r="K20" i="2"/>
  <c r="P21" i="2" l="1"/>
  <c r="P20" i="2" l="1"/>
  <c r="I9" i="2" l="1"/>
  <c r="I11" i="2"/>
  <c r="I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tc={D41CF21C-46BE-2E46-97F3-27C2304125C9}</author>
  </authors>
  <commentList>
    <comment ref="J41" authorId="0" shapeId="0" xr:uid="{D41CF21C-46BE-2E46-97F3-27C2304125C9}">
      <text>
        <t>[Threaded comment]
Your version of Excel allows you to read this threaded comment; however, any edits to it will get removed if the file is opened in a newer version of Excel. Learn more: https://go.microsoft.com/fwlink/?linkid=870924
Comment:
    Calcination process emissions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E62" authorId="0" shapeId="0" xr:uid="{762CBD3A-A9FF-485A-B662-22A622F5914E}">
      <text>
        <r>
          <rPr>
            <b/>
            <sz val="9"/>
            <color indexed="81"/>
            <rFont val="Tahoma"/>
            <charset val="1"/>
          </rPr>
          <t>Sravan Chalasani:</t>
        </r>
        <r>
          <rPr>
            <sz val="9"/>
            <color indexed="81"/>
            <rFont val="Tahoma"/>
            <charset val="1"/>
          </rPr>
          <t xml:space="preserve">
The emissions factors in this column are the full lifecycle emissions factors
</t>
        </r>
      </text>
    </comment>
    <comment ref="M62" authorId="0" shapeId="0" xr:uid="{32364113-1E62-478E-9648-B63E9C82050C}">
      <text>
        <r>
          <rPr>
            <b/>
            <sz val="9"/>
            <color indexed="81"/>
            <rFont val="Tahoma"/>
            <charset val="1"/>
          </rPr>
          <t>Sravan Chalasani:</t>
        </r>
        <r>
          <rPr>
            <sz val="9"/>
            <color indexed="81"/>
            <rFont val="Tahoma"/>
            <charset val="1"/>
          </rPr>
          <t xml:space="preserve">
The emissions factors in this column are just the upstream emissions
</t>
        </r>
      </text>
    </comment>
    <comment ref="C92" authorId="0" shapeId="0" xr:uid="{97DEBBC9-DAE7-4284-BC8E-0B08647AB08E}">
      <text>
        <r>
          <rPr>
            <b/>
            <sz val="9"/>
            <color indexed="81"/>
            <rFont val="Tahoma"/>
            <family val="2"/>
          </rPr>
          <t>Sravan Chalasani:</t>
        </r>
        <r>
          <rPr>
            <sz val="9"/>
            <color indexed="81"/>
            <rFont val="Tahoma"/>
            <family val="2"/>
          </rPr>
          <t xml:space="preserve">
May 3 2023
Assume the coal emission factors include fugitive methane emissions from coal mine</t>
        </r>
      </text>
    </comment>
    <comment ref="C99" authorId="0" shapeId="0" xr:uid="{76DAA847-1761-4EFF-929F-BE328F9F07BF}">
      <text>
        <r>
          <rPr>
            <b/>
            <sz val="9"/>
            <color indexed="81"/>
            <rFont val="Tahoma"/>
            <family val="2"/>
          </rPr>
          <t>Sravan Chalasani:</t>
        </r>
        <r>
          <rPr>
            <sz val="9"/>
            <color indexed="81"/>
            <rFont val="Tahoma"/>
            <family val="2"/>
          </rPr>
          <t xml:space="preserve">
May 3 2023
Assume the natural gas emission factors include fugitive methane emissions that leak from pipes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J14" authorId="0" shapeId="0" xr:uid="{1A324C58-4A01-4F97-A58D-3A8291176488}">
      <text>
        <r>
          <rPr>
            <b/>
            <sz val="9"/>
            <color indexed="81"/>
            <rFont val="Tahoma"/>
            <family val="2"/>
          </rPr>
          <t>Sravan Chalasani:</t>
        </r>
        <r>
          <rPr>
            <sz val="9"/>
            <color indexed="81"/>
            <rFont val="Tahoma"/>
            <family val="2"/>
          </rPr>
          <t xml:space="preserve">
May 3, 2023
Assume this includes coal mine methane values</t>
        </r>
      </text>
    </comment>
    <comment ref="P14" authorId="0" shapeId="0" xr:uid="{3AC881F0-50A4-4C29-9E52-2DC4021FBAF9}">
      <text>
        <r>
          <rPr>
            <b/>
            <sz val="9"/>
            <color indexed="81"/>
            <rFont val="Tahoma"/>
            <family val="2"/>
          </rPr>
          <t>Sravan Chalasani:</t>
        </r>
        <r>
          <rPr>
            <sz val="9"/>
            <color indexed="81"/>
            <rFont val="Tahoma"/>
            <family val="2"/>
          </rPr>
          <t xml:space="preserve">
May 3 2023
From Emission_Factors_from_Cross_Sector_Tools_March_2017.xlsx</t>
        </r>
      </text>
    </comment>
    <comment ref="N19" authorId="0" shapeId="0" xr:uid="{A8445942-F9D2-4533-A2D2-71F0B7728011}">
      <text>
        <r>
          <rPr>
            <b/>
            <sz val="9"/>
            <color indexed="81"/>
            <rFont val="Tahoma"/>
            <family val="2"/>
          </rPr>
          <t>Sravan Chalasani:</t>
        </r>
        <r>
          <rPr>
            <sz val="9"/>
            <color indexed="81"/>
            <rFont val="Tahoma"/>
            <family val="2"/>
          </rPr>
          <t xml:space="preserve">
May 3 2023
From Emission_Factors_from_Cross_Sector_Tools_March_2017.xlsx</t>
        </r>
      </text>
    </comment>
    <comment ref="F22" authorId="0" shapeId="0" xr:uid="{FD0051D3-1707-4E0A-B3B1-84F552171558}">
      <text>
        <r>
          <rPr>
            <b/>
            <sz val="9"/>
            <color indexed="81"/>
            <rFont val="Tahoma"/>
            <family val="2"/>
          </rPr>
          <t>Sravan Chalasani:</t>
        </r>
        <r>
          <rPr>
            <sz val="9"/>
            <color indexed="81"/>
            <rFont val="Tahoma"/>
            <family val="2"/>
          </rPr>
          <t xml:space="preserve">
May 3 2023
To convert natural gas from mass units to energy units, it can be assumed that a metric ton (tonne) of natural gas is equivalent to 55.58 GJ of energy and 1470.3 cubic meters.</t>
        </r>
      </text>
    </comment>
    <comment ref="I43" authorId="0" shapeId="0" xr:uid="{401CF85A-C668-4814-B8E8-D4CAC93294A5}">
      <text>
        <r>
          <rPr>
            <b/>
            <sz val="9"/>
            <color indexed="81"/>
            <rFont val="Tahoma"/>
            <family val="2"/>
          </rPr>
          <t>Sravan Chalasani:</t>
        </r>
        <r>
          <rPr>
            <sz val="9"/>
            <color indexed="81"/>
            <rFont val="Tahoma"/>
            <family val="2"/>
          </rPr>
          <t xml:space="preserve">
Also from Emission Factors Reference.xlsx in C:\Users\schalasani\RMI\Horizon Zero - Documents\4. Work\Carbon Accounting\Steel\Emissions Reporting Guidance\Emission Factors\Lit Review</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tc={A85F47DB-EBB1-3943-A169-2017A2B1EEA6}</author>
  </authors>
  <commentList>
    <comment ref="A6" authorId="0" shapeId="0" xr:uid="{A85F47DB-EBB1-3943-A169-2017A2B1EEA6}">
      <text>
        <t>[Threaded comment]
Your version of Excel allows you to read this threaded comment; however, any edits to it will get removed if the file is opened in a newer version of Excel. Learn more: https://go.microsoft.com/fwlink/?linkid=870924
Comment:
    Note to remember include alumina refinery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F23" authorId="0" shapeId="0" xr:uid="{1EF964E7-4CA6-45FD-AA49-D954DBED130C}">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F42" authorId="0" shapeId="0" xr:uid="{0B2C9DF5-287D-4B70-A847-F3E70554AFAA}">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C56" authorId="0" shapeId="0" xr:uid="{E1AA51FE-A7E4-47A8-B206-AB42EC9691B0}">
      <text>
        <r>
          <rPr>
            <b/>
            <sz val="9"/>
            <color indexed="81"/>
            <rFont val="Tahoma"/>
            <family val="2"/>
          </rPr>
          <t>Sravan Chalasani:</t>
        </r>
        <r>
          <rPr>
            <sz val="9"/>
            <color indexed="81"/>
            <rFont val="Tahoma"/>
            <family val="2"/>
          </rPr>
          <t xml:space="preserve">
May 3 2023
Assume the default coal emission factors include fugitive methane emissions from coal mine
</t>
        </r>
      </text>
    </comment>
    <comment ref="C63" authorId="0" shapeId="0" xr:uid="{F6F93877-BE45-4757-8382-B572122464B7}">
      <text>
        <r>
          <rPr>
            <b/>
            <sz val="9"/>
            <color indexed="81"/>
            <rFont val="Tahoma"/>
            <family val="2"/>
          </rPr>
          <t>Sravan Chalasani:</t>
        </r>
        <r>
          <rPr>
            <sz val="9"/>
            <color indexed="81"/>
            <rFont val="Tahoma"/>
            <family val="2"/>
          </rPr>
          <t xml:space="preserve">
May 3 2023
Assume the default  natural gas emission factors include fugitive methane emissions that leak from pipes
</t>
        </r>
      </text>
    </comment>
    <comment ref="A82" authorId="0" shapeId="0" xr:uid="{B42E40FA-4A4E-4851-B70F-1EF6A7E38194}">
      <text>
        <r>
          <rPr>
            <b/>
            <sz val="9"/>
            <color indexed="81"/>
            <rFont val="Tahoma"/>
            <charset val="1"/>
          </rPr>
          <t>Sravan Chalasani:</t>
        </r>
        <r>
          <rPr>
            <sz val="9"/>
            <color indexed="81"/>
            <rFont val="Tahoma"/>
            <charset val="1"/>
          </rPr>
          <t xml:space="preserve">
Depending on the available data enter the emissions factor in cell C82 OR in (C83 and C84)</t>
        </r>
      </text>
    </comment>
    <comment ref="C82" authorId="0" shapeId="0" xr:uid="{BD22D793-29A5-4810-B95E-D2559C6C4C94}">
      <text>
        <r>
          <rPr>
            <b/>
            <sz val="9"/>
            <color indexed="81"/>
            <rFont val="Tahoma"/>
            <charset val="1"/>
          </rPr>
          <t>Sravan Chalasani:</t>
        </r>
        <r>
          <rPr>
            <sz val="9"/>
            <color indexed="81"/>
            <rFont val="Tahoma"/>
            <charset val="1"/>
          </rPr>
          <t xml:space="preserve">
To calculate the emission factor of electricity coming from the local grid, enter data in the "local grid" section (Table d) of "Self-gen and Contract Power" tab
If the fuel used for self genertation is known enter data in the "Self Generated Electricity" section of "Self-gen and Contract Power" tab</t>
        </r>
      </text>
    </comment>
    <comment ref="C83" authorId="0" shapeId="0" xr:uid="{13372C52-9239-4CF8-A8EC-8C19CE014312}">
      <text>
        <r>
          <rPr>
            <b/>
            <sz val="9"/>
            <color indexed="81"/>
            <rFont val="Tahoma"/>
            <family val="2"/>
          </rPr>
          <t>Sravan Chalasani:</t>
        </r>
        <r>
          <rPr>
            <sz val="9"/>
            <color indexed="81"/>
            <rFont val="Tahoma"/>
            <family val="2"/>
          </rPr>
          <t xml:space="preserve">
Use this when the local utility provides the emissions factor for the supplied electricity and the provided emissions factor doesn't include upstream emissions</t>
        </r>
      </text>
    </comment>
    <comment ref="C84" authorId="0" shapeId="0" xr:uid="{CE234F7A-91E8-48F1-B203-8DA18A352E14}">
      <text>
        <r>
          <rPr>
            <b/>
            <sz val="9"/>
            <color indexed="81"/>
            <rFont val="Tahoma"/>
            <charset val="1"/>
          </rPr>
          <t>Sravan Chalasani:</t>
        </r>
        <r>
          <rPr>
            <sz val="9"/>
            <color indexed="81"/>
            <rFont val="Tahoma"/>
            <charset val="1"/>
          </rPr>
          <t xml:space="preserve">
To calculate just the upstream emission factor of electricity coming from the local grid, enter data in the Table d1 of "Self-gen and Contract Power" tab. This is useful in cases where the local utility provides the emissions factor for the supplied electricity and the provided emissions factor doesn't include upstream emissions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F23" authorId="0" shapeId="0" xr:uid="{413D8DAD-B87D-450A-8092-85952D69FB2A}">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G24" authorId="0" shapeId="0" xr:uid="{12D59B72-BFDE-45FB-9795-83DE11D07326}">
      <text>
        <r>
          <rPr>
            <b/>
            <sz val="9"/>
            <color indexed="81"/>
            <rFont val="Tahoma"/>
            <charset val="1"/>
          </rPr>
          <t>Sravan Chalasani:</t>
        </r>
        <r>
          <rPr>
            <sz val="9"/>
            <color indexed="81"/>
            <rFont val="Tahoma"/>
            <charset val="1"/>
          </rPr>
          <t xml:space="preserve">
Value from cell G17 in "Bauxite" tab can be entered here. Alternatively if the emissions intensity value is provided by a third party supplier, it can be entered here</t>
        </r>
      </text>
    </comment>
    <comment ref="F42" authorId="0" shapeId="0" xr:uid="{72D3621E-C2D7-456C-938B-9ED32ABDBB02}">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C56" authorId="0" shapeId="0" xr:uid="{BCEF2C57-C0F9-4364-B022-427477C31A35}">
      <text>
        <r>
          <rPr>
            <b/>
            <sz val="9"/>
            <color indexed="81"/>
            <rFont val="Tahoma"/>
            <family val="2"/>
          </rPr>
          <t>Sravan Chalasani:</t>
        </r>
        <r>
          <rPr>
            <sz val="9"/>
            <color indexed="81"/>
            <rFont val="Tahoma"/>
            <family val="2"/>
          </rPr>
          <t xml:space="preserve">
May 3 2023
Assume the default coal emission factors include fugitive methane emissions from coal mine</t>
        </r>
      </text>
    </comment>
    <comment ref="C63" authorId="0" shapeId="0" xr:uid="{52C1DF5D-E907-40FE-80BD-5485D331B926}">
      <text>
        <r>
          <rPr>
            <b/>
            <sz val="9"/>
            <color indexed="81"/>
            <rFont val="Tahoma"/>
            <family val="2"/>
          </rPr>
          <t>Sravan Chalasani:</t>
        </r>
        <r>
          <rPr>
            <sz val="9"/>
            <color indexed="81"/>
            <rFont val="Tahoma"/>
            <family val="2"/>
          </rPr>
          <t xml:space="preserve">
May 3 2023
Assume the  default natural gas emission factors include fugitive methane emissions that leak from pipes
</t>
        </r>
      </text>
    </comment>
    <comment ref="A82" authorId="0" shapeId="0" xr:uid="{52B56B7E-7C3B-4727-BF00-FC0E3780803D}">
      <text>
        <r>
          <rPr>
            <b/>
            <sz val="9"/>
            <color indexed="81"/>
            <rFont val="Tahoma"/>
            <charset val="1"/>
          </rPr>
          <t>Sravan Chalasani:</t>
        </r>
        <r>
          <rPr>
            <sz val="9"/>
            <color indexed="81"/>
            <rFont val="Tahoma"/>
            <charset val="1"/>
          </rPr>
          <t xml:space="preserve">
Depending on the available data enter the emissions factor in cell C82 OR in (C83 and C84)</t>
        </r>
      </text>
    </comment>
    <comment ref="C82" authorId="0" shapeId="0" xr:uid="{065D89D7-735B-4FB4-A857-D03CFD742288}">
      <text>
        <r>
          <rPr>
            <b/>
            <sz val="9"/>
            <color indexed="81"/>
            <rFont val="Tahoma"/>
            <charset val="1"/>
          </rPr>
          <t>Sravan Chalasani:</t>
        </r>
        <r>
          <rPr>
            <sz val="9"/>
            <color indexed="81"/>
            <rFont val="Tahoma"/>
            <charset val="1"/>
          </rPr>
          <t xml:space="preserve">
To calculate the emission factor of electricity coming from the local grid, enter data in the "local grid" section (Table d) of "Self-gen and Contract Power" tab
If the fuel used for self genertation is known enter data in the "Self Generated Electricity" section of "Self-gen and Contract Power" tab</t>
        </r>
      </text>
    </comment>
    <comment ref="C83" authorId="0" shapeId="0" xr:uid="{654EBD7B-5A20-4BF5-B7F3-3475C539F91C}">
      <text>
        <r>
          <rPr>
            <b/>
            <sz val="9"/>
            <color indexed="81"/>
            <rFont val="Tahoma"/>
            <family val="2"/>
          </rPr>
          <t>Sravan Chalasani:</t>
        </r>
        <r>
          <rPr>
            <sz val="9"/>
            <color indexed="81"/>
            <rFont val="Tahoma"/>
            <family val="2"/>
          </rPr>
          <t xml:space="preserve">
Use this when the local utility provides the emissions factor for the supplied electricity and the provided emissions factor doesn't include upstream emissions</t>
        </r>
      </text>
    </comment>
    <comment ref="C84" authorId="0" shapeId="0" xr:uid="{9ABC2BAB-4C7C-457F-B5CC-D58F88E4AD5C}">
      <text>
        <r>
          <rPr>
            <b/>
            <sz val="9"/>
            <color indexed="81"/>
            <rFont val="Tahoma"/>
            <charset val="1"/>
          </rPr>
          <t>Sravan Chalasani:</t>
        </r>
        <r>
          <rPr>
            <sz val="9"/>
            <color indexed="81"/>
            <rFont val="Tahoma"/>
            <charset val="1"/>
          </rPr>
          <t xml:space="preserve">
To calculate just the upstream emission factor of electricity coming from the local grid, enter data in the Table d1 of "Self-gen and Contract Power" tab. This is useful in cases where the local utility provides the emissions factor for the supplied electricity and the provided emissions factor doesn't include upstream emissions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F24" authorId="0" shapeId="0" xr:uid="{116C4972-CCC5-46FA-9DF9-15F6C52EA83F}">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F43" authorId="0" shapeId="0" xr:uid="{A7859F5A-506E-49DE-96A0-3C4A3BDBDE9F}">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C57" authorId="0" shapeId="0" xr:uid="{AE504135-193C-4931-94AA-35F2DD20E402}">
      <text>
        <r>
          <rPr>
            <b/>
            <sz val="9"/>
            <color indexed="81"/>
            <rFont val="Tahoma"/>
            <family val="2"/>
          </rPr>
          <t>Sravan Chalasani:</t>
        </r>
        <r>
          <rPr>
            <sz val="9"/>
            <color indexed="81"/>
            <rFont val="Tahoma"/>
            <family val="2"/>
          </rPr>
          <t xml:space="preserve">
May 3 2023
Assume the default coal emission factors include fugitive methane emissions from coal mine</t>
        </r>
      </text>
    </comment>
    <comment ref="C64" authorId="0" shapeId="0" xr:uid="{2737B4FB-FA59-4EE9-AA0B-40C327804AE2}">
      <text>
        <r>
          <rPr>
            <b/>
            <sz val="9"/>
            <color indexed="81"/>
            <rFont val="Tahoma"/>
            <family val="2"/>
          </rPr>
          <t>Sravan Chalasani:</t>
        </r>
        <r>
          <rPr>
            <sz val="9"/>
            <color indexed="81"/>
            <rFont val="Tahoma"/>
            <family val="2"/>
          </rPr>
          <t xml:space="preserve">
May 3 2023
Assume the default natural gas emission factors include fugitive methane emissions that leak from pipes
</t>
        </r>
      </text>
    </comment>
    <comment ref="A83" authorId="0" shapeId="0" xr:uid="{CED77789-EA1E-4746-9473-1F81848B6DAD}">
      <text>
        <r>
          <rPr>
            <b/>
            <sz val="9"/>
            <color indexed="81"/>
            <rFont val="Tahoma"/>
            <charset val="1"/>
          </rPr>
          <t>Sravan Chalasani:</t>
        </r>
        <r>
          <rPr>
            <sz val="9"/>
            <color indexed="81"/>
            <rFont val="Tahoma"/>
            <charset val="1"/>
          </rPr>
          <t xml:space="preserve">
Depending on the available data enter the emissions factor in cell C83 OR in (C84 and C85)</t>
        </r>
      </text>
    </comment>
    <comment ref="C83" authorId="0" shapeId="0" xr:uid="{8F9CB060-6EC5-4386-A6CA-F802219675BA}">
      <text>
        <r>
          <rPr>
            <b/>
            <sz val="9"/>
            <color indexed="81"/>
            <rFont val="Tahoma"/>
            <charset val="1"/>
          </rPr>
          <t>Sravan Chalasani:</t>
        </r>
        <r>
          <rPr>
            <sz val="9"/>
            <color indexed="81"/>
            <rFont val="Tahoma"/>
            <charset val="1"/>
          </rPr>
          <t xml:space="preserve">
To calculate the emission factor of electricity coming from the local grid, enter data in the "local grid" section (Table d) of "Self-gen and Contract Power" tab
If the fuel used for self genertation is known enter data in the "Self Generated Electricity" section of "Self-gen and Contract Power" tab</t>
        </r>
      </text>
    </comment>
    <comment ref="C84" authorId="0" shapeId="0" xr:uid="{4BDB17DC-DCBF-4D12-B6A3-1A7E5D199347}">
      <text>
        <r>
          <rPr>
            <b/>
            <sz val="9"/>
            <color indexed="81"/>
            <rFont val="Tahoma"/>
            <family val="2"/>
          </rPr>
          <t>Sravan Chalasani:</t>
        </r>
        <r>
          <rPr>
            <sz val="9"/>
            <color indexed="81"/>
            <rFont val="Tahoma"/>
            <family val="2"/>
          </rPr>
          <t xml:space="preserve">
Use this when the local utility provides the emissions factor for the supplied electricity and the provided emissions factor doesn't include upstream emissions</t>
        </r>
      </text>
    </comment>
    <comment ref="C85" authorId="0" shapeId="0" xr:uid="{B3513F96-5056-42B7-BDAB-86E18AA0E33E}">
      <text>
        <r>
          <rPr>
            <b/>
            <sz val="9"/>
            <color indexed="81"/>
            <rFont val="Tahoma"/>
            <charset val="1"/>
          </rPr>
          <t>Sravan Chalasani:</t>
        </r>
        <r>
          <rPr>
            <sz val="9"/>
            <color indexed="81"/>
            <rFont val="Tahoma"/>
            <charset val="1"/>
          </rPr>
          <t xml:space="preserve">
To calculate just the upstream emission factor of electricity coming from the local grid, enter data in the Table d1 of "Self-gen and Contract Power" tab. This is useful in cases where the local utility provides the emissions factor for the supplied electricity and the provided emissions factor doesn't include upstream emissions</t>
        </r>
      </text>
    </comment>
    <comment ref="F94" authorId="0" shapeId="0" xr:uid="{BB0A2FD2-8A1C-488F-B11A-F33FA7529C89}">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F36" authorId="0" shapeId="0" xr:uid="{22550EA7-0515-4110-BF34-3CB62739CC3E}">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    </t>
        </r>
      </text>
    </comment>
    <comment ref="G37" authorId="0" shapeId="0" xr:uid="{098D97E0-ECFA-4F10-84FE-25FE8332C563}">
      <text>
        <r>
          <rPr>
            <b/>
            <sz val="9"/>
            <color indexed="81"/>
            <rFont val="Tahoma"/>
            <charset val="1"/>
          </rPr>
          <t>Sravan Chalasani:</t>
        </r>
        <r>
          <rPr>
            <sz val="9"/>
            <color indexed="81"/>
            <rFont val="Tahoma"/>
            <charset val="1"/>
          </rPr>
          <t xml:space="preserve">
Value from cell G17 in "Alumina" tab can be entered here. Alternatively if the emissions intensity value is provided by a third party supplier, it can be entered here</t>
        </r>
      </text>
    </comment>
    <comment ref="G38" authorId="0" shapeId="0" xr:uid="{6B232AE3-6497-461D-8F00-FEC6A64A4F79}">
      <text>
        <r>
          <rPr>
            <b/>
            <sz val="9"/>
            <color indexed="81"/>
            <rFont val="Tahoma"/>
            <charset val="1"/>
          </rPr>
          <t>Sravan Chalasani:</t>
        </r>
        <r>
          <rPr>
            <sz val="9"/>
            <color indexed="81"/>
            <rFont val="Tahoma"/>
            <charset val="1"/>
          </rPr>
          <t xml:space="preserve">
Value from cell G17 in "Anode Production" tab can be entered here. Alternatively if the emissions intensity value is provided by a third party supplier, it can be entered here</t>
        </r>
      </text>
    </comment>
    <comment ref="A43" authorId="0" shapeId="0" xr:uid="{BC97940D-CB34-42EC-AA0E-E0550B25A3C4}">
      <text>
        <r>
          <rPr>
            <b/>
            <sz val="9"/>
            <color indexed="81"/>
            <rFont val="Tahoma"/>
            <family val="2"/>
          </rPr>
          <t>Sravan Chalasani:</t>
        </r>
        <r>
          <rPr>
            <sz val="9"/>
            <color indexed="81"/>
            <rFont val="Tahoma"/>
            <family val="2"/>
          </rPr>
          <t xml:space="preserve">
For any emission factors, look at 'Default EF' sheet</t>
        </r>
      </text>
    </comment>
    <comment ref="F55" authorId="0" shapeId="0" xr:uid="{BA35F0FF-FDAC-412C-AFE3-5534CA70F998}">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C69" authorId="0" shapeId="0" xr:uid="{CDE965B2-CB52-4CE2-997B-AA307B7ABC0D}">
      <text>
        <r>
          <rPr>
            <b/>
            <sz val="9"/>
            <color indexed="81"/>
            <rFont val="Tahoma"/>
            <family val="2"/>
          </rPr>
          <t>Sravan Chalasani:</t>
        </r>
        <r>
          <rPr>
            <sz val="9"/>
            <color indexed="81"/>
            <rFont val="Tahoma"/>
            <family val="2"/>
          </rPr>
          <t xml:space="preserve">
May 3 2023
Assume the default coal emission factors include fugitive methane emissions from coal mine</t>
        </r>
      </text>
    </comment>
    <comment ref="C76" authorId="0" shapeId="0" xr:uid="{888286C5-C6A5-47F8-AA7D-060F28B6950F}">
      <text>
        <r>
          <rPr>
            <b/>
            <sz val="9"/>
            <color indexed="81"/>
            <rFont val="Tahoma"/>
            <family val="2"/>
          </rPr>
          <t>Sravan Chalasani:</t>
        </r>
        <r>
          <rPr>
            <sz val="9"/>
            <color indexed="81"/>
            <rFont val="Tahoma"/>
            <family val="2"/>
          </rPr>
          <t xml:space="preserve">
May 3 2023
Assume the default natural gas emission factors include fugitive methane emissions that leak from pipes
</t>
        </r>
      </text>
    </comment>
    <comment ref="A95" authorId="0" shapeId="0" xr:uid="{5A320A07-5505-4D77-B12A-7C4EFE72A4EE}">
      <text>
        <r>
          <rPr>
            <b/>
            <sz val="9"/>
            <color indexed="81"/>
            <rFont val="Tahoma"/>
            <charset val="1"/>
          </rPr>
          <t>Sravan Chalasani:</t>
        </r>
        <r>
          <rPr>
            <sz val="9"/>
            <color indexed="81"/>
            <rFont val="Tahoma"/>
            <charset val="1"/>
          </rPr>
          <t xml:space="preserve">
Depending on the available data enter the emissions factor in cell C95 OR in (C96 and C97)</t>
        </r>
      </text>
    </comment>
    <comment ref="C95" authorId="0" shapeId="0" xr:uid="{4DCAB44E-77C6-44EF-8AE9-577B3F4EF0F3}">
      <text>
        <r>
          <rPr>
            <b/>
            <sz val="9"/>
            <color indexed="81"/>
            <rFont val="Tahoma"/>
            <charset val="1"/>
          </rPr>
          <t>Sravan Chalasani:</t>
        </r>
        <r>
          <rPr>
            <sz val="9"/>
            <color indexed="81"/>
            <rFont val="Tahoma"/>
            <charset val="1"/>
          </rPr>
          <t xml:space="preserve">
To calculate the emission factor of electricity coming from the local grid, enter data in the "local grid" section (Table d) of "Self-gen and Contract Power" tab
If the fuel used for self genertation is known enter data in the "Self Generated Electricity" section of "Self-gen and Contract Power" tab</t>
        </r>
      </text>
    </comment>
    <comment ref="C96" authorId="0" shapeId="0" xr:uid="{C0FF9CE5-8EAC-4F0C-9636-E4B2FEE8FEC0}">
      <text>
        <r>
          <rPr>
            <b/>
            <sz val="9"/>
            <color indexed="81"/>
            <rFont val="Tahoma"/>
            <family val="2"/>
          </rPr>
          <t>Sravan Chalasani:</t>
        </r>
        <r>
          <rPr>
            <sz val="9"/>
            <color indexed="81"/>
            <rFont val="Tahoma"/>
            <family val="2"/>
          </rPr>
          <t xml:space="preserve">
Use this when the local utility provides the emissions factor for the supplied electricity and the provided emissions factor doesn't include upstream emissions
</t>
        </r>
      </text>
    </comment>
    <comment ref="C97" authorId="0" shapeId="0" xr:uid="{1357983D-8CBD-4185-972B-6D39916E8983}">
      <text>
        <r>
          <rPr>
            <b/>
            <sz val="9"/>
            <color indexed="81"/>
            <rFont val="Tahoma"/>
            <charset val="1"/>
          </rPr>
          <t>Sravan Chalasani:</t>
        </r>
        <r>
          <rPr>
            <sz val="9"/>
            <color indexed="81"/>
            <rFont val="Tahoma"/>
            <charset val="1"/>
          </rPr>
          <t xml:space="preserve">
To calculate just the upstream emission factor of electricity coming from the local grid, enter data in the Table d1 of "Self-gen and Contract Power" tab. This is useful in cases where the local utility provides the emissions factor for the supplied electricity and the provided emissions factor doesn't include upstream emissions </t>
        </r>
      </text>
    </comment>
    <comment ref="F106" authorId="0" shapeId="0" xr:uid="{7639434F-60BF-4CFF-8313-0C6E3C3E12F5}">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F122" authorId="0" shapeId="0" xr:uid="{DBCA3EA6-27C6-455D-A80E-480AEF177CC8}">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C40" authorId="0" shapeId="0" xr:uid="{05B84714-5585-40F4-B535-78F7FB7CF4A3}">
      <text>
        <r>
          <rPr>
            <b/>
            <sz val="9"/>
            <color indexed="81"/>
            <rFont val="Tahoma"/>
            <family val="2"/>
          </rPr>
          <t>Sravan Chalasani:</t>
        </r>
        <r>
          <rPr>
            <sz val="9"/>
            <color indexed="81"/>
            <rFont val="Tahoma"/>
            <family val="2"/>
          </rPr>
          <t xml:space="preserve">
See the "Standard Aluminum recoverable yields" section in "Default EF" for some standard recoverable yield values </t>
        </r>
      </text>
    </comment>
    <comment ref="H40" authorId="0" shapeId="0" xr:uid="{D0065620-6685-480F-8DCE-72E3C59A3EE1}">
      <text>
        <r>
          <rPr>
            <b/>
            <sz val="9"/>
            <color indexed="81"/>
            <rFont val="Tahoma"/>
            <family val="2"/>
          </rPr>
          <t>Sravan Chalasani:</t>
        </r>
        <r>
          <rPr>
            <sz val="9"/>
            <color indexed="81"/>
            <rFont val="Tahoma"/>
            <family val="2"/>
          </rPr>
          <t xml:space="preserve">
Select "Primary" if both the input mass data and the GHG intensity data are from primary (site specific) sources. For all other cases select "secondary"</t>
        </r>
      </text>
    </comment>
    <comment ref="C57" authorId="0" shapeId="0" xr:uid="{0665F880-A164-47E4-85B6-B87E0C73D193}">
      <text>
        <r>
          <rPr>
            <b/>
            <sz val="9"/>
            <color indexed="81"/>
            <rFont val="Tahoma"/>
            <family val="2"/>
          </rPr>
          <t>Sravan Chalasani:</t>
        </r>
        <r>
          <rPr>
            <sz val="9"/>
            <color indexed="81"/>
            <rFont val="Tahoma"/>
            <family val="2"/>
          </rPr>
          <t xml:space="preserve">
See the "Standard Aluminum recoverable yields" section in "Default EF" for some standard recoverable yield values </t>
        </r>
      </text>
    </comment>
    <comment ref="F75" authorId="0" shapeId="0" xr:uid="{6C7F4650-1C06-465B-87C5-9D2FDFC3B583}">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I75" authorId="0" shapeId="0" xr:uid="{06EF6AB2-4B54-4BA7-9DA4-677814DEF0BE}">
      <text>
        <r>
          <rPr>
            <b/>
            <sz val="9"/>
            <color indexed="81"/>
            <rFont val="Tahoma"/>
            <family val="2"/>
          </rPr>
          <t>Sravan Chalasani:</t>
        </r>
        <r>
          <rPr>
            <sz val="9"/>
            <color indexed="81"/>
            <rFont val="Tahoma"/>
            <family val="2"/>
          </rPr>
          <t xml:space="preserve">
Select "Primary" if fuel/energy activity data is site specific and if the combustion emission factor is "Default" </t>
        </r>
      </text>
    </comment>
    <comment ref="I88" authorId="0" shapeId="0" xr:uid="{48E5C3A8-2AF5-4CE4-9C5F-A4348459FB65}">
      <text>
        <r>
          <rPr>
            <b/>
            <sz val="9"/>
            <color indexed="81"/>
            <rFont val="Tahoma"/>
            <family val="2"/>
          </rPr>
          <t>Sravan Chalasani:</t>
        </r>
        <r>
          <rPr>
            <sz val="9"/>
            <color indexed="81"/>
            <rFont val="Tahoma"/>
            <family val="2"/>
          </rPr>
          <t xml:space="preserve">
Select "Primary" if fuel/energy activity data is site specific and upstream emission factors are also site specific (i.e. provided by the supplier) </t>
        </r>
      </text>
    </comment>
    <comment ref="C89" authorId="0" shapeId="0" xr:uid="{8541D3F3-863C-46D7-A6D6-4918C2B95DB7}">
      <text>
        <r>
          <rPr>
            <b/>
            <sz val="9"/>
            <color indexed="81"/>
            <rFont val="Tahoma"/>
            <family val="2"/>
          </rPr>
          <t>Sravan Chalasani:</t>
        </r>
        <r>
          <rPr>
            <sz val="9"/>
            <color indexed="81"/>
            <rFont val="Tahoma"/>
            <family val="2"/>
          </rPr>
          <t xml:space="preserve">
May 3 2023
Assume the default coal emission factors include fugitive methane emissions from coal mine</t>
        </r>
      </text>
    </comment>
    <comment ref="C96" authorId="0" shapeId="0" xr:uid="{CA0D2857-A1A6-4A04-8E5F-E9A3EA151657}">
      <text>
        <r>
          <rPr>
            <b/>
            <sz val="9"/>
            <color indexed="81"/>
            <rFont val="Tahoma"/>
            <family val="2"/>
          </rPr>
          <t>Sravan Chalasani:</t>
        </r>
        <r>
          <rPr>
            <sz val="9"/>
            <color indexed="81"/>
            <rFont val="Tahoma"/>
            <family val="2"/>
          </rPr>
          <t xml:space="preserve">
May 3 2023
Assume the default natural gas emission factors include fugitive methane emissions that leak from pipes
</t>
        </r>
      </text>
    </comment>
    <comment ref="A115" authorId="0" shapeId="0" xr:uid="{BE5D1CEA-697B-4C83-B93C-D0D36AFE8A75}">
      <text>
        <r>
          <rPr>
            <b/>
            <sz val="9"/>
            <color indexed="81"/>
            <rFont val="Tahoma"/>
            <charset val="1"/>
          </rPr>
          <t>Sravan Chalasani:</t>
        </r>
        <r>
          <rPr>
            <sz val="9"/>
            <color indexed="81"/>
            <rFont val="Tahoma"/>
            <charset val="1"/>
          </rPr>
          <t xml:space="preserve">
Depending on the available data enter the emissions factor in cell C115 OR in (C116 and C117)</t>
        </r>
      </text>
    </comment>
    <comment ref="C115" authorId="0" shapeId="0" xr:uid="{131FF22F-C40A-4173-9762-A3AD201634EC}">
      <text>
        <r>
          <rPr>
            <b/>
            <sz val="9"/>
            <color indexed="81"/>
            <rFont val="Tahoma"/>
            <charset val="1"/>
          </rPr>
          <t>Sravan Chalasani:</t>
        </r>
        <r>
          <rPr>
            <sz val="9"/>
            <color indexed="81"/>
            <rFont val="Tahoma"/>
            <charset val="1"/>
          </rPr>
          <t xml:space="preserve">
To calculate the emission factor of electricity coming from the local grid, enter data in the "local grid" section (Table d) of "Self-gen and Contract Power" tab
If the fuel used for self genertation is known enter data in the "Self Generated Electricity" section of "Self-gen and Contract Power" tab</t>
        </r>
      </text>
    </comment>
    <comment ref="C116" authorId="0" shapeId="0" xr:uid="{E7964712-8AFC-4F9C-AF8C-83CB10382DFE}">
      <text>
        <r>
          <rPr>
            <b/>
            <sz val="9"/>
            <color indexed="81"/>
            <rFont val="Tahoma"/>
            <family val="2"/>
          </rPr>
          <t>Sravan Chalasani:</t>
        </r>
        <r>
          <rPr>
            <sz val="9"/>
            <color indexed="81"/>
            <rFont val="Tahoma"/>
            <family val="2"/>
          </rPr>
          <t xml:space="preserve">
Use this when the local utility provides the emissions factor for the supplied electricity and the provided emissions factor doesn't include upstream emissions</t>
        </r>
      </text>
    </comment>
    <comment ref="G116" authorId="0" shapeId="0" xr:uid="{118DF9DC-0F30-43B2-9D4A-8747D86B69EF}">
      <text>
        <r>
          <rPr>
            <b/>
            <sz val="9"/>
            <color indexed="81"/>
            <rFont val="Tahoma"/>
            <family val="2"/>
          </rPr>
          <t>Sravan Chalasani:</t>
        </r>
        <r>
          <rPr>
            <sz val="9"/>
            <color indexed="81"/>
            <rFont val="Tahoma"/>
            <family val="2"/>
          </rPr>
          <t xml:space="preserve">
See section d in "Self-gen and Contract Power" sheet</t>
        </r>
      </text>
    </comment>
    <comment ref="C117" authorId="0" shapeId="0" xr:uid="{C8BB8F2D-EF1B-4ADB-BA30-AEA86ADD9006}">
      <text>
        <r>
          <rPr>
            <b/>
            <sz val="9"/>
            <color indexed="81"/>
            <rFont val="Tahoma"/>
            <charset val="1"/>
          </rPr>
          <t>Sravan Chalasani:</t>
        </r>
        <r>
          <rPr>
            <sz val="9"/>
            <color indexed="81"/>
            <rFont val="Tahoma"/>
            <charset val="1"/>
          </rPr>
          <t xml:space="preserve">
To calculate just the upstream emission factor of electricity coming from the local grid, enter data in the Table d1 of "Self-gen and Contract Power" tab. This is useful in cases where the local utility provides the emissions factor for the supplied electricity and the provided emissions factor doesn't include upstream emissions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C45" authorId="0" shapeId="0" xr:uid="{D4F3A0B6-5EEE-4C8F-B8F6-C6D61F8739CA}">
      <text>
        <r>
          <rPr>
            <b/>
            <sz val="9"/>
            <color indexed="81"/>
            <rFont val="Tahoma"/>
            <family val="2"/>
          </rPr>
          <t>Sravan Chalasani:</t>
        </r>
        <r>
          <rPr>
            <sz val="9"/>
            <color indexed="81"/>
            <rFont val="Tahoma"/>
            <family val="2"/>
          </rPr>
          <t xml:space="preserve">
See the "Standard Aluminum recoverable yields" section in "Default EF" for some standard recoverable yield values </t>
        </r>
      </text>
    </comment>
    <comment ref="F45" authorId="0" shapeId="0" xr:uid="{1630543F-D776-41CC-8DB1-A6937AA26577}">
      <text>
        <r>
          <rPr>
            <b/>
            <sz val="9"/>
            <color indexed="81"/>
            <rFont val="Tahoma"/>
            <family val="2"/>
          </rPr>
          <t>Sravan Chalasani:</t>
        </r>
        <r>
          <rPr>
            <sz val="9"/>
            <color indexed="81"/>
            <rFont val="Tahoma"/>
            <family val="2"/>
          </rPr>
          <t xml:space="preserve">
This should include mine to smelter intensity</t>
        </r>
      </text>
    </comment>
    <comment ref="H45" authorId="0" shapeId="0" xr:uid="{E39B70A1-AAE0-4673-9A57-0345D8D0035D}">
      <text>
        <r>
          <rPr>
            <b/>
            <sz val="9"/>
            <color indexed="81"/>
            <rFont val="Tahoma"/>
            <family val="2"/>
          </rPr>
          <t>Sravan Chalasani:</t>
        </r>
        <r>
          <rPr>
            <sz val="9"/>
            <color indexed="81"/>
            <rFont val="Tahoma"/>
            <family val="2"/>
          </rPr>
          <t xml:space="preserve">
Select "Primary" if both the input mass data and the GHG intensity data are from primary (site specific) sources. For all other cases select "secondary"</t>
        </r>
      </text>
    </comment>
    <comment ref="C64" authorId="0" shapeId="0" xr:uid="{AC78A526-E4C4-401E-A9F8-022E0722730B}">
      <text>
        <r>
          <rPr>
            <b/>
            <sz val="9"/>
            <color indexed="81"/>
            <rFont val="Tahoma"/>
            <family val="2"/>
          </rPr>
          <t>Sravan Chalasani:</t>
        </r>
        <r>
          <rPr>
            <sz val="9"/>
            <color indexed="81"/>
            <rFont val="Tahoma"/>
            <family val="2"/>
          </rPr>
          <t xml:space="preserve">
See the "Standard Aluminum recoverable yields" section in "Default EF" for some standard recoverable yield values </t>
        </r>
      </text>
    </comment>
    <comment ref="F82" authorId="0" shapeId="0" xr:uid="{5C97D0C9-08BF-4133-9233-5E524544F1C7}">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I82" authorId="0" shapeId="0" xr:uid="{6F56906A-3E6F-4791-A8B7-0DF0074E611F}">
      <text>
        <r>
          <rPr>
            <b/>
            <sz val="9"/>
            <color indexed="81"/>
            <rFont val="Tahoma"/>
            <family val="2"/>
          </rPr>
          <t>Sravan Chalasani:</t>
        </r>
        <r>
          <rPr>
            <sz val="9"/>
            <color indexed="81"/>
            <rFont val="Tahoma"/>
            <family val="2"/>
          </rPr>
          <t xml:space="preserve">
Select "Primary" if fuel/energy activity data is site specific and if the combustion emission factor is "Default" </t>
        </r>
      </text>
    </comment>
    <comment ref="I95" authorId="0" shapeId="0" xr:uid="{8A33B5B8-EEC5-454E-9FEB-05924A6816AA}">
      <text>
        <r>
          <rPr>
            <b/>
            <sz val="9"/>
            <color indexed="81"/>
            <rFont val="Tahoma"/>
            <family val="2"/>
          </rPr>
          <t>Sravan Chalasani:</t>
        </r>
        <r>
          <rPr>
            <sz val="9"/>
            <color indexed="81"/>
            <rFont val="Tahoma"/>
            <family val="2"/>
          </rPr>
          <t xml:space="preserve">
Select "Primary" if fuel/energy activity data is site specific and upstream emission factors are also site specific (i.e. provided by the supplier) </t>
        </r>
      </text>
    </comment>
    <comment ref="C96" authorId="0" shapeId="0" xr:uid="{B1BC8FD5-5B36-46CE-BBB2-B40A390E2924}">
      <text>
        <r>
          <rPr>
            <b/>
            <sz val="9"/>
            <color indexed="81"/>
            <rFont val="Tahoma"/>
            <family val="2"/>
          </rPr>
          <t>Sravan Chalasani:</t>
        </r>
        <r>
          <rPr>
            <sz val="9"/>
            <color indexed="81"/>
            <rFont val="Tahoma"/>
            <family val="2"/>
          </rPr>
          <t xml:space="preserve">
May 3 2023
Assume the default coal emission factors include fugitive methane emissions from coal mine</t>
        </r>
      </text>
    </comment>
    <comment ref="C103" authorId="0" shapeId="0" xr:uid="{CB77FA17-D0B5-4F70-B795-17B9C7A646B8}">
      <text>
        <r>
          <rPr>
            <b/>
            <sz val="9"/>
            <color indexed="81"/>
            <rFont val="Tahoma"/>
            <family val="2"/>
          </rPr>
          <t>Sravan Chalasani:</t>
        </r>
        <r>
          <rPr>
            <sz val="9"/>
            <color indexed="81"/>
            <rFont val="Tahoma"/>
            <family val="2"/>
          </rPr>
          <t xml:space="preserve">
May 3 2023
Assume the default natural gas emission factors include fugitive methane emissions that leak from pipes
</t>
        </r>
      </text>
    </comment>
    <comment ref="A122" authorId="0" shapeId="0" xr:uid="{820FAFA7-5501-4CF8-AD2D-6A51966538A6}">
      <text>
        <r>
          <rPr>
            <b/>
            <sz val="9"/>
            <color indexed="81"/>
            <rFont val="Tahoma"/>
            <charset val="1"/>
          </rPr>
          <t>Sravan Chalasani:</t>
        </r>
        <r>
          <rPr>
            <sz val="9"/>
            <color indexed="81"/>
            <rFont val="Tahoma"/>
            <charset val="1"/>
          </rPr>
          <t xml:space="preserve">
Depending on the available data enter the emissions factor in cell C122 OR in (C123 and C124)</t>
        </r>
      </text>
    </comment>
    <comment ref="C122" authorId="0" shapeId="0" xr:uid="{A6C3F4E8-FF6C-481B-87FA-344EC9759683}">
      <text>
        <r>
          <rPr>
            <b/>
            <sz val="9"/>
            <color indexed="81"/>
            <rFont val="Tahoma"/>
            <charset val="1"/>
          </rPr>
          <t>Sravan Chalasani:</t>
        </r>
        <r>
          <rPr>
            <sz val="9"/>
            <color indexed="81"/>
            <rFont val="Tahoma"/>
            <charset val="1"/>
          </rPr>
          <t xml:space="preserve">
To calculate the emission factor of electricity coming from the local grid, enter data in the "local grid" section (Table d) of "Self-gen and Contract Power" tab
If the fuel used for self genertation is known enter data in the "Self Generated Electricity" section of "Self-gen and Contract Power" tab</t>
        </r>
      </text>
    </comment>
    <comment ref="C123" authorId="0" shapeId="0" xr:uid="{F1182542-C2F9-469D-A24B-B240A7112FA4}">
      <text>
        <r>
          <rPr>
            <b/>
            <sz val="9"/>
            <color indexed="81"/>
            <rFont val="Tahoma"/>
            <family val="2"/>
          </rPr>
          <t>Sravan Chalasani:</t>
        </r>
        <r>
          <rPr>
            <sz val="9"/>
            <color indexed="81"/>
            <rFont val="Tahoma"/>
            <family val="2"/>
          </rPr>
          <t xml:space="preserve">
Use this when the local utility provides the emissions factor for the supplied electricity and the provided emissions factor doesn't include upstream emissions</t>
        </r>
      </text>
    </comment>
    <comment ref="G123" authorId="0" shapeId="0" xr:uid="{DE7E20D9-AF13-4331-913B-C2BC5FD1DCF8}">
      <text>
        <r>
          <rPr>
            <b/>
            <sz val="9"/>
            <color indexed="81"/>
            <rFont val="Tahoma"/>
            <family val="2"/>
          </rPr>
          <t>Sravan Chalasani:</t>
        </r>
        <r>
          <rPr>
            <sz val="9"/>
            <color indexed="81"/>
            <rFont val="Tahoma"/>
            <family val="2"/>
          </rPr>
          <t xml:space="preserve">
See section d in "Self-gen and Contract Power" sheet</t>
        </r>
      </text>
    </comment>
    <comment ref="C124" authorId="0" shapeId="0" xr:uid="{708768E5-C680-43D3-A78D-969FFA55DB4B}">
      <text>
        <r>
          <rPr>
            <b/>
            <sz val="9"/>
            <color indexed="81"/>
            <rFont val="Tahoma"/>
            <charset val="1"/>
          </rPr>
          <t>Sravan Chalasani:</t>
        </r>
        <r>
          <rPr>
            <sz val="9"/>
            <color indexed="81"/>
            <rFont val="Tahoma"/>
            <charset val="1"/>
          </rPr>
          <t xml:space="preserve">
To calculate just the upstream emission factor of electricity coming from the local grid, enter data in the Table d1 of "Self-gen and Contract Power" tab. This is useful in cases where the local utility provides the emissions factor for the supplied electricity and the provided emissions factor doesn't include upstream emissions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C37" authorId="0" shapeId="0" xr:uid="{607D2396-9B42-4454-89E9-EA554C9B29E5}">
      <text>
        <r>
          <rPr>
            <b/>
            <sz val="9"/>
            <color indexed="81"/>
            <rFont val="Tahoma"/>
            <family val="2"/>
          </rPr>
          <t>Sravan Chalasani:</t>
        </r>
        <r>
          <rPr>
            <sz val="9"/>
            <color indexed="81"/>
            <rFont val="Tahoma"/>
            <family val="2"/>
          </rPr>
          <t xml:space="preserve">
See the "Standard Aluminum recoverable yields" section in "Default EF" for some standard recoverable yield values </t>
        </r>
      </text>
    </comment>
    <comment ref="F37" authorId="0" shapeId="0" xr:uid="{485A077E-D9AC-4C13-A912-7C258B4F6795}">
      <text>
        <r>
          <rPr>
            <b/>
            <sz val="9"/>
            <color indexed="81"/>
            <rFont val="Tahoma"/>
            <family val="2"/>
          </rPr>
          <t>Sravan Chalasani:</t>
        </r>
        <r>
          <rPr>
            <sz val="9"/>
            <color indexed="81"/>
            <rFont val="Tahoma"/>
            <family val="2"/>
          </rPr>
          <t xml:space="preserve">
This should include mine to smelter intensity
The emission intensity values shall be obtained from Table 1a of the "Final Casting" tab</t>
        </r>
      </text>
    </comment>
    <comment ref="G37" authorId="0" shapeId="0" xr:uid="{04EF42D4-5C78-45B5-995A-796416F8E449}">
      <text>
        <r>
          <rPr>
            <b/>
            <sz val="9"/>
            <color indexed="81"/>
            <rFont val="Tahoma"/>
            <family val="2"/>
          </rPr>
          <t>Sravan Chalasani:</t>
        </r>
        <r>
          <rPr>
            <sz val="9"/>
            <color indexed="81"/>
            <rFont val="Tahoma"/>
            <family val="2"/>
          </rPr>
          <t xml:space="preserve">
The primary data share values shall be obtained from Table 1a of the "Final Casting" tab</t>
        </r>
      </text>
    </comment>
    <comment ref="C53" authorId="0" shapeId="0" xr:uid="{AA1C4954-DCF0-40DF-A7CE-EF79EFCDF3E6}">
      <text>
        <r>
          <rPr>
            <b/>
            <sz val="9"/>
            <color indexed="81"/>
            <rFont val="Tahoma"/>
            <family val="2"/>
          </rPr>
          <t>Sravan Chalasani:</t>
        </r>
        <r>
          <rPr>
            <sz val="9"/>
            <color indexed="81"/>
            <rFont val="Tahoma"/>
            <family val="2"/>
          </rPr>
          <t xml:space="preserve">
See the "Standard Aluminum recoverable yields" section in "Default EF" for some standard recoverable yield values </t>
        </r>
      </text>
    </comment>
    <comment ref="F53" authorId="0" shapeId="0" xr:uid="{0EBD6A4F-48F9-4F57-9B9B-E94DC04C094F}">
      <text>
        <r>
          <rPr>
            <b/>
            <sz val="9"/>
            <color indexed="81"/>
            <rFont val="Tahoma"/>
            <family val="2"/>
          </rPr>
          <t>Sravan Chalasani:</t>
        </r>
        <r>
          <rPr>
            <sz val="9"/>
            <color indexed="81"/>
            <rFont val="Tahoma"/>
            <family val="2"/>
          </rPr>
          <t xml:space="preserve">
This should include mine to smelter intensity.
The emission intensity values shall be obtained from Table 1b of the "Final Casting" tab</t>
        </r>
      </text>
    </comment>
    <comment ref="G53" authorId="0" shapeId="0" xr:uid="{A894659B-4629-45A8-AAB6-B4DB877B6980}">
      <text>
        <r>
          <rPr>
            <b/>
            <sz val="9"/>
            <color indexed="81"/>
            <rFont val="Tahoma"/>
            <family val="2"/>
          </rPr>
          <t>Sravan Chalasani:</t>
        </r>
        <r>
          <rPr>
            <sz val="9"/>
            <color indexed="81"/>
            <rFont val="Tahoma"/>
            <family val="2"/>
          </rPr>
          <t xml:space="preserve">
The primary data share values shall be obtained from Table 1b of the "Final Casting" tab</t>
        </r>
      </text>
    </comment>
    <comment ref="F74" authorId="0" shapeId="0" xr:uid="{1510ECAC-8FDA-4052-9A53-9F8278D5667F}">
      <text>
        <r>
          <rPr>
            <b/>
            <sz val="9"/>
            <color indexed="81"/>
            <rFont val="Tahoma"/>
            <charset val="1"/>
          </rPr>
          <t>Sravan Chalasani:</t>
        </r>
        <r>
          <rPr>
            <sz val="9"/>
            <color indexed="81"/>
            <rFont val="Tahoma"/>
            <charset val="1"/>
          </rPr>
          <t xml:space="preserve">
If a cell in the "EF Selection" column is selected as "Site" enter the site specific emissions factor in the "Site EF
(tCO2e/unit)" column. If "Default" is selected the default emissions factor from column C will be used</t>
        </r>
      </text>
    </comment>
    <comment ref="C88" authorId="0" shapeId="0" xr:uid="{7DEF1459-60ED-45C1-BA80-3FF6D51BFB3F}">
      <text>
        <r>
          <rPr>
            <b/>
            <sz val="9"/>
            <color indexed="81"/>
            <rFont val="Tahoma"/>
            <family val="2"/>
          </rPr>
          <t>Sravan Chalasani:</t>
        </r>
        <r>
          <rPr>
            <sz val="9"/>
            <color indexed="81"/>
            <rFont val="Tahoma"/>
            <family val="2"/>
          </rPr>
          <t xml:space="preserve">
May 3 2023
Assume the default coal emission factors include fugitive methane emissions from coal mine</t>
        </r>
      </text>
    </comment>
    <comment ref="C95" authorId="0" shapeId="0" xr:uid="{F24F685D-D600-4BFE-AA14-32A8DF6B0840}">
      <text>
        <r>
          <rPr>
            <b/>
            <sz val="9"/>
            <color indexed="81"/>
            <rFont val="Tahoma"/>
            <family val="2"/>
          </rPr>
          <t>Sravan Chalasani:</t>
        </r>
        <r>
          <rPr>
            <sz val="9"/>
            <color indexed="81"/>
            <rFont val="Tahoma"/>
            <family val="2"/>
          </rPr>
          <t xml:space="preserve">
May 3 2023
Assume the default natural gas emission factors include fugitive methane emissions that leak from pipes
</t>
        </r>
      </text>
    </comment>
    <comment ref="A114" authorId="0" shapeId="0" xr:uid="{10699EFE-4601-4F4A-907F-C893FDD00199}">
      <text>
        <r>
          <rPr>
            <b/>
            <sz val="9"/>
            <color indexed="81"/>
            <rFont val="Tahoma"/>
            <charset val="1"/>
          </rPr>
          <t>Sravan Chalasani:</t>
        </r>
        <r>
          <rPr>
            <sz val="9"/>
            <color indexed="81"/>
            <rFont val="Tahoma"/>
            <charset val="1"/>
          </rPr>
          <t xml:space="preserve">
Depending on the available data enter the emissions factor in cell C114 OR in (C115 and C116)</t>
        </r>
      </text>
    </comment>
    <comment ref="C114" authorId="0" shapeId="0" xr:uid="{2300AD81-994A-4D5E-92C1-8602EBBAA18D}">
      <text>
        <r>
          <rPr>
            <b/>
            <sz val="9"/>
            <color indexed="81"/>
            <rFont val="Tahoma"/>
            <charset val="1"/>
          </rPr>
          <t>Sravan Chalasani:</t>
        </r>
        <r>
          <rPr>
            <sz val="9"/>
            <color indexed="81"/>
            <rFont val="Tahoma"/>
            <charset val="1"/>
          </rPr>
          <t xml:space="preserve">
To calculate the emission factor of electricity coming from the local grid, enter data in the "local grid" section (Table d) of "Self-gen and Contract Power" tab
If the fuel used for self genertation is known enter data in the "Self Generated Electricity" section of "Self-gen and Contract Power" tab</t>
        </r>
      </text>
    </comment>
    <comment ref="C115" authorId="0" shapeId="0" xr:uid="{7136D0FF-C2BA-4D97-AFA6-B7823B142425}">
      <text>
        <r>
          <rPr>
            <b/>
            <sz val="9"/>
            <color indexed="81"/>
            <rFont val="Tahoma"/>
            <family val="2"/>
          </rPr>
          <t>Sravan Chalasani:</t>
        </r>
        <r>
          <rPr>
            <sz val="9"/>
            <color indexed="81"/>
            <rFont val="Tahoma"/>
            <family val="2"/>
          </rPr>
          <t xml:space="preserve">
Use this when the local utility provides the emissions factor for the supplied electricity and the provided emissions factor doesn't include upstream emissions</t>
        </r>
      </text>
    </comment>
    <comment ref="C116" authorId="0" shapeId="0" xr:uid="{215CC816-1B5A-4F80-86D3-B30FD5F80029}">
      <text>
        <r>
          <rPr>
            <b/>
            <sz val="9"/>
            <color indexed="81"/>
            <rFont val="Tahoma"/>
            <charset val="1"/>
          </rPr>
          <t>Sravan Chalasani:</t>
        </r>
        <r>
          <rPr>
            <sz val="9"/>
            <color indexed="81"/>
            <rFont val="Tahoma"/>
            <charset val="1"/>
          </rPr>
          <t xml:space="preserve">
To calculate just the upstream emission factor of electricity coming from the local grid, enter data in the Table d1 of "Self-gen and Contract Power" tab. This is useful in cases where the local utility provides the emissions factor for the supplied electricity and the provided emissions factor doesn't include upstream emissions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Sravan Chalasani</author>
  </authors>
  <commentList>
    <comment ref="J14" authorId="0" shapeId="0" xr:uid="{5BAE9E97-6B0B-48CA-AA1F-CA49AEF2E591}">
      <text>
        <r>
          <rPr>
            <b/>
            <sz val="9"/>
            <color rgb="FF000000"/>
            <rFont val="Tahoma"/>
            <family val="2"/>
          </rPr>
          <t>Sravan Chalasani:</t>
        </r>
        <r>
          <rPr>
            <sz val="9"/>
            <color rgb="FF000000"/>
            <rFont val="Tahoma"/>
            <family val="2"/>
          </rPr>
          <t xml:space="preserve">
</t>
        </r>
        <r>
          <rPr>
            <sz val="9"/>
            <color rgb="FF000000"/>
            <rFont val="Tahoma"/>
            <family val="2"/>
          </rPr>
          <t xml:space="preserve">May 3, 2023
</t>
        </r>
        <r>
          <rPr>
            <sz val="9"/>
            <color rgb="FF000000"/>
            <rFont val="Tahoma"/>
            <family val="2"/>
          </rPr>
          <t>Assume this includes coal mine methane values</t>
        </r>
      </text>
    </comment>
    <comment ref="P14" authorId="0" shapeId="0" xr:uid="{E1DA2E2E-1540-43E9-BDDA-0F32339215D1}">
      <text>
        <r>
          <rPr>
            <b/>
            <sz val="9"/>
            <color indexed="81"/>
            <rFont val="Tahoma"/>
            <family val="2"/>
          </rPr>
          <t>Sravan Chalasani:</t>
        </r>
        <r>
          <rPr>
            <sz val="9"/>
            <color indexed="81"/>
            <rFont val="Tahoma"/>
            <family val="2"/>
          </rPr>
          <t xml:space="preserve">
May 3 2023
From Emission_Factors_from_Cross_Sector_Tools_March_2017.xlsx</t>
        </r>
      </text>
    </comment>
    <comment ref="N19" authorId="0" shapeId="0" xr:uid="{95C5BCE8-C0C1-4314-9312-E22C13B95369}">
      <text>
        <r>
          <rPr>
            <b/>
            <sz val="9"/>
            <color rgb="FF000000"/>
            <rFont val="Tahoma"/>
            <family val="2"/>
          </rPr>
          <t>Sravan Chalasani:</t>
        </r>
        <r>
          <rPr>
            <sz val="9"/>
            <color rgb="FF000000"/>
            <rFont val="Tahoma"/>
            <family val="2"/>
          </rPr>
          <t xml:space="preserve">
</t>
        </r>
        <r>
          <rPr>
            <sz val="9"/>
            <color rgb="FF000000"/>
            <rFont val="Tahoma"/>
            <family val="2"/>
          </rPr>
          <t xml:space="preserve">May 3 2023
</t>
        </r>
        <r>
          <rPr>
            <sz val="9"/>
            <color rgb="FF000000"/>
            <rFont val="Tahoma"/>
            <family val="2"/>
          </rPr>
          <t>From Emission_Factors_from_Cross_Sector_Tools_March_2017.xlsx</t>
        </r>
      </text>
    </comment>
    <comment ref="F22" authorId="0" shapeId="0" xr:uid="{3951125B-E6E0-4B19-956E-F574D0EB02D7}">
      <text>
        <r>
          <rPr>
            <b/>
            <sz val="9"/>
            <color indexed="81"/>
            <rFont val="Tahoma"/>
            <family val="2"/>
          </rPr>
          <t>Sravan Chalasani:</t>
        </r>
        <r>
          <rPr>
            <sz val="9"/>
            <color indexed="81"/>
            <rFont val="Tahoma"/>
            <family val="2"/>
          </rPr>
          <t xml:space="preserve">
May 3 2023
To convert natural gas from mass units to energy units, it can be assumed that a metric ton (tonne) of natural gas is equivalent to 55.58 GJ of energy and 1470.3 cubic meters.</t>
        </r>
      </text>
    </comment>
    <comment ref="I43" authorId="0" shapeId="0" xr:uid="{1F592D35-48DF-463D-9A5B-5B03037A65B2}">
      <text>
        <r>
          <rPr>
            <b/>
            <sz val="9"/>
            <color indexed="81"/>
            <rFont val="Tahoma"/>
            <family val="2"/>
          </rPr>
          <t>Sravan Chalasani:</t>
        </r>
        <r>
          <rPr>
            <sz val="9"/>
            <color indexed="81"/>
            <rFont val="Tahoma"/>
            <family val="2"/>
          </rPr>
          <t xml:space="preserve">
Also from Emission Factors Reference.xlsx in C:\Users\schalasani\RMI\Horizon Zero - Documents\4. Work\Carbon Accounting\Steel\Emissions Reporting Guidance\Emission Factors\Lit Review</t>
        </r>
      </text>
    </comment>
  </commentList>
</comments>
</file>

<file path=xl/sharedStrings.xml><?xml version="1.0" encoding="utf-8"?>
<sst xmlns="http://schemas.openxmlformats.org/spreadsheetml/2006/main" count="3882" uniqueCount="959">
  <si>
    <t>Asset 1</t>
  </si>
  <si>
    <t>Cell color code:</t>
  </si>
  <si>
    <t>Asset Total Output</t>
  </si>
  <si>
    <t xml:space="preserve">User entry </t>
  </si>
  <si>
    <t>Total aluminum semis product (t/yr)</t>
  </si>
  <si>
    <t xml:space="preserve">Auto calculaed value </t>
  </si>
  <si>
    <t>Key results</t>
  </si>
  <si>
    <t>Asset Emission</t>
  </si>
  <si>
    <t>System sub-boundries</t>
  </si>
  <si>
    <t>Input mass fraction (%)</t>
  </si>
  <si>
    <t>Emission Intensity</t>
  </si>
  <si>
    <t>(t CO2 eq / unit)</t>
  </si>
  <si>
    <t>Ore-based</t>
  </si>
  <si>
    <t>Scrap-based</t>
  </si>
  <si>
    <t>Asset Total Emission Intensity</t>
  </si>
  <si>
    <t>Ore-based activities</t>
  </si>
  <si>
    <t>Ore-based Emission Intensity</t>
  </si>
  <si>
    <t>Scrap-based activities</t>
  </si>
  <si>
    <t>Scrap-based Emission Intensity</t>
  </si>
  <si>
    <t>Semi-fabrication</t>
  </si>
  <si>
    <t>Total Check</t>
  </si>
  <si>
    <t>Asset Input</t>
  </si>
  <si>
    <t>(1) Ore-based production activities (incl. mining, refining, anode production, smelting, ore-based ingot casting)</t>
  </si>
  <si>
    <t>Emission Source/Type</t>
  </si>
  <si>
    <t>Activity Data</t>
  </si>
  <si>
    <t>Direct Emissions*</t>
  </si>
  <si>
    <t>Indirect Emissions**</t>
  </si>
  <si>
    <t>Total Emissions (tCO2)</t>
  </si>
  <si>
    <t>Emission Source</t>
  </si>
  <si>
    <t>Type</t>
  </si>
  <si>
    <t>Unit</t>
  </si>
  <si>
    <t>Purchased</t>
  </si>
  <si>
    <t>Sold</t>
  </si>
  <si>
    <t>Net Consumed/ Total Processed</t>
  </si>
  <si>
    <r>
      <t>Direct EF Type</t>
    </r>
    <r>
      <rPr>
        <b/>
        <vertAlign val="superscript"/>
        <sz val="12"/>
        <color theme="1"/>
        <rFont val="Calibri (Body)"/>
      </rPr>
      <t>1</t>
    </r>
  </si>
  <si>
    <t>Direct Site EF (tCO2/unit)</t>
  </si>
  <si>
    <t>Direct EF (tCO2/unit)</t>
  </si>
  <si>
    <t>Direct Emissions (tCO2)</t>
  </si>
  <si>
    <r>
      <t>Indirect EF Type</t>
    </r>
    <r>
      <rPr>
        <b/>
        <vertAlign val="superscript"/>
        <sz val="12"/>
        <color theme="1"/>
        <rFont val="Calibri (Body)"/>
      </rPr>
      <t>1</t>
    </r>
  </si>
  <si>
    <t>Indirect Site EF (tCO2/unit)</t>
  </si>
  <si>
    <t>Indirect EF (tCO2/unit)</t>
  </si>
  <si>
    <t>Indirect Emissions (tCO2)</t>
  </si>
  <si>
    <t>Coking coal</t>
  </si>
  <si>
    <t>Solid Fuel Inputs</t>
  </si>
  <si>
    <t>t</t>
  </si>
  <si>
    <t>Default</t>
  </si>
  <si>
    <t>Anthracite</t>
  </si>
  <si>
    <t>Other bituminous coal</t>
  </si>
  <si>
    <t>Sub bituminous coal</t>
  </si>
  <si>
    <t>Lignite</t>
  </si>
  <si>
    <t>Heavy oil (Residual Fuel Oil)</t>
  </si>
  <si>
    <t>Liquid and Gas Fuel Inputs</t>
  </si>
  <si>
    <t>Light fuel oil (Diesel)</t>
  </si>
  <si>
    <t>LPG</t>
  </si>
  <si>
    <t>Natural Gas</t>
  </si>
  <si>
    <t>Bauxite ore</t>
  </si>
  <si>
    <t>Metallic materials</t>
  </si>
  <si>
    <t>Aluminum hydroxide</t>
  </si>
  <si>
    <t>Alumina</t>
  </si>
  <si>
    <t>Ore-based aluminum ingot (min 99.7% purity)</t>
  </si>
  <si>
    <t>Petroleum coke</t>
  </si>
  <si>
    <t>Anode materials</t>
  </si>
  <si>
    <t>These direct emissions will be calculated in process emissions</t>
  </si>
  <si>
    <t>Coal tar pitch</t>
  </si>
  <si>
    <t>Green anode</t>
  </si>
  <si>
    <t>Baked anode (Prebake)</t>
  </si>
  <si>
    <t>Paste  (Søderberg)</t>
  </si>
  <si>
    <t>Caustic Soda</t>
  </si>
  <si>
    <t>Ancillary material Inputs</t>
  </si>
  <si>
    <t>Soda ash</t>
  </si>
  <si>
    <t>Aluminum fluoride</t>
  </si>
  <si>
    <t>Lime</t>
  </si>
  <si>
    <t>Petrol coke calcination</t>
  </si>
  <si>
    <t>Process Emissions</t>
  </si>
  <si>
    <t>t green coke</t>
  </si>
  <si>
    <t>Not applicable for processing</t>
  </si>
  <si>
    <t>Not applicable</t>
  </si>
  <si>
    <t>Anode baking</t>
  </si>
  <si>
    <t>t baked anode</t>
  </si>
  <si>
    <t>Prebake anode consumption</t>
  </si>
  <si>
    <t>Søderberg paste consumption</t>
  </si>
  <si>
    <t xml:space="preserve">t paste </t>
  </si>
  <si>
    <t>Ingot casting</t>
  </si>
  <si>
    <t>t ingot</t>
  </si>
  <si>
    <t>Power contract</t>
  </si>
  <si>
    <t>Purchased power</t>
  </si>
  <si>
    <t>MWh</t>
  </si>
  <si>
    <t xml:space="preserve">   Site Specific         </t>
  </si>
  <si>
    <t>Grid electricity</t>
  </si>
  <si>
    <t>Default -&gt; choose region below</t>
  </si>
  <si>
    <t>Country (Regional) EF</t>
  </si>
  <si>
    <t>Self-generated energy (Non-CHP)</t>
  </si>
  <si>
    <t>Self-generated energy</t>
  </si>
  <si>
    <t>Self-generated energy (CHP)</t>
  </si>
  <si>
    <t>Steam</t>
  </si>
  <si>
    <t>PFC emissions from eletrolysis</t>
  </si>
  <si>
    <t>Electrolysis Technology</t>
  </si>
  <si>
    <t>Total processed</t>
  </si>
  <si>
    <t>EF Type</t>
  </si>
  <si>
    <t>Site EF</t>
  </si>
  <si>
    <t>EF 
(t CO2 eq/unit)</t>
  </si>
  <si>
    <t>Center Work Prebake</t>
  </si>
  <si>
    <t>t Al</t>
  </si>
  <si>
    <t>Side Work Prebake</t>
  </si>
  <si>
    <t>Vertical Stud Søderberg</t>
  </si>
  <si>
    <t>Horizontal Stud Søderberg</t>
  </si>
  <si>
    <t>(2) Scrap-based production activities (remelting, refining, casting)</t>
  </si>
  <si>
    <t>Direct Emissions</t>
  </si>
  <si>
    <t>Indirect Emissions</t>
  </si>
  <si>
    <t>Purchased scrap</t>
  </si>
  <si>
    <t>Metallic inputs</t>
  </si>
  <si>
    <t>Liquid ore-based aluminum</t>
  </si>
  <si>
    <t>Scrap-based ingot (or mixed ingot)</t>
  </si>
  <si>
    <t>Site Specific</t>
  </si>
  <si>
    <t>Remelting/refining</t>
  </si>
  <si>
    <t>Processing</t>
  </si>
  <si>
    <t>(3) Semi-fabrication</t>
  </si>
  <si>
    <t>Any scrap-based ingot or mixed ingot used?</t>
  </si>
  <si>
    <t>Yes</t>
  </si>
  <si>
    <t>Fraction of scrap-based content? (%)</t>
  </si>
  <si>
    <t>Hot rolling</t>
  </si>
  <si>
    <t>Cold rolling</t>
  </si>
  <si>
    <t>Extrusion</t>
  </si>
  <si>
    <t>Shape casting</t>
  </si>
  <si>
    <t>Scroll to the right for "Primary Data Definitions" and Fixed System Boundary</t>
  </si>
  <si>
    <t>Summary Output</t>
  </si>
  <si>
    <t>All the product and asset specific information entered on all the other tabs is collated and summarised in this tab. 
Table 1 contains all the information that should be reported to downstream buyers of aluminum semis and other aluminum products. It contains the information that should be reported against the two boundaries. It also contains information that should be reported for the product as a whole under the “Basic Information” sheet. This is in line with the Horizon Zero Aluminum Emissions Reporting Guidance. Some of these data fields are (expected to be) part of the "metals extension" to the Pathfinder Framework for GHG accounting and data exchange. The Pathfinder Framework was developed by Partnership for Carbon Transparency (PACT) and powered by World Business Council for Sustainable Development (WBCSD). See the Technical Specifications for PCF Data Exchange (https://wbcsd.github.io/data-exchange-protocol/v2/) to get a sense of all the data fields mandated by the Pathfinder framework.
The emission intensity values include GHG emissions from mining of the raw materials and material inputs all the way to the manufacturing processes that produce the various aluminum products.</t>
  </si>
  <si>
    <t xml:space="preserve">Table 1 - Summarised output for reporting </t>
  </si>
  <si>
    <t>Basic Information</t>
  </si>
  <si>
    <t>Units/Notes</t>
  </si>
  <si>
    <t>Company Name</t>
  </si>
  <si>
    <t>The name of the company reporting the PCF</t>
  </si>
  <si>
    <t>Country of production</t>
  </si>
  <si>
    <t>The country of production, in ISO 3166-2</t>
  </si>
  <si>
    <t>Product Name</t>
  </si>
  <si>
    <t xml:space="preserve">The trade name of the Product </t>
  </si>
  <si>
    <t>Product Description</t>
  </si>
  <si>
    <t>The free-form description of the product plus other information related to it such as production technology or packaging.</t>
  </si>
  <si>
    <t>Product CPC Code</t>
  </si>
  <si>
    <t>A UN Product Classification Code (CPC) that the given product belongs to.</t>
  </si>
  <si>
    <t xml:space="preserve">Declared Unit </t>
  </si>
  <si>
    <t>The unit of analysis of the product.</t>
  </si>
  <si>
    <t xml:space="preserve">Product Amount </t>
  </si>
  <si>
    <t>The amount of Declared Units contained within the product to which the PCF is referring to.</t>
  </si>
  <si>
    <t>Product Carbon Footprint (fossilGhgEmissions)</t>
  </si>
  <si>
    <t>metric tons of CO2e per unit declared unit</t>
  </si>
  <si>
    <t>Representative time period start</t>
  </si>
  <si>
    <t>The start (including) of the time boundary for which the PCF value is considered to be representative. In YYYY-MM-DD format</t>
  </si>
  <si>
    <t>Representative time period end</t>
  </si>
  <si>
    <t>The end (excluding) of the time boundary for which the PCF value is considered to be representative. In YYYY-MM-DD format</t>
  </si>
  <si>
    <t>Cross Sectoral Standard</t>
  </si>
  <si>
    <t> </t>
  </si>
  <si>
    <t>The cross-sectoral standards applied for calculating or allocating GHG emissions</t>
  </si>
  <si>
    <t>Characterization Factors</t>
  </si>
  <si>
    <t>The IPCC version of the GWP characterization factors used in the calculation of the PCF</t>
  </si>
  <si>
    <t>Share of Primary data</t>
  </si>
  <si>
    <t>Percentage of the total emissions</t>
  </si>
  <si>
    <t>Benchmarking boundary footprint</t>
  </si>
  <si>
    <t>Start Date (YYYY-MM-DD)</t>
  </si>
  <si>
    <t>End Date (YYYY-MM-DD)</t>
  </si>
  <si>
    <t xml:space="preserve">Value added product (VAP) description </t>
  </si>
  <si>
    <t>Emission Intensity of VAP (cutoff)</t>
  </si>
  <si>
    <t>tCO2e/t VAP</t>
  </si>
  <si>
    <t>Emission Intensity of VAP (allocation)</t>
  </si>
  <si>
    <t>Share of scrap-based content</t>
  </si>
  <si>
    <t>Percentage of the total product</t>
  </si>
  <si>
    <t>Post-consumer scrap share</t>
  </si>
  <si>
    <t>Mine-to-smelter product description</t>
  </si>
  <si>
    <t>High Purity P1020 ingots</t>
  </si>
  <si>
    <t>Brief description of the product that comes from the smelter. In some cases it is "high purity primary ingots". In other cases it is "molten aluminum"</t>
  </si>
  <si>
    <t>Mine-to-smelter country of production</t>
  </si>
  <si>
    <t>Mine-to-smelter  emission intensity</t>
  </si>
  <si>
    <t>tCO2e/t Al</t>
  </si>
  <si>
    <t>Full boundary footprint</t>
  </si>
  <si>
    <t>Product description</t>
  </si>
  <si>
    <t>Rolled aluminum sheet of 1 mm thickness</t>
  </si>
  <si>
    <t>Give a brief description of the kind of product for which the metrics are reported</t>
  </si>
  <si>
    <t>Product amount</t>
  </si>
  <si>
    <t>metric tons</t>
  </si>
  <si>
    <t>US</t>
  </si>
  <si>
    <t>Emission Intensity of semis (cutoff)</t>
  </si>
  <si>
    <t>tCO2e/t semis</t>
  </si>
  <si>
    <t>Emission Intensity of semis (allocation)</t>
  </si>
  <si>
    <t>id</t>
  </si>
  <si>
    <t>specVersion</t>
  </si>
  <si>
    <t>version</t>
  </si>
  <si>
    <t>created</t>
  </si>
  <si>
    <t>status</t>
  </si>
  <si>
    <t>companyName</t>
  </si>
  <si>
    <t>companyIds</t>
  </si>
  <si>
    <t>productDescription</t>
  </si>
  <si>
    <t>productIds</t>
  </si>
  <si>
    <t>productCategoryCpc</t>
  </si>
  <si>
    <t>productNameCompany</t>
  </si>
  <si>
    <t>comment</t>
  </si>
  <si>
    <t>pcf.declaredUnit</t>
  </si>
  <si>
    <t>pcf.unitaryProductAmount</t>
  </si>
  <si>
    <t>pcf.pCfExcludingBiogenic</t>
  </si>
  <si>
    <t>pcf.fossilGhgEmissions</t>
  </si>
  <si>
    <t>pcf.fossilCarbonContent</t>
  </si>
  <si>
    <t>pcf.biogenicCarbonContent</t>
  </si>
  <si>
    <t>pcf.characterizationFactors</t>
  </si>
  <si>
    <t>pcf.crossSectoralStandardsUsed</t>
  </si>
  <si>
    <t>pcf.boundaryProcessDescription</t>
  </si>
  <si>
    <t>pcf.referencePeriodStart</t>
  </si>
  <si>
    <t>pcf.referencePeriodEnd</t>
  </si>
  <si>
    <t>pcf.geographyCountry</t>
  </si>
  <si>
    <t>pcf.exemptedEmissionsPercent</t>
  </si>
  <si>
    <t>pcf.exemptedEmissionsDescription</t>
  </si>
  <si>
    <t>pcf.primaryDataShare</t>
  </si>
  <si>
    <t>ext.specVersion</t>
  </si>
  <si>
    <t>ext.dataSchema</t>
  </si>
  <si>
    <t>ext.documentation</t>
  </si>
  <si>
    <t>ext.data.bf.referencePeriodStart</t>
  </si>
  <si>
    <t>ext.data.bf.referencePeriodEnd</t>
  </si>
  <si>
    <t>ext.data.bf.ms.productDescription</t>
  </si>
  <si>
    <t>ext.data.bf.ms.productAmount</t>
  </si>
  <si>
    <t>ext.data.bf.ms.productDeclaredUnit</t>
  </si>
  <si>
    <t>ext.data.bf.ms.mineToSmelterGhgEmissions</t>
  </si>
  <si>
    <t>ext.data.bf.ms.mineToSmelter.geographyCountry</t>
  </si>
  <si>
    <t>ext.bf.va.productDescription</t>
  </si>
  <si>
    <t>ext.bf.va.productAmount</t>
  </si>
  <si>
    <t>ext.bf.va.productDeclaredUnit</t>
  </si>
  <si>
    <t>ext.bf.va.ghgEmissionsCutoff</t>
  </si>
  <si>
    <t>ext.bf.va.ghgEmissionsAllocation</t>
  </si>
  <si>
    <t>ext.data.bf.va.scrapBasedShare</t>
  </si>
  <si>
    <t>ext.data.bf.postConsumerScrapBasedShare</t>
  </si>
  <si>
    <t>ext.data.fb.referencePeriodStartEnd</t>
  </si>
  <si>
    <t>ext.data.fb.referencePeriodEnd</t>
  </si>
  <si>
    <t>ext.data.fb.productDescription</t>
  </si>
  <si>
    <t>ext.data.fb.productAmount</t>
  </si>
  <si>
    <t xml:space="preserve">ext.data.fb.productDeclaredUnit </t>
  </si>
  <si>
    <t>ext.data.fb.ghgEmissionsCutoff</t>
  </si>
  <si>
    <t>ext.data.fb.ghgEmissionsAllocation</t>
  </si>
  <si>
    <t xml:space="preserve">ext.data.fb.geographyCountry </t>
  </si>
  <si>
    <t>ext.data.fb.primaryDataShare</t>
  </si>
  <si>
    <t>2.0.1-20230720</t>
  </si>
  <si>
    <t>Active</t>
  </si>
  <si>
    <t>RMI Aluminum Emissions Reporting Guidance</t>
  </si>
  <si>
    <t>https://github.com/RMI/aluminum-guidance/blob/main/specs/aluminum_schema.json</t>
  </si>
  <si>
    <t>https://github.com/RMI/aluminum-guidance/blob/main/specs/aluminum_technical_specification.md</t>
  </si>
  <si>
    <t>metric tons of Al</t>
  </si>
  <si>
    <t>metric tons of VAP</t>
  </si>
  <si>
    <t>Bauxite Mining</t>
  </si>
  <si>
    <t>This tab is for emissions data from bauxite mining. 
Ownership data and production volume should be entered in Table 1. The total emissions in Table 1 include emissions from the mining process as well as emissions associated with the production of input materials.
Any emissions intensities of purchased material (that are not fuel/energy sources) should be entered in Table 2. 
Asset specific emissions data (associated with fuel and energy use on-site) should be entered in Table 3.</t>
  </si>
  <si>
    <t>Table 1 - Emission Intensity</t>
  </si>
  <si>
    <t>Asset</t>
  </si>
  <si>
    <t>Ownership %</t>
  </si>
  <si>
    <t>Production (t Bauxite)</t>
  </si>
  <si>
    <t>Emissions (tCO2e)</t>
  </si>
  <si>
    <t>Emissions intensity (tCO2e/t Bauxite)</t>
  </si>
  <si>
    <t>Total Emissions based on Primary Data (tCO2e)</t>
  </si>
  <si>
    <t>Primary Data Share</t>
  </si>
  <si>
    <t xml:space="preserve">Total </t>
  </si>
  <si>
    <t>Weighted</t>
  </si>
  <si>
    <t>Total</t>
  </si>
  <si>
    <t>-</t>
  </si>
  <si>
    <t xml:space="preserve">Table 2 - Emissions of Input materials </t>
  </si>
  <si>
    <t>Emissions source</t>
  </si>
  <si>
    <t>Source</t>
  </si>
  <si>
    <t>Default EF (tCO2e/unit)</t>
  </si>
  <si>
    <t>Purchased/
consumed</t>
  </si>
  <si>
    <t>EF selection</t>
  </si>
  <si>
    <t>Site EF
(tCO2e/unit)</t>
  </si>
  <si>
    <t>Total emissions (tCO2e)</t>
  </si>
  <si>
    <t>Emissions Type</t>
  </si>
  <si>
    <t>Material 1</t>
  </si>
  <si>
    <t>Secondary</t>
  </si>
  <si>
    <t>Material 2</t>
  </si>
  <si>
    <t>Primary</t>
  </si>
  <si>
    <t>Material 3</t>
  </si>
  <si>
    <t>Material 4</t>
  </si>
  <si>
    <t>Material 5</t>
  </si>
  <si>
    <t>Material 6</t>
  </si>
  <si>
    <t>Material 7</t>
  </si>
  <si>
    <t>litre</t>
  </si>
  <si>
    <t>Material 8</t>
  </si>
  <si>
    <t>m3</t>
  </si>
  <si>
    <t>Material 9</t>
  </si>
  <si>
    <t>GJ</t>
  </si>
  <si>
    <t>Total Upstream emissions based on primary data</t>
  </si>
  <si>
    <t>Table 3 Bauxite Mining Emissions</t>
  </si>
  <si>
    <t>Direct fuel use</t>
  </si>
  <si>
    <t>Heavy oil/residual fuel oil</t>
  </si>
  <si>
    <t>Diesel</t>
  </si>
  <si>
    <t>Natural gas</t>
  </si>
  <si>
    <t>Fuel extraction and production</t>
  </si>
  <si>
    <t>Anthracite mining</t>
  </si>
  <si>
    <t>Other bituminous coal mining</t>
  </si>
  <si>
    <t>Sub bituminous coal mining</t>
  </si>
  <si>
    <t>Lignite production</t>
  </si>
  <si>
    <t>Heavy oil/residual fuel oil production</t>
  </si>
  <si>
    <t>Diesel production</t>
  </si>
  <si>
    <t>LPG production</t>
  </si>
  <si>
    <t>Natural gas extraction</t>
  </si>
  <si>
    <t>Fugitive methane</t>
  </si>
  <si>
    <t>Coal - surface mining</t>
  </si>
  <si>
    <t>Coal - underground mining</t>
  </si>
  <si>
    <t>Electricity generation (default emissions factors cover full life-cycle)</t>
  </si>
  <si>
    <t>Coal</t>
  </si>
  <si>
    <t>Oil</t>
  </si>
  <si>
    <t>Other fossil</t>
  </si>
  <si>
    <t>Nuclear</t>
  </si>
  <si>
    <t>Hydro</t>
  </si>
  <si>
    <t>Wind</t>
  </si>
  <si>
    <t>Solar</t>
  </si>
  <si>
    <t>Bioenergy</t>
  </si>
  <si>
    <t>Other renewables</t>
  </si>
  <si>
    <t>Local grid (upstream emissions included)</t>
  </si>
  <si>
    <t>Local grid (without upstream emissions included)</t>
  </si>
  <si>
    <t>Local grid (just upstream emissions)</t>
  </si>
  <si>
    <t>Emissions total</t>
  </si>
  <si>
    <t>Total combustion/electricity emissions from mining based on primary data</t>
  </si>
  <si>
    <t>Alumina Refining</t>
  </si>
  <si>
    <t>This tab is for emissions data from alumina refining assets. 
Ownership data and production volume should be entered in Table 1. The total emissions in Table 1 include emissions from the refining process as well as emissions associated with the production of input materials.
Any emissions intensities of purchased material like caustic soda, calcined lime(that are not fuel/energy sources) should be entered in Table 2. This should include emission intensity of the bauxite that is used in the alumina refining process.
Asset specific emissions data (associated with fuel and energy use on-site) should be entered in Table 3.</t>
  </si>
  <si>
    <t>Production (t Alumina)</t>
  </si>
  <si>
    <t>Emissions intensity (tCO2e/t Alumina)</t>
  </si>
  <si>
    <t>Bauxite</t>
  </si>
  <si>
    <t>Site</t>
  </si>
  <si>
    <t>Caustic soda (NaOH)</t>
  </si>
  <si>
    <t>Calcined lime (CaO)</t>
  </si>
  <si>
    <t>Sulphuric acid</t>
  </si>
  <si>
    <t>Table 3 Alumina Refining Emissions</t>
  </si>
  <si>
    <t>Total combustion/electricity emissions from alumina refining based on primary data</t>
  </si>
  <si>
    <t>Anode Production</t>
  </si>
  <si>
    <t>This tab is for emissions data from anode production. This anode production can be on-site at the primary smelter or it can be at a third-party manufacturing site.
Ownership data and production volume should be entered in Table 1. The total emissions in Table 1 include emissions from the anode making process as well as emissions associated with the production of input materials.
Any emissions intensities of purchased material like calcined coke, coal tar pitch(that are not fuel/energy sources) should be entered in Table 2. 
Asset specific emissions data (associated with fuel and energy use on-site) should be entered in Table 3a. Any process emissions (i.e. not combustion or electricity related emissions) from anode manufacturing should be entered in Table 3b.</t>
  </si>
  <si>
    <t xml:space="preserve">Table 1 - Emission Intensity </t>
  </si>
  <si>
    <t>Production (t baked anode)</t>
  </si>
  <si>
    <t>Emissions intensity (tCO2e/t baked anode)</t>
  </si>
  <si>
    <t>Calcined Coke</t>
  </si>
  <si>
    <t>Coal Tar Pitch</t>
  </si>
  <si>
    <t>Steel</t>
  </si>
  <si>
    <t>Table 3a Anode Production Emissions</t>
  </si>
  <si>
    <t>Total combustion/electricity emissions from anode production based on primary data</t>
  </si>
  <si>
    <t>Table 3b Anode Production  Process Emissions</t>
  </si>
  <si>
    <t>Total Process emissions based on primary data</t>
  </si>
  <si>
    <t xml:space="preserve">Mine to Smelter </t>
  </si>
  <si>
    <t xml:space="preserve">Primary aluminum smelters should enter the emissions data of their smelting processes in this tab. The cells that are in orange need to be filled with user defined data. If primary aluminum ingots are cast at this facility, then the emissions associated with casting of the primary aluminum also should be entered in this tab. 
The total emissions in Table 1 include emissions from the smelting process as well as emissions associated with the production of input materials that go into smelting.
Sometimes scrap (mostly clean pre-consumer scrap) is added to the molten primary aluminum before they are cast into ingots. If additional fuel is required for melting the scrap (i.e. if the latent heat of molten aluminum is not enough to melt the scrap), the emissions associated with this additional fuel must be entered in the "Smelter Casting Scrap Only " tab. The mine-to-smelter emission intensity does not include the additional emissions associated with melting the scrap. When entering the data on production in Table1, do not include the amount of scrap that is added to the molten aluminum. That can be included in the "Smelter Casting Scrap Only " tab.                                                                                                                                                                                                                                                           
Table 2 is for the emissions data of the input materials required for the smelting process. The embodied emissions associated with alloying elements can be replaced with the embodied emissions associated with an equivalent amount of primary aluminum metal.       
Asset specific emissions data (associated with fuel and energy use on-site) should be entered in Table 3a. If this is a facility that makes primary ingots that are then sent to semi-fabricators downstream in order to make value added products (VAPs) and semis products, then include fuel and energy use associated with casting the primary ingots in Table 3a in this tab. If this is a smelting facility that makes VAPs like slabs or billets, then include fuel and energy use associated with casting those VAPs in the "Final Casting" tab. 
The data related to process emissions (i.e. non combustion emissions) at the smelter should be entered in Table 3b. Table 3c has information on perfluorocarbons (PFCs) which are another type of greenhouse gases.                                                                                                                                                                                                                                                                                                                                                                                                                                                                                                                                                                                                                                                                                                                                                                                                                                                                                                                                                                                                                                                                                                                                                                                                                                                                                                                                                                                                                                                                                                                                                                                                                                                                                                                                                                                                                                                                                                                                                                                                                                                                                                                              </t>
  </si>
  <si>
    <t>Production (tAl)</t>
  </si>
  <si>
    <r>
      <t>Emissions intensity (tCO</t>
    </r>
    <r>
      <rPr>
        <b/>
        <vertAlign val="subscript"/>
        <sz val="11"/>
        <color theme="0"/>
        <rFont val="Calibri"/>
        <family val="2"/>
        <scheme val="minor"/>
      </rPr>
      <t>2</t>
    </r>
    <r>
      <rPr>
        <b/>
        <sz val="11"/>
        <color theme="0"/>
        <rFont val="Calibri"/>
        <family val="2"/>
        <scheme val="minor"/>
      </rPr>
      <t>e/t Al)</t>
    </r>
  </si>
  <si>
    <t>Carbon anode</t>
  </si>
  <si>
    <t>Steel (cathodes)</t>
  </si>
  <si>
    <t>Sodium carbonate (Soda Ash)</t>
  </si>
  <si>
    <t>Ramming paste</t>
  </si>
  <si>
    <t>Table 3a Smelting Emissions</t>
  </si>
  <si>
    <t>Total smelting combustion/electricity emissions based on primary data</t>
  </si>
  <si>
    <t>Table 3b Smelting Gate to Gate Process Emissions</t>
  </si>
  <si>
    <t>Total Smelting Gate to Gate process emissions based on primary data</t>
  </si>
  <si>
    <t>Table 3c Smelting Gate to Gate PFC Emissions</t>
  </si>
  <si>
    <t>Electrolysis Process Used</t>
  </si>
  <si>
    <t>Aluminum produced</t>
  </si>
  <si>
    <t>Total Smelting Gate to Gate PFC emissions based on primary data</t>
  </si>
  <si>
    <t xml:space="preserve">Smelting Casting Scrap Only </t>
  </si>
  <si>
    <t xml:space="preserve">If additional fuel is required for melting the scrap (i.e. if the latent heat of molten aluminum is not enough to melt the scrap), the fuel/energy consumption data should be entered in this tab. Tables 1a, 1b show the emission intensities of just the scrap portion of the aluminum coming out of the primary smelting facility. Table 1a shows the overall emission intensity of the scrap based on the cutoff method i.e. assuming there are no embodied emissions associated with scrap (especially pre consumer scrap). Table 1b shows the emission intensity based on the allocation method                                                                                                                                                                                                                                                               
Table 2a, 2b are for the emissions data of the scrap input materials. Table 2a is for emission intensity of the scrap input calculated using the cutoff method. Table 2b is for emission intensities calculated using an allocation method.
                                                                                                                                                                                                                                                                                                                                                                                                                                                                                                                                                                                                      Asset specific fuel and energy use attributed to melting of only the scrap input should be entered in Table 3.                                                                                                                                                            </t>
  </si>
  <si>
    <t>Table 1a - Emission Intensity of Scrap only (Cutoff method)</t>
  </si>
  <si>
    <t>Emissions intensity (tCO2e/t Al)</t>
  </si>
  <si>
    <t>Table 1b - Emission Intensity of Scrap only (Allocation method)</t>
  </si>
  <si>
    <t>Table 1c - Emission Intensity of Primary Ingot/Molten Aluminum (including scrap components) (Cutoff method)</t>
  </si>
  <si>
    <t>Table 2a - Upstream emissions (Cutoff Method)</t>
  </si>
  <si>
    <t>Input material</t>
  </si>
  <si>
    <t>Input mass (t)</t>
  </si>
  <si>
    <t>Recoverable Al content - theoretical yield (%)</t>
  </si>
  <si>
    <t>Recoverable Aluminum (t)</t>
  </si>
  <si>
    <t>Intensity
(tCO2e/unit)</t>
  </si>
  <si>
    <t>Pre Consumer Scrap</t>
  </si>
  <si>
    <t>From Supplier</t>
  </si>
  <si>
    <t>Material 10</t>
  </si>
  <si>
    <t>Table 2b - Upstream emissions (Allocation Method)</t>
  </si>
  <si>
    <t>Output mass (t)</t>
  </si>
  <si>
    <t>Table 3 Scrap melting/casting emissions</t>
  </si>
  <si>
    <t>Total Scrap melting/casting emissions based on primary data</t>
  </si>
  <si>
    <t>Final Casting</t>
  </si>
  <si>
    <t xml:space="preserve">Semi-fabricators should enter the emissions data of their scrap remelting and casting processes in this tab. Smelters that make value added products (VAPs) like slabs, billets also should enter the information related to the final casting process in this tab. The cells that are in orange need to be filled with user defined data.                                                                                                                                                                                                                                                             
The total emissions in Tables 1a and 1b include emissions from the casting process as well as emissions associated with the production of input materials that are included in our guidance.
Table 2a, 2b are for the emissions data of the metal input materials (including unalloyed aluminum ingots, remelt scrap ingots, pre-consumer scrap, post-consumer scrap, molten aluminum coming from smelter casthouses, aluminum recovered from dross). Table 2a is for emission intensities calculated using the cutoff method i.e. assuming there are no embodied emissions associated with scrap (especially pre consumer scrap).  
The embodied emissions associated with alloying elements can be replaced with the embodied emissions associated with an equivalent amount of primary aluminum metal.                                                                                                                                                                                                                                                                                                                                           
Asset specific emissions data (associated with fuel and energy use on-site) should be entered in Table 3.                                                                                                                                                  </t>
  </si>
  <si>
    <t>Table 1a - Emission Intensity (Cutoff method)</t>
  </si>
  <si>
    <t>Table 1b - Emission Intensity (Allocation method)</t>
  </si>
  <si>
    <t>Table 1c - Scrap Content</t>
  </si>
  <si>
    <t>Product Components</t>
  </si>
  <si>
    <t>Quantity</t>
  </si>
  <si>
    <t>% share of total production</t>
  </si>
  <si>
    <t>Weighted Quantity</t>
  </si>
  <si>
    <t>% share of total weighted production</t>
  </si>
  <si>
    <t>Total Production (t)</t>
  </si>
  <si>
    <t>Total Scrap Share (t)</t>
  </si>
  <si>
    <t>Post-Consumer Scrap Share (t)</t>
  </si>
  <si>
    <t>When entering emission intensities for aluminum coming out of the primary smelter, enter the emission intensity for the primary metal portion and the scrap portion separately. In other words enter the emission intensity values from table 1 in the "Mine to Smelter" tab and table 1a in the "Smelting Casting Scrap Only" tab separately. For example, if 20,000 tons of primary aluminum ingots (or molten aluminum) was made from 17,000 tons of ore based aluminum mixed with 3000 tons of pe consumer scrap in the primary smelter, then the emission intensities of the 17,000 tons portion and the 3000 tons portion should be entered separately.</t>
  </si>
  <si>
    <t>Primary Aluminum ingots or molten aluminum (unalloyed)</t>
  </si>
  <si>
    <t>Alloying elements/master alloys</t>
  </si>
  <si>
    <t>Al recovered from dross/other wastes</t>
  </si>
  <si>
    <t>Post Consumer Scrap</t>
  </si>
  <si>
    <t>Pre Consumer Scrap (in primary aluminum)</t>
  </si>
  <si>
    <t>When entering emission intensities for aluminum coming out of the primary smelter, enter the emission intensity for the primary metal portion and the scrap portion separately. In other words enter the emission intensity values from table 1 in the "Mine to Smelter" tab and table 1b in the "Smelting Casting Scrap Only" tab separately</t>
  </si>
  <si>
    <t>Table 3 Remelting/Casting Emissions</t>
  </si>
  <si>
    <t>Total Remelting/Casting Emissions based on primary data</t>
  </si>
  <si>
    <t>Semi-Fabrication</t>
  </si>
  <si>
    <t xml:space="preserve">Semi-fabricators should enter the emissions data of their semi-fabrication assets in this tab. The cells that are in orange need to be filled with user defined data.                                                                                                                                                                                                                         Ownership data and production volume should be entered in Table 1a, 1b. The total emissions in Table 1a, 1b include emissions from the semi-fabrication process as well as emissions associated with the production of input materials.
Tables 2a, 2b is for the emissions data of the metal input materials (Value Added Products (VAPs)). Table 2a is for emission intensities calculated using the cutoff method i.e. assuming there are no embodied emissions associated with scrap (especially pre consumer scrap).  Table 2b is for emission intensities calculated using an allocation method.              
The embodied emissions associated with alloying elements can be replaced with the embodied emissions associated with an equivalent amount of primary aluminum metal.                                                                                                                                                                                                  
Asset specific emissions data (associated with fuel and energy use on-site) should be entered in Table 3.                                                                                                                                                                                                                                                                                                                                                                                                             </t>
  </si>
  <si>
    <t>Table 1b - Emission Intensity (Allocation Method)</t>
  </si>
  <si>
    <t>Table 2a - Input Material Upstream Emissions (Cutoff Method)</t>
  </si>
  <si>
    <t>Input material - Value Added Products (VAPs)</t>
  </si>
  <si>
    <t>Theoretical yield (%)</t>
  </si>
  <si>
    <t>Total Emissions (tCO2e)</t>
  </si>
  <si>
    <t>Slabs</t>
  </si>
  <si>
    <t>Table 2b - Input Material Upstream Emissions (Allocation Method)</t>
  </si>
  <si>
    <t>Table 3 Semi-Fabrication Emissions</t>
  </si>
  <si>
    <t>Total Semi-Fabrication Emissions based on primary data</t>
  </si>
  <si>
    <t>Country/Region-level emission factors</t>
  </si>
  <si>
    <t xml:space="preserve">Electrolysis process PFC Emissions </t>
  </si>
  <si>
    <t>Global warming potentials</t>
  </si>
  <si>
    <t>Country EF</t>
  </si>
  <si>
    <t>Greenhouse Gas</t>
  </si>
  <si>
    <t>GWP-100 yr</t>
  </si>
  <si>
    <t>Afghanistan</t>
  </si>
  <si>
    <t>Process Technology</t>
  </si>
  <si>
    <t>EF</t>
  </si>
  <si>
    <t>CO2</t>
  </si>
  <si>
    <t>IPCC AR5</t>
  </si>
  <si>
    <t>Albania</t>
  </si>
  <si>
    <t>IAI-GHG Protocol Al sector tool, 2015</t>
  </si>
  <si>
    <t>CH4</t>
  </si>
  <si>
    <t>Algeria</t>
  </si>
  <si>
    <t>N2O</t>
  </si>
  <si>
    <t>American Samoa</t>
  </si>
  <si>
    <t>CF4</t>
  </si>
  <si>
    <t>Angola</t>
  </si>
  <si>
    <t>C2F6</t>
  </si>
  <si>
    <t>Antigua and Barbuda</t>
  </si>
  <si>
    <t>Argentina</t>
  </si>
  <si>
    <t>Armenia</t>
  </si>
  <si>
    <t>Aruba</t>
  </si>
  <si>
    <t>Direct and Indirect Emission factors</t>
  </si>
  <si>
    <t>Australia (average)</t>
  </si>
  <si>
    <t>Australia, new south wales and australian capital territory</t>
  </si>
  <si>
    <t>Fuel</t>
  </si>
  <si>
    <t>Direct EF</t>
  </si>
  <si>
    <t>Units</t>
  </si>
  <si>
    <t>Indirect EF</t>
  </si>
  <si>
    <t>Density</t>
  </si>
  <si>
    <t>Heating Value (TJ/Gg)(TJ/1000t)</t>
  </si>
  <si>
    <t>Australia, northern territory</t>
  </si>
  <si>
    <t>t Co2eq</t>
  </si>
  <si>
    <t>IPCC, 2006 with IPCC, AR5 100yr GWP</t>
  </si>
  <si>
    <t>tCO2 e/t</t>
  </si>
  <si>
    <t>IAI Scope 3 Calculation Tool, 2022</t>
  </si>
  <si>
    <t>Australia, queensland</t>
  </si>
  <si>
    <t>IPCC, 2019 with IPCC, AR5 100yr GWP</t>
  </si>
  <si>
    <t>Australia, south australia</t>
  </si>
  <si>
    <t>Australia, tasmania</t>
  </si>
  <si>
    <t>Australia, victoria</t>
  </si>
  <si>
    <t>Australia, western australia—south-west interconnected system (swis)</t>
  </si>
  <si>
    <t>L</t>
  </si>
  <si>
    <t>tCO2 e/L</t>
  </si>
  <si>
    <t>kg/L</t>
  </si>
  <si>
    <t>Austria</t>
  </si>
  <si>
    <t>Azerbaijan</t>
  </si>
  <si>
    <t>Bahrain</t>
  </si>
  <si>
    <t>tCO2 e/m3</t>
  </si>
  <si>
    <t>Bangladesh</t>
  </si>
  <si>
    <t>tCO2 e/GJ</t>
  </si>
  <si>
    <t>Barbados</t>
  </si>
  <si>
    <t>no carbon content</t>
  </si>
  <si>
    <t>Belarus</t>
  </si>
  <si>
    <t>City of Winnipeg, CO2 emission factors database</t>
  </si>
  <si>
    <t>Standard Units and Conversions</t>
  </si>
  <si>
    <t>Belgium</t>
  </si>
  <si>
    <t>Belize</t>
  </si>
  <si>
    <t>IAI Statistics (2018) , transport and casting excluded (cradle-to-gate)</t>
  </si>
  <si>
    <t>metric ton</t>
  </si>
  <si>
    <r>
      <t>m</t>
    </r>
    <r>
      <rPr>
        <vertAlign val="superscript"/>
        <sz val="12"/>
        <color theme="1"/>
        <rFont val="Calibri"/>
        <family val="2"/>
        <scheme val="minor"/>
      </rPr>
      <t>3</t>
    </r>
  </si>
  <si>
    <t>https://www.epa.gov/cmop/coal-mine-methane-units-converter</t>
  </si>
  <si>
    <t>Benin</t>
  </si>
  <si>
    <t>IAI Statistics (2018), transport excluded (cradle-to-gate)</t>
  </si>
  <si>
    <t>Gas/Diesel oil</t>
  </si>
  <si>
    <t>IPCC,2006</t>
  </si>
  <si>
    <t>Bermuda</t>
  </si>
  <si>
    <t>Emissions from collection are outside the fixed boundary</t>
  </si>
  <si>
    <t>Residual fuel oil</t>
  </si>
  <si>
    <t>IPCC,2007</t>
  </si>
  <si>
    <t>Bhutan</t>
  </si>
  <si>
    <t>site specific</t>
  </si>
  <si>
    <t>Liquified Petroleum Gases</t>
  </si>
  <si>
    <t>IPCC,2008</t>
  </si>
  <si>
    <t>Bolivia</t>
  </si>
  <si>
    <t>na</t>
  </si>
  <si>
    <t xml:space="preserve">Base Carbone database </t>
  </si>
  <si>
    <t>Bosnia and Herzegovina</t>
  </si>
  <si>
    <t>Botswana</t>
  </si>
  <si>
    <t>Cradle-to-gate EF: Upstream (0.435), coke calcination and fuel emissions for green anode production (0.386 t CO2e/t green anode from IAI LCI)</t>
  </si>
  <si>
    <t>Brazil</t>
  </si>
  <si>
    <t>British Virgin Islands</t>
  </si>
  <si>
    <t>Brunei</t>
  </si>
  <si>
    <t>Cradle-to-gate EF: coke and pitch upstream (0.495 t CO2e/t paste), coke calcination (0.154 t CO2e/t paste), fuel emissions for pitch production (0.016 t CO2e/t paste, IAI LCI)</t>
  </si>
  <si>
    <t>Bulgaria</t>
  </si>
  <si>
    <t>Burkina Faso</t>
  </si>
  <si>
    <t>IAI-GHG Protocol Al sector tool, 2015 </t>
  </si>
  <si>
    <t>Burma</t>
  </si>
  <si>
    <t xml:space="preserve">Peng et al., 2019 </t>
  </si>
  <si>
    <t>Burundi</t>
  </si>
  <si>
    <t>t lime</t>
  </si>
  <si>
    <t>Cabo Verde</t>
  </si>
  <si>
    <t>Cambodia</t>
  </si>
  <si>
    <t>IAI-GHG Protocol Al sector tool, 2015  (Packing coke and pitch volatiles combustion)</t>
  </si>
  <si>
    <t>Cameroon</t>
  </si>
  <si>
    <t>t baked anode consumed</t>
  </si>
  <si>
    <t>Standard Aluminum recoverable yields</t>
  </si>
  <si>
    <t>Canada (average)</t>
  </si>
  <si>
    <t>t paste consumed</t>
  </si>
  <si>
    <t>Input</t>
  </si>
  <si>
    <t>Default recoverable Al content - theoretical yield (%)</t>
  </si>
  <si>
    <t>Canada, Alberta</t>
  </si>
  <si>
    <t>IAI Statistics</t>
  </si>
  <si>
    <t>Electrolytic (liquid) tapped from pots</t>
  </si>
  <si>
    <t>Canada, British Columbia</t>
  </si>
  <si>
    <t>t aluminum</t>
  </si>
  <si>
    <t>AA, 2022</t>
  </si>
  <si>
    <t>Other liquid aluminium</t>
  </si>
  <si>
    <t>Canada, Manitoba</t>
  </si>
  <si>
    <t>t semis</t>
  </si>
  <si>
    <t>AA, 2013</t>
  </si>
  <si>
    <t>Unalloyed aluminium ingot (primary ingot)</t>
  </si>
  <si>
    <t>Canada, New Brunswick</t>
  </si>
  <si>
    <t>Canada, Newfoundland and Labrador</t>
  </si>
  <si>
    <t>Other cast metal input (incl. Remelt Scrap Ingot)</t>
  </si>
  <si>
    <t>Canada, Northwest Territories</t>
  </si>
  <si>
    <t>Post-consumer scrap</t>
  </si>
  <si>
    <t>Canada, Nova Scotia</t>
  </si>
  <si>
    <t>Canada, Nunavut</t>
  </si>
  <si>
    <t>Nepheline</t>
  </si>
  <si>
    <t>Other scrap (incl. pre-consumer, not incl. run-around - netted out)</t>
  </si>
  <si>
    <t>Canada, Ontario</t>
  </si>
  <si>
    <t>Explosives</t>
  </si>
  <si>
    <t>Canada, Prince Edward Island</t>
  </si>
  <si>
    <t>Canada, Quebec</t>
  </si>
  <si>
    <t>Fugitive Methane Emission Factors</t>
  </si>
  <si>
    <t>Canada, Saskatchewan</t>
  </si>
  <si>
    <t>Canada, Yukon</t>
  </si>
  <si>
    <t>Kholod et al., 2020</t>
  </si>
  <si>
    <t>Cayman Islands</t>
  </si>
  <si>
    <t>Kholod et al., 2021</t>
  </si>
  <si>
    <t>Central African Republic</t>
  </si>
  <si>
    <t>Littlefield et al., 2017</t>
  </si>
  <si>
    <t>Chad</t>
  </si>
  <si>
    <t>Chile</t>
  </si>
  <si>
    <t>China</t>
  </si>
  <si>
    <t>Colombia</t>
  </si>
  <si>
    <t>Lifecycle EF</t>
  </si>
  <si>
    <t>Comoros</t>
  </si>
  <si>
    <t>IPCC AR5 WG 3, 2014</t>
  </si>
  <si>
    <t>Congo-Brazzaville</t>
  </si>
  <si>
    <t>Congo-Kinshasa</t>
  </si>
  <si>
    <t>World Nuclear Association, 2011</t>
  </si>
  <si>
    <t>Cook Islands</t>
  </si>
  <si>
    <t>Costa Rica</t>
  </si>
  <si>
    <t>Cote d'Ivoire</t>
  </si>
  <si>
    <t>Croatia</t>
  </si>
  <si>
    <t>Cuba</t>
  </si>
  <si>
    <t>Cyprus</t>
  </si>
  <si>
    <t>Czech Republic</t>
  </si>
  <si>
    <t>Denmark</t>
  </si>
  <si>
    <t>Local grid</t>
  </si>
  <si>
    <t>N/A</t>
  </si>
  <si>
    <t>Djibouti</t>
  </si>
  <si>
    <t>Dominica</t>
  </si>
  <si>
    <t>Electricity generation (default emissions factors upstream emissions - (including infrastructure, supply chain, biogenic CO2 emissions, methane emissions))</t>
  </si>
  <si>
    <t>Dominican Republic</t>
  </si>
  <si>
    <t>Upstream EF</t>
  </si>
  <si>
    <t>Ecuador</t>
  </si>
  <si>
    <t>Egypt</t>
  </si>
  <si>
    <t>El Salvador</t>
  </si>
  <si>
    <t>Equatorial Guinea</t>
  </si>
  <si>
    <t>Eritrea</t>
  </si>
  <si>
    <t>Estonia</t>
  </si>
  <si>
    <t>Eswatini</t>
  </si>
  <si>
    <t>Ethiopia</t>
  </si>
  <si>
    <t>EU-27</t>
  </si>
  <si>
    <t>EU27+1</t>
  </si>
  <si>
    <t>Falkland Islands</t>
  </si>
  <si>
    <t>Faroe Islands</t>
  </si>
  <si>
    <t>Fiji</t>
  </si>
  <si>
    <t>Finland</t>
  </si>
  <si>
    <t>France</t>
  </si>
  <si>
    <t>French Guiana</t>
  </si>
  <si>
    <t>French Polynesia</t>
  </si>
  <si>
    <t>Gabon</t>
  </si>
  <si>
    <t>Gambia, The</t>
  </si>
  <si>
    <t>Georgia</t>
  </si>
  <si>
    <t>Germany</t>
  </si>
  <si>
    <t>Ghana</t>
  </si>
  <si>
    <t>Gibraltar</t>
  </si>
  <si>
    <t>Greece</t>
  </si>
  <si>
    <t>Greenland</t>
  </si>
  <si>
    <t>Grenada</t>
  </si>
  <si>
    <t>Guadeloupe</t>
  </si>
  <si>
    <t>Guam</t>
  </si>
  <si>
    <t>Guatemala</t>
  </si>
  <si>
    <t>Guinea</t>
  </si>
  <si>
    <t>Guinea-Bissau</t>
  </si>
  <si>
    <t>Guyana</t>
  </si>
  <si>
    <t>Haiti</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</si>
  <si>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</si>
  <si>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</si>
  <si>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</si>
  <si>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</si>
  <si>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</si>
  <si>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</si>
  <si>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</si>
  <si>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</si>
  <si>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</si>
  <si>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</si>
  <si>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</si>
  <si>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</si>
  <si>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</si>
  <si>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</si>
  <si>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</si>
  <si>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</si>
  <si>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</si>
  <si>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</si>
  <si>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</si>
  <si>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</si>
  <si>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</si>
  <si>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</si>
  <si>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</si>
  <si>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</si>
  <si>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</si>
  <si>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</si>
  <si>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Lithuania</t>
  </si>
  <si>
    <t>Luxembourg</t>
  </si>
  <si>
    <t>Macau</t>
  </si>
  <si>
    <t>Madagascar</t>
  </si>
  <si>
    <t>Malawi</t>
  </si>
  <si>
    <t>Malaysia</t>
  </si>
  <si>
    <t>Maldives</t>
  </si>
  <si>
    <t>Mali</t>
  </si>
  <si>
    <t>Malta</t>
  </si>
  <si>
    <t>Martinique</t>
  </si>
  <si>
    <t>Mauritania</t>
  </si>
  <si>
    <t>Mauritius</t>
  </si>
  <si>
    <t>Mexico</t>
  </si>
  <si>
    <t>Moldova</t>
  </si>
  <si>
    <t>Mongolia</t>
  </si>
  <si>
    <t>Montenegro</t>
  </si>
  <si>
    <t>Montserrat</t>
  </si>
  <si>
    <t>Morocco</t>
  </si>
  <si>
    <t>Mozambique</t>
  </si>
  <si>
    <t>Namibia</t>
  </si>
  <si>
    <t>Nauru</t>
  </si>
  <si>
    <t>Nepal</t>
  </si>
  <si>
    <t>Netherlands</t>
  </si>
  <si>
    <t>Netherlands Antilles</t>
  </si>
  <si>
    <t>New Caledonia</t>
  </si>
  <si>
    <t>New Zealand</t>
  </si>
  <si>
    <t>Nicaragua</t>
  </si>
  <si>
    <t>Niger</t>
  </si>
  <si>
    <t>Nigeria</t>
  </si>
  <si>
    <t>Niue</t>
  </si>
  <si>
    <t>North Korea</t>
  </si>
  <si>
    <t>North Macedonia</t>
  </si>
  <si>
    <t>Norway</t>
  </si>
  <si>
    <t>Oman</t>
  </si>
  <si>
    <t>Pakistan</t>
  </si>
  <si>
    <t>Palestinian Territories</t>
  </si>
  <si>
    <t>Panama</t>
  </si>
  <si>
    <t>Papua New Guinea</t>
  </si>
  <si>
    <t>Paraguay</t>
  </si>
  <si>
    <t>Peru</t>
  </si>
  <si>
    <t>Philippines</t>
  </si>
  <si>
    <t>Poland</t>
  </si>
  <si>
    <t>Portugal</t>
  </si>
  <si>
    <t>Puerto Rico</t>
  </si>
  <si>
    <t>Qatar</t>
  </si>
  <si>
    <t>Reunion</t>
  </si>
  <si>
    <t>Romania</t>
  </si>
  <si>
    <t>Russia</t>
  </si>
  <si>
    <t>Rwanda</t>
  </si>
  <si>
    <t>Saint Helena</t>
  </si>
  <si>
    <t>Saint Kitts and Nevis</t>
  </si>
  <si>
    <t>Saint Lucia</t>
  </si>
  <si>
    <t>Saint Pierre and Miquelon</t>
  </si>
  <si>
    <t>Saint Vincent/Grenadines</t>
  </si>
  <si>
    <t>Samoa</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</si>
  <si>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</si>
  <si>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</si>
  <si>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</si>
  <si>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</si>
  <si>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</si>
  <si>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</si>
  <si>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</si>
  <si>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</si>
  <si>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</si>
  <si>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</si>
  <si>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</si>
  <si>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</si>
  <si>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</si>
  <si>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</si>
  <si>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</si>
  <si>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</si>
  <si>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</si>
  <si>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</si>
  <si>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Sweden</t>
  </si>
  <si>
    <t>Switzerland</t>
  </si>
  <si>
    <t>Syria</t>
  </si>
  <si>
    <t>Taiwan</t>
  </si>
  <si>
    <t>Tajikistan</t>
  </si>
  <si>
    <t>Tanzania</t>
  </si>
  <si>
    <t>Thailand</t>
  </si>
  <si>
    <t>The Bahamas</t>
  </si>
  <si>
    <t>Togo</t>
  </si>
  <si>
    <t>Tonga</t>
  </si>
  <si>
    <t>Trinidad and Tobago</t>
  </si>
  <si>
    <t>Tunisia</t>
  </si>
  <si>
    <t>Turkey</t>
  </si>
  <si>
    <t>Turkmenistan</t>
  </si>
  <si>
    <t>Turks and Caicos Islands</t>
  </si>
  <si>
    <t>U.S. Pacific Islands</t>
  </si>
  <si>
    <t>U.S. Virgin Islands</t>
  </si>
  <si>
    <t>Uganda</t>
  </si>
  <si>
    <t>Ukraine</t>
  </si>
  <si>
    <t>United Arab Emirates</t>
  </si>
  <si>
    <t>United Kingdom</t>
  </si>
  <si>
    <t>United States (average)</t>
  </si>
  <si>
    <t>United States, AKGD (ASCC Alaska Grid)</t>
  </si>
  <si>
    <t>United States, AKMS (ASCC Miscellaneous)</t>
  </si>
  <si>
    <t>United States, AZNM (WECC Southwest)</t>
  </si>
  <si>
    <t>United States, CAMX (WECC California)</t>
  </si>
  <si>
    <t>United States, ERCT (ERCOT All)</t>
  </si>
  <si>
    <t>United States, FRCC (FRCC All)</t>
  </si>
  <si>
    <t>United States, HIMS (HICC Miscellaneous)</t>
  </si>
  <si>
    <t>United States, HIOA (HICC Oahu)</t>
  </si>
  <si>
    <t>United States, MROE (MRO East)</t>
  </si>
  <si>
    <t>United States, MROW (MRO West)</t>
  </si>
  <si>
    <t>United States, NEWE (NPCC New England)</t>
  </si>
  <si>
    <t>United States, NWPP (WECC Northwest)</t>
  </si>
  <si>
    <t>United States, NYCW (NPCC NYC/Westchester)</t>
  </si>
  <si>
    <t>United States, NYLI (NPCC Long Island)</t>
  </si>
  <si>
    <t>United States, NYUP (NPCC Upstate NY)</t>
  </si>
  <si>
    <t>United States, PRMS (Puerto Rico Miscellaneous)</t>
  </si>
  <si>
    <t>United States, RFCE (RFC East)</t>
  </si>
  <si>
    <t>United States, RFCM (RFC Michigan)</t>
  </si>
  <si>
    <t>United States, RFCW (RFC West)</t>
  </si>
  <si>
    <t>United States, RMPA (WECC Rockies)</t>
  </si>
  <si>
    <t>United States, SPNO (SPP North)</t>
  </si>
  <si>
    <t>United States, SPSO (SPP South)</t>
  </si>
  <si>
    <t>United States, SRMV (SERC Mississippi Valley)</t>
  </si>
  <si>
    <t>United States, SRMW (SERC Midwest)</t>
  </si>
  <si>
    <t>United States, SRSO (SERC South)</t>
  </si>
  <si>
    <t>United States, SRTV (SERC Tennessee Valley)</t>
  </si>
  <si>
    <t>United States, SRVC (SERC Virginia/Carolina)</t>
  </si>
  <si>
    <t>Uruguay</t>
  </si>
  <si>
    <t>Uzbekistan</t>
  </si>
  <si>
    <t>Vanuatu</t>
  </si>
  <si>
    <t>Venezuela</t>
  </si>
  <si>
    <t>Vietnam</t>
  </si>
  <si>
    <t>World</t>
  </si>
  <si>
    <t>Yemen</t>
  </si>
  <si>
    <t>Zambia</t>
  </si>
  <si>
    <t>Zimbabwe</t>
  </si>
  <si>
    <t>Site specific power generation, export, purchase emissions factors Calculation</t>
  </si>
  <si>
    <t>(a)  Combined Heat and Power plant</t>
  </si>
  <si>
    <t xml:space="preserve">Default factors </t>
  </si>
  <si>
    <t>Fuel Source</t>
  </si>
  <si>
    <t>Fuel consumption</t>
  </si>
  <si>
    <r>
      <t>Emissions Factor (tCO</t>
    </r>
    <r>
      <rPr>
        <b/>
        <vertAlign val="subscript"/>
        <sz val="12"/>
        <color theme="1"/>
        <rFont val="Calibri (Body)"/>
      </rPr>
      <t>2</t>
    </r>
    <r>
      <rPr>
        <b/>
        <sz val="12"/>
        <color theme="1"/>
        <rFont val="Calibri (Body)"/>
      </rPr>
      <t xml:space="preserve"> eq/unit)</t>
    </r>
  </si>
  <si>
    <r>
      <t>Source</t>
    </r>
    <r>
      <rPr>
        <sz val="12"/>
        <color theme="1"/>
        <rFont val="Calibri (Body)"/>
      </rPr>
      <t>  </t>
    </r>
  </si>
  <si>
    <t>Total steam output (MWh)</t>
  </si>
  <si>
    <t>Total eletricity output (MWh)</t>
  </si>
  <si>
    <t>RESULTS</t>
  </si>
  <si>
    <t>CHP Steam EF (tCO2 eq/MWh)</t>
  </si>
  <si>
    <t>Gas</t>
  </si>
  <si>
    <t>CHP Electricity EF (tCO2 eq/MWh)</t>
  </si>
  <si>
    <t>Energy balance check</t>
  </si>
  <si>
    <t>Other parameters</t>
  </si>
  <si>
    <t>deafult value</t>
  </si>
  <si>
    <t>Site-specific value *</t>
  </si>
  <si>
    <t>Useful unit conversions</t>
  </si>
  <si>
    <t>eH</t>
  </si>
  <si>
    <t>1 MWh = 3.6 GJ</t>
  </si>
  <si>
    <t>eP</t>
  </si>
  <si>
    <t>1 MWh = 3600 MJ</t>
  </si>
  <si>
    <t>1 GJ = 0.2778 MWh</t>
  </si>
  <si>
    <t>(b)  Non-CHP plant</t>
  </si>
  <si>
    <t>Power mix (%)</t>
  </si>
  <si>
    <t>Self-generation EF (tCO2 eq/MWh)</t>
  </si>
  <si>
    <t>Power mix cross-check</t>
  </si>
  <si>
    <t>(c) Power purchase contracts</t>
  </si>
  <si>
    <t>Power contracts</t>
  </si>
  <si>
    <t>Resold via contract**</t>
  </si>
  <si>
    <t>Net consumed</t>
  </si>
  <si>
    <t>Total site surplus power sale</t>
  </si>
  <si>
    <t>Contract EF (tCO2 eq/unit)</t>
  </si>
  <si>
    <t>Power contract 1</t>
  </si>
  <si>
    <t>Site weighted average EF (tCO2 eq/MWh)</t>
  </si>
  <si>
    <t>Power contract 2</t>
  </si>
  <si>
    <t>Power contract 3</t>
  </si>
  <si>
    <t>Total net consumption</t>
  </si>
  <si>
    <t>Power contract 4</t>
  </si>
  <si>
    <t>Power contract 5</t>
  </si>
  <si>
    <t>Power contract 6</t>
  </si>
  <si>
    <t>Power contract 7</t>
  </si>
  <si>
    <t>Power contract 8</t>
  </si>
  <si>
    <t>Power contract 9</t>
  </si>
  <si>
    <t>Power contract 10</t>
  </si>
  <si>
    <t>(add row if needed)</t>
  </si>
  <si>
    <t>** Resale via contract refers to re-selling part of energy via the same purchase contract. It should have a contract specific emission factor.</t>
  </si>
  <si>
    <t>(d)  Local Grid (default emissions factors cover full life-cycle)</t>
  </si>
  <si>
    <t>(d1)  Local Grid (default emissions factors cover just upstream emissions)(including infrastructure, supply chain, biogenic CO2 emissions, methane emissions)</t>
  </si>
  <si>
    <t>Local Grid full life-cycle EF (tCO2 eq/MWh)</t>
  </si>
  <si>
    <t>Local Grid upstream EF (tCO2 eq/MWh)</t>
  </si>
  <si>
    <t>(e)  Self Generated Electricity</t>
  </si>
  <si>
    <t>Total electricity generated</t>
  </si>
  <si>
    <t>Total emissions from fuel used</t>
  </si>
  <si>
    <t>tCO2e</t>
  </si>
  <si>
    <t>Input based</t>
  </si>
  <si>
    <t>Company</t>
  </si>
  <si>
    <t>Output based</t>
  </si>
  <si>
    <t>Combined</t>
  </si>
  <si>
    <t>Disaggregated</t>
  </si>
  <si>
    <t>Primary ingot: (mining to primary casthouse)</t>
  </si>
  <si>
    <t>function unit: 1 tonne primary ingot</t>
  </si>
  <si>
    <t>Bauxite mining</t>
  </si>
  <si>
    <t>5489 kg Bauxite</t>
  </si>
  <si>
    <t>Limestone</t>
  </si>
  <si>
    <t>93.94 kg limestone</t>
  </si>
  <si>
    <t>→</t>
  </si>
  <si>
    <t>Calcined lime</t>
  </si>
  <si>
    <t>61 kg Lime</t>
  </si>
  <si>
    <t>Alumina production</t>
  </si>
  <si>
    <t>1928 kg alumina</t>
  </si>
  <si>
    <t>←</t>
  </si>
  <si>
    <t>Caustic soda</t>
  </si>
  <si>
    <t>141 kg NaOH (100%)</t>
  </si>
  <si>
    <t>Electricity production</t>
  </si>
  <si>
    <t>14066 kWh</t>
  </si>
  <si>
    <t>16951 kWh</t>
  </si>
  <si>
    <t>17 kg AlF3</t>
  </si>
  <si>
    <t>21 kg AlF3</t>
  </si>
  <si>
    <t>Petrol coke production</t>
  </si>
  <si>
    <t>310 kg Petrol coke</t>
  </si>
  <si>
    <t>361 kg Petrol coke</t>
  </si>
  <si>
    <t>Anode production</t>
  </si>
  <si>
    <t>460 kg Green anode</t>
  </si>
  <si>
    <t>Electrolysis (prebake)</t>
  </si>
  <si>
    <t>1000 kg Aluminum</t>
  </si>
  <si>
    <t xml:space="preserve"> Electrolysis (soderberg)</t>
  </si>
  <si>
    <t>Paste production</t>
  </si>
  <si>
    <t>515 kg Paste</t>
  </si>
  <si>
    <t>436 kg Baked anode</t>
  </si>
  <si>
    <t>Pitch production</t>
  </si>
  <si>
    <t>158 kg Pitch</t>
  </si>
  <si>
    <t>67 kg Pitch</t>
  </si>
  <si>
    <t>Primary ingot casting</t>
  </si>
  <si>
    <t>1000 kg ingots</t>
  </si>
  <si>
    <t>Secondary ingot (remelter/refiner to casthouse)</t>
  </si>
  <si>
    <t>function unit: 1 tonne 95% recycled ingot</t>
  </si>
  <si>
    <t>Dross</t>
  </si>
  <si>
    <t>48.4 kg Dross</t>
  </si>
  <si>
    <t>Aluminum scrap remelting</t>
  </si>
  <si>
    <t>948 kg scrap</t>
  </si>
  <si>
    <t>Primary aluminum ingot</t>
  </si>
  <si>
    <t>55.5 kg primary ingot</t>
  </si>
  <si>
    <t>Recycled ingot casting</t>
  </si>
  <si>
    <t>Full system to semi-fab (cradle to gate)</t>
  </si>
  <si>
    <t>function unit: 1 tonne non-automotive extrusion products</t>
  </si>
  <si>
    <t>2964 kg Bauxite</t>
  </si>
  <si>
    <t>51 kg limestone</t>
  </si>
  <si>
    <t>33 kg Lime</t>
  </si>
  <si>
    <t>1041 kg Alumina</t>
  </si>
  <si>
    <t>76 kg NaOH (100%)</t>
  </si>
  <si>
    <t>7596 kWh</t>
  </si>
  <si>
    <t>9153 kWh</t>
  </si>
  <si>
    <t>9 kg AlF3</t>
  </si>
  <si>
    <t>11 kg AlF3</t>
  </si>
  <si>
    <t>167 kg Petrol coke</t>
  </si>
  <si>
    <t>195 kg Petrol coke</t>
  </si>
  <si>
    <t>284 kg Green anode</t>
  </si>
  <si>
    <t>540 kg Aluminum</t>
  </si>
  <si>
    <t>278 kg Paste</t>
  </si>
  <si>
    <t>235 kg Baked anode</t>
  </si>
  <si>
    <t>85 kg Pitch</t>
  </si>
  <si>
    <t>36 kg Pitch</t>
  </si>
  <si>
    <t>540 kg primary ingots</t>
  </si>
  <si>
    <t>1.11 kg Dross</t>
  </si>
  <si>
    <t>22 kg scrap</t>
  </si>
  <si>
    <t>1.3 kg primary ingot</t>
  </si>
  <si>
    <t>23 kg recycled ingots</t>
  </si>
  <si>
    <t>Aluminum extrusion product</t>
  </si>
  <si>
    <t>1000kg</t>
  </si>
  <si>
    <t>857 kg scrap</t>
  </si>
  <si>
    <t>Conversion factors</t>
  </si>
  <si>
    <t>Green coke to Calcinated coke</t>
  </si>
  <si>
    <t>Green anode to baked anode</t>
  </si>
  <si>
    <t>Limestone to lime</t>
  </si>
  <si>
    <t>1.37-1.71</t>
  </si>
  <si>
    <t>Reference flow</t>
  </si>
  <si>
    <t>kg</t>
  </si>
  <si>
    <t>1 kg alumina =</t>
  </si>
  <si>
    <r>
      <t xml:space="preserve">kg </t>
    </r>
    <r>
      <rPr>
        <b/>
        <sz val="11"/>
        <color theme="1"/>
        <rFont val="Calibri"/>
        <family val="2"/>
        <scheme val="minor"/>
      </rPr>
      <t xml:space="preserve"> </t>
    </r>
    <r>
      <rPr>
        <sz val="11"/>
        <color theme="1"/>
        <rFont val="Calibri"/>
        <family val="2"/>
        <scheme val="minor"/>
      </rPr>
      <t>Bauxite</t>
    </r>
  </si>
  <si>
    <t>incl. bauxite mining and alumina refining emissions</t>
  </si>
  <si>
    <t>or Aluminum hydrate</t>
  </si>
  <si>
    <t>1 kg Al hydrate =</t>
  </si>
  <si>
    <t>kg Bauxite</t>
  </si>
  <si>
    <t>incl. bauxite mining and aluminum hydrate production emissions</t>
  </si>
  <si>
    <t>anode production</t>
  </si>
  <si>
    <t>1kg primary Aluminum</t>
  </si>
  <si>
    <t>Aluminum</t>
  </si>
  <si>
    <t>kg alumina</t>
  </si>
  <si>
    <t>kg green anode</t>
  </si>
  <si>
    <t>kg aluminum</t>
  </si>
  <si>
    <t>ANODE</t>
  </si>
  <si>
    <t>Pet coke</t>
  </si>
  <si>
    <t>Calcined coke</t>
  </si>
  <si>
    <t>pitch tar</t>
  </si>
  <si>
    <t>fuel</t>
  </si>
  <si>
    <t>green anode</t>
  </si>
  <si>
    <t>t/t green anode</t>
  </si>
  <si>
    <t>baked anode</t>
  </si>
  <si>
    <t>PASTE</t>
  </si>
  <si>
    <t>paste</t>
  </si>
  <si>
    <t>total EF from IAI LCA</t>
  </si>
  <si>
    <t>1t green anode</t>
  </si>
  <si>
    <t>(coke calcination + fuel)</t>
  </si>
  <si>
    <t>0.675kg calcinated coke</t>
  </si>
  <si>
    <t>coke calcination</t>
  </si>
  <si>
    <t>unit</t>
  </si>
  <si>
    <t>Process EF</t>
  </si>
  <si>
    <t>Description</t>
  </si>
  <si>
    <t>bauxite mining</t>
  </si>
  <si>
    <t>bauxite mining and aluminum hydrate production emissions</t>
  </si>
  <si>
    <t>bauxite mining and alumina refining emissions</t>
  </si>
  <si>
    <t>Ore-based aluminum</t>
  </si>
  <si>
    <t>bauxite mining, alumina refining, anode prod, and smelting</t>
  </si>
  <si>
    <t>coke and pitch upstream (0.435), coke calcination and fuel emissions for green anode production (0.386)</t>
  </si>
  <si>
    <t>coke and pitch upstream (0.435), coke calcination, fuel emissions for green anode production, anode baking (packing coke  + pitch volatiles combustion), fuel for anode baking (1.08)</t>
  </si>
  <si>
    <t>coke and pitch upstream (0.495), coke calcination (0.154), fuel emissions for pitch production (0.016)</t>
  </si>
  <si>
    <t>t calcined coke</t>
  </si>
  <si>
    <t>Coke calcination</t>
  </si>
  <si>
    <t>anode baking</t>
  </si>
  <si>
    <t xml:space="preserve"> Packing coke and pitch volatiles combustion</t>
  </si>
  <si>
    <t>t anode consumed</t>
  </si>
  <si>
    <t>Carbon emissions from eletrolysis cells</t>
  </si>
  <si>
    <t>coke cal, fuel</t>
  </si>
  <si>
    <t>voltatiles</t>
  </si>
  <si>
    <t>Instructions</t>
  </si>
  <si>
    <t>Please fill out the calculation template for each asset</t>
  </si>
  <si>
    <t>Mandatory to fill in</t>
  </si>
  <si>
    <t>Asset Level Metrics</t>
  </si>
  <si>
    <t>Asset 2</t>
  </si>
  <si>
    <t>Asset 3</t>
  </si>
  <si>
    <t>Asset 4</t>
  </si>
  <si>
    <t>Asset 5</t>
  </si>
  <si>
    <t>Please duplicate the Asset sheet if you have more assets and add columns between E &amp; F (sheet name should match on Asset Level Metrics table.</t>
  </si>
  <si>
    <t>Final result</t>
  </si>
  <si>
    <t>Asset Ownership (%)</t>
  </si>
  <si>
    <t>Total aluminum production (t/yr)</t>
  </si>
  <si>
    <t>Production weighted by ownership (t)</t>
  </si>
  <si>
    <t>Asset Total Emissions Intensity</t>
  </si>
  <si>
    <t>Asset Level scrap-based Input (%)</t>
  </si>
  <si>
    <t>Company Level Metrics</t>
  </si>
  <si>
    <t>Total production (t)</t>
  </si>
  <si>
    <t>Total production weighted by ownership (t)</t>
  </si>
  <si>
    <t>Emissions intensity (t CO2/t)</t>
  </si>
  <si>
    <t>Secondary inputs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</si>
</sst>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00"/>
    <numFmt numFmtId="166" formatCode="0.0"/>
    <numFmt numFmtId="167" formatCode="#,##0.000"/>
    <numFmt numFmtId="168" formatCode="0.0000"/>
    <numFmt numFmtId="169" formatCode="_(* #,##0_);_(* \(#,##0\);_(* &quot;-&quot;??_);_(@_)"/>
    <numFmt numFmtId="170" formatCode="_(* #,##0.0_);_(* \(#,##0.0\);_(* &quot;-&quot;??_);_(@_)"/>
    <numFmt numFmtId="171" formatCode="yyyy\-mm\-dd;@"/>
  </numFmts>
  <fonts count="46">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rgb="FF000000"/>
      <name val="Calibri"/>
      <family val="2"/>
      <scheme val="minor"/>
    </font>
    <font>
      <b/>
      <sz val="12"/>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2"/>
      <color theme="1"/>
      <name val="Calibri"/>
      <family val="2"/>
    </font>
    <font>
      <sz val="12"/>
      <color rgb="FF000000"/>
      <name val="Calibri"/>
      <family val="2"/>
    </font>
    <font>
      <sz val="12"/>
      <color theme="1"/>
      <name val="Calibri"/>
      <family val="2"/>
    </font>
    <font>
      <b/>
      <sz val="16"/>
      <color theme="1"/>
      <name val="Calibri"/>
      <family val="2"/>
      <scheme val="minor"/>
    </font>
    <font>
      <b/>
      <sz val="12"/>
      <color theme="1"/>
      <name val="Calibri (Body)"/>
    </font>
    <font>
      <sz val="12"/>
      <color theme="1"/>
      <name val="Calibri (Body)"/>
    </font>
    <font>
      <b/>
      <vertAlign val="subscript"/>
      <sz val="12"/>
      <color theme="1"/>
      <name val="Calibri (Body)"/>
    </font>
    <font>
      <sz val="12"/>
      <color rgb="FF000000"/>
      <name val="Calibri (Body)"/>
    </font>
    <font>
      <sz val="16"/>
      <color theme="1"/>
      <name val="Calibri"/>
      <family val="2"/>
      <scheme val="minor"/>
    </font>
    <font>
      <b/>
      <i/>
      <u/>
      <sz val="12"/>
      <color theme="1"/>
      <name val="Calibri"/>
      <family val="2"/>
      <scheme val="minor"/>
    </font>
    <font>
      <i/>
      <sz val="12"/>
      <color theme="1"/>
      <name val="Calibri"/>
      <family val="2"/>
      <scheme val="minor"/>
    </font>
    <font>
      <b/>
      <vertAlign val="superscript"/>
      <sz val="12"/>
      <color theme="1"/>
      <name val="Calibri (Body)"/>
    </font>
    <font>
      <b/>
      <sz val="11"/>
      <color rgb="FFFF0000"/>
      <name val="Calibri"/>
      <family val="2"/>
      <scheme val="minor"/>
    </font>
    <font>
      <sz val="8"/>
      <name val="Calibri"/>
      <family val="2"/>
      <scheme val="minor"/>
    </font>
    <font>
      <sz val="12"/>
      <color rgb="FF006100"/>
      <name val="Calibri"/>
      <family val="2"/>
      <scheme val="minor"/>
    </font>
    <font>
      <sz val="11"/>
      <color rgb="FF000000"/>
      <name val="Calibri"/>
      <family val="2"/>
      <scheme val="minor"/>
    </font>
    <font>
      <b/>
      <u/>
      <sz val="12"/>
      <color theme="1"/>
      <name val="Calibri"/>
      <family val="2"/>
      <scheme val="minor"/>
    </font>
    <font>
      <u/>
      <sz val="12"/>
      <color theme="1"/>
      <name val="Calibri"/>
      <family val="2"/>
      <scheme val="minor"/>
    </font>
    <font>
      <sz val="11"/>
      <color theme="0"/>
      <name val="Calibri"/>
      <family val="2"/>
      <scheme val="minor"/>
    </font>
    <font>
      <sz val="11"/>
      <color rgb="FF3F3F76"/>
      <name val="Calibri"/>
      <family val="2"/>
      <scheme val="minor"/>
    </font>
    <font>
      <b/>
      <sz val="11"/>
      <color theme="0"/>
      <name val="Calibri"/>
      <family val="2"/>
      <scheme val="minor"/>
    </font>
    <font>
      <b/>
      <sz val="22"/>
      <color theme="0"/>
      <name val="Calibri"/>
      <family val="2"/>
      <scheme val="minor"/>
    </font>
    <font>
      <b/>
      <sz val="24"/>
      <color theme="1"/>
      <name val="Calibri"/>
      <family val="2"/>
      <scheme val="minor"/>
    </font>
    <font>
      <b/>
      <i/>
      <sz val="11"/>
      <color theme="1"/>
      <name val="Calibri"/>
      <family val="2"/>
      <scheme val="minor"/>
    </font>
    <font>
      <sz val="9"/>
      <color indexed="81"/>
      <name val="Tahoma"/>
      <family val="2"/>
    </font>
    <font>
      <b/>
      <sz val="9"/>
      <color indexed="81"/>
      <name val="Tahoma"/>
      <family val="2"/>
    </font>
    <font>
      <b/>
      <vertAlign val="subscript"/>
      <sz val="11"/>
      <color theme="0"/>
      <name val="Calibri"/>
      <family val="2"/>
      <scheme val="minor"/>
    </font>
    <font>
      <u/>
      <sz val="11"/>
      <color theme="10"/>
      <name val="Calibri"/>
      <family val="2"/>
      <scheme val="minor"/>
    </font>
    <font>
      <vertAlign val="superscript"/>
      <sz val="12"/>
      <color theme="1"/>
      <name val="Calibri"/>
      <family val="2"/>
      <scheme val="minor"/>
    </font>
    <font>
      <sz val="11"/>
      <color rgb="FF000000"/>
      <name val="Calibri"/>
      <family val="2"/>
    </font>
    <font>
      <sz val="11"/>
      <color rgb="FF9C5700"/>
      <name val="Calibri"/>
      <family val="2"/>
      <scheme val="minor"/>
    </font>
    <font>
      <b/>
      <sz val="9"/>
      <color rgb="FF000000"/>
      <name val="Tahoma"/>
      <family val="2"/>
    </font>
    <font>
      <sz val="9"/>
      <color rgb="FF000000"/>
      <name val="Tahoma"/>
      <family val="2"/>
    </font>
    <font>
      <sz val="9"/>
      <color indexed="81"/>
      <name val="Tahoma"/>
      <charset val="1"/>
    </font>
    <font>
      <b/>
      <sz val="9"/>
      <color indexed="81"/>
      <name val="Tahoma"/>
      <charset val="1"/>
    </font>
  </fonts>
  <fills count="19">
    <fill>
      <patternFill patternType="none"/>
    </fill>
    <fill>
      <patternFill patternType="gray125"/>
    </fill>
    <fill>
      <patternFill patternType="solid">
        <fgColor rgb="FFFFE699"/>
        <bgColor indexed="64"/>
      </patternFill>
    </fill>
    <fill>
      <patternFill patternType="solid">
        <fgColor rgb="FFF2F2F2"/>
        <bgColor indexed="64"/>
      </patternFill>
    </fill>
    <fill>
      <patternFill patternType="solid">
        <fgColor rgb="FFBDD7EE"/>
        <bgColor indexed="64"/>
      </patternFill>
    </fill>
    <fill>
      <patternFill patternType="solid">
        <fgColor theme="2"/>
        <bgColor indexed="64"/>
      </patternFill>
    </fill>
    <fill>
      <patternFill patternType="solid">
        <fgColor rgb="FFFFE799"/>
        <bgColor indexed="64"/>
      </patternFill>
    </fill>
    <fill>
      <patternFill patternType="solid">
        <fgColor theme="4" tint="0.79998168889431442"/>
        <bgColor indexed="64"/>
      </patternFill>
    </fill>
    <fill>
      <patternFill patternType="solid">
        <fgColor rgb="FFC6EFCE"/>
      </patternFill>
    </fill>
    <fill>
      <patternFill patternType="solid">
        <fgColor theme="9" tint="-0.249977111117893"/>
        <bgColor indexed="64"/>
      </patternFill>
    </fill>
    <fill>
      <patternFill patternType="solid">
        <fgColor theme="5" tint="0.79998168889431442"/>
        <bgColor indexed="64"/>
      </patternFill>
    </fill>
    <fill>
      <patternFill patternType="solid">
        <fgColor rgb="FFFFCC99"/>
      </patternFill>
    </fill>
    <fill>
      <patternFill patternType="solid">
        <fgColor rgb="FFFFFF00"/>
        <bgColor indexed="64"/>
      </patternFill>
    </fill>
    <fill>
      <patternFill patternType="solid">
        <fgColor rgb="FF1F4E78"/>
        <bgColor indexed="64"/>
      </patternFill>
    </fill>
    <fill>
      <patternFill patternType="solid">
        <fgColor rgb="FFFFCC99"/>
        <bgColor indexed="64"/>
      </patternFill>
    </fill>
    <fill>
      <patternFill patternType="solid">
        <fgColor rgb="FF833C0C"/>
        <bgColor indexed="64"/>
      </patternFill>
    </fill>
    <fill>
      <patternFill patternType="solid">
        <fgColor rgb="FF00B0F0"/>
        <bgColor indexed="64"/>
      </patternFill>
    </fill>
    <fill>
      <patternFill patternType="solid">
        <fgColor theme="7" tint="-0.499984740745262"/>
        <bgColor indexed="64"/>
      </patternFill>
    </fill>
    <fill>
      <patternFill patternType="solid">
        <fgColor rgb="FF806000"/>
        <bgColor indexed="64"/>
      </patternFill>
    </fill>
  </fills>
  <borders count="7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bottom style="thin">
        <color theme="2"/>
      </bottom>
      <diagonal/>
    </border>
    <border>
      <left style="thin">
        <color theme="2"/>
      </left>
      <right/>
      <top/>
      <bottom/>
      <diagonal/>
    </border>
    <border>
      <left/>
      <right/>
      <top/>
      <bottom style="thin">
        <color theme="1"/>
      </bottom>
      <diagonal/>
    </border>
    <border>
      <left/>
      <right/>
      <top/>
      <bottom style="double">
        <color theme="1"/>
      </bottom>
      <diagonal/>
    </border>
    <border>
      <left/>
      <right/>
      <top style="thin">
        <color theme="1"/>
      </top>
      <bottom style="medium">
        <color theme="1"/>
      </bottom>
      <diagonal/>
    </border>
    <border>
      <left/>
      <right/>
      <top style="thin">
        <color theme="1"/>
      </top>
      <bottom/>
      <diagonal/>
    </border>
    <border>
      <left/>
      <right/>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indexed="64"/>
      </bottom>
      <diagonal/>
    </border>
    <border>
      <left style="thin">
        <color theme="1"/>
      </left>
      <right/>
      <top/>
      <bottom/>
      <diagonal/>
    </border>
    <border>
      <left/>
      <right style="thin">
        <color theme="1"/>
      </right>
      <top style="thin">
        <color indexed="64"/>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top style="thin">
        <color theme="2" tint="-0.499984740745262"/>
      </top>
      <bottom style="medium">
        <color theme="2" tint="-0.499984740745262"/>
      </bottom>
      <diagonal/>
    </border>
    <border>
      <left/>
      <right/>
      <top/>
      <bottom style="medium">
        <color theme="2" tint="-0.499984740745262"/>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thin">
        <color rgb="FF7F7F7F"/>
      </left>
      <right style="thin">
        <color rgb="FF7F7F7F"/>
      </right>
      <top style="thin">
        <color rgb="FF7F7F7F"/>
      </top>
      <bottom style="thin">
        <color rgb="FF7F7F7F"/>
      </bottom>
      <diagonal/>
    </border>
    <border>
      <left style="thin">
        <color rgb="FF7F7F7F"/>
      </left>
      <right style="thin">
        <color indexed="64"/>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right/>
      <top style="thin">
        <color indexed="64"/>
      </top>
      <bottom style="thin">
        <color rgb="FF7F7F7F"/>
      </bottom>
      <diagonal/>
    </border>
    <border>
      <left/>
      <right/>
      <top style="thin">
        <color rgb="FF7F7F7F"/>
      </top>
      <bottom style="thin">
        <color rgb="FF7F7F7F"/>
      </bottom>
      <diagonal/>
    </border>
    <border>
      <left/>
      <right/>
      <top style="thin">
        <color rgb="FF7F7F7F"/>
      </top>
      <bottom style="thin">
        <color indexed="64"/>
      </bottom>
      <diagonal/>
    </border>
    <border>
      <left/>
      <right/>
      <top style="thin">
        <color rgb="FF7F7F7F"/>
      </top>
      <bottom/>
      <diagonal/>
    </border>
    <border>
      <left style="thin">
        <color rgb="FF7F7F7F"/>
      </left>
      <right style="thin">
        <color indexed="64"/>
      </right>
      <top style="thin">
        <color rgb="FF7F7F7F"/>
      </top>
      <bottom/>
      <diagonal/>
    </border>
    <border>
      <left style="thin">
        <color rgb="FF7F7F7F"/>
      </left>
      <right style="thin">
        <color rgb="FF7F7F7F"/>
      </right>
      <top style="thin">
        <color rgb="FF7F7F7F"/>
      </top>
      <bottom/>
      <diagonal/>
    </border>
    <border>
      <left/>
      <right/>
      <top style="thin">
        <color theme="2"/>
      </top>
      <bottom style="thin">
        <color indexed="64"/>
      </bottom>
      <diagonal/>
    </border>
    <border>
      <left style="thin">
        <color indexed="64"/>
      </left>
      <right/>
      <top style="thin">
        <color theme="2"/>
      </top>
      <bottom/>
      <diagonal/>
    </border>
    <border>
      <left/>
      <right/>
      <top style="thin">
        <color theme="2"/>
      </top>
      <bottom/>
      <diagonal/>
    </border>
    <border>
      <left style="thin">
        <color rgb="FF7F7F7F"/>
      </left>
      <right style="thin">
        <color indexed="64"/>
      </right>
      <top style="thin">
        <color indexed="64"/>
      </top>
      <bottom/>
      <diagonal/>
    </border>
    <border>
      <left style="thin">
        <color rgb="FF7F7F7F"/>
      </left>
      <right style="thin">
        <color indexed="64"/>
      </right>
      <top/>
      <bottom/>
      <diagonal/>
    </border>
    <border>
      <left style="thin">
        <color indexed="64"/>
      </left>
      <right style="thin">
        <color rgb="FF7F7F7F"/>
      </right>
      <top style="thin">
        <color indexed="64"/>
      </top>
      <bottom/>
      <diagonal/>
    </border>
    <border>
      <left style="thin">
        <color indexed="64"/>
      </left>
      <right style="thin">
        <color rgb="FF7F7F7F"/>
      </right>
      <top/>
      <bottom/>
      <diagonal/>
    </border>
    <border>
      <left style="thin">
        <color indexed="64"/>
      </left>
      <right style="thin">
        <color rgb="FF7F7F7F"/>
      </right>
      <top/>
      <bottom style="thin">
        <color indexed="64"/>
      </bottom>
      <diagonal/>
    </border>
    <border>
      <left style="thin">
        <color rgb="FF7F7F7F"/>
      </left>
      <right style="thin">
        <color indexed="64"/>
      </right>
      <top/>
      <bottom style="thin">
        <color indexed="64"/>
      </bottom>
      <diagonal/>
    </border>
  </borders>
  <cellStyleXfs count="6">
    <xf numFmtId="0" fontId="0" fillId="0" borderId="0"/>
    <xf numFmtId="9" fontId="3" fillId="0" borderId="0" applyFont="0" applyFill="0" applyBorder="0" applyAlignment="0" applyProtection="0"/>
    <xf numFmtId="0" fontId="25" fillId="8" borderId="0" applyNumberFormat="0" applyBorder="0" applyAlignment="0" applyProtection="0"/>
    <xf numFmtId="43" fontId="3" fillId="0" borderId="0" applyFont="0" applyFill="0" applyBorder="0" applyAlignment="0" applyProtection="0"/>
    <xf numFmtId="0" fontId="30" fillId="11" borderId="59" applyNumberFormat="0" applyAlignment="0" applyProtection="0"/>
    <xf numFmtId="0" fontId="38" fillId="0" borderId="0" applyNumberFormat="0" applyFill="0" applyBorder="0" applyAlignment="0" applyProtection="0"/>
  </cellStyleXfs>
  <cellXfs count="675">
    <xf numFmtId="0" fontId="0" fillId="0" borderId="0" xfId="0"/>
    <xf numFmtId="0" fontId="0" fillId="0" borderId="1" xfId="0" applyBorder="1"/>
    <xf numFmtId="0" fontId="0" fillId="3" borderId="7" xfId="0" applyFill="1" applyBorder="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xf numFmtId="9" fontId="0" fillId="2" borderId="4" xfId="0" applyNumberFormat="1" applyFill="1" applyBorder="1" applyAlignment="1">
      <alignment horizontal="center"/>
    </xf>
    <xf numFmtId="9" fontId="0" fillId="2" borderId="5" xfId="0" applyNumberFormat="1" applyFill="1" applyBorder="1" applyAlignment="1">
      <alignment horizontal="center"/>
    </xf>
    <xf numFmtId="9" fontId="0" fillId="2" borderId="6" xfId="0" applyNumberFormat="1" applyFill="1" applyBorder="1" applyAlignment="1">
      <alignment horizontal="center"/>
    </xf>
    <xf numFmtId="0" fontId="0" fillId="0" borderId="8" xfId="0" applyBorder="1"/>
    <xf numFmtId="3" fontId="0" fillId="0" borderId="8" xfId="0" applyNumberFormat="1" applyBorder="1" applyAlignment="1">
      <alignment horizontal="center"/>
    </xf>
    <xf numFmtId="3" fontId="0" fillId="0" borderId="0" xfId="0" applyNumberFormat="1" applyAlignment="1">
      <alignment horizontal="center"/>
    </xf>
    <xf numFmtId="3" fontId="0" fillId="0" borderId="9" xfId="0" applyNumberFormat="1" applyBorder="1" applyAlignment="1">
      <alignment horizontal="center"/>
    </xf>
    <xf numFmtId="2" fontId="0" fillId="0" borderId="8" xfId="0" applyNumberFormat="1" applyBorder="1" applyAlignment="1">
      <alignment horizontal="center"/>
    </xf>
    <xf numFmtId="2" fontId="0" fillId="0" borderId="0" xfId="0" applyNumberFormat="1" applyAlignment="1">
      <alignment horizontal="center"/>
    </xf>
    <xf numFmtId="2" fontId="0" fillId="0" borderId="9" xfId="0" applyNumberFormat="1" applyBorder="1" applyAlignment="1">
      <alignment horizontal="center"/>
    </xf>
    <xf numFmtId="0" fontId="0" fillId="0" borderId="10" xfId="0" applyBorder="1"/>
    <xf numFmtId="164" fontId="0" fillId="0" borderId="10" xfId="1" applyNumberFormat="1" applyFont="1" applyBorder="1" applyAlignment="1">
      <alignment horizontal="center"/>
    </xf>
    <xf numFmtId="164" fontId="0" fillId="0" borderId="11" xfId="0" applyNumberFormat="1" applyBorder="1" applyAlignment="1">
      <alignment horizontal="center"/>
    </xf>
    <xf numFmtId="164" fontId="0" fillId="0" borderId="15" xfId="0" applyNumberFormat="1" applyBorder="1" applyAlignment="1">
      <alignment horizontal="center"/>
    </xf>
    <xf numFmtId="0" fontId="0" fillId="3" borderId="1" xfId="0" applyFill="1" applyBorder="1" applyAlignment="1">
      <alignment horizontal="left"/>
    </xf>
    <xf numFmtId="0" fontId="0" fillId="3" borderId="3" xfId="0" applyFill="1" applyBorder="1" applyAlignment="1">
      <alignment horizontal="left"/>
    </xf>
    <xf numFmtId="3" fontId="0" fillId="0" borderId="16" xfId="0" applyNumberFormat="1" applyBorder="1" applyAlignment="1">
      <alignment horizontal="center"/>
    </xf>
    <xf numFmtId="3" fontId="0" fillId="0" borderId="17" xfId="0" applyNumberFormat="1" applyBorder="1" applyAlignment="1">
      <alignment horizontal="center"/>
    </xf>
    <xf numFmtId="2" fontId="0" fillId="4" borderId="17" xfId="0" applyNumberFormat="1" applyFill="1" applyBorder="1" applyAlignment="1">
      <alignment horizontal="center"/>
    </xf>
    <xf numFmtId="164" fontId="0" fillId="4" borderId="18" xfId="1" applyNumberFormat="1" applyFont="1" applyFill="1"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19" xfId="0" applyBorder="1"/>
    <xf numFmtId="3" fontId="0" fillId="2" borderId="19" xfId="0" applyNumberFormat="1" applyFill="1" applyBorder="1" applyAlignment="1">
      <alignment horizontal="center"/>
    </xf>
    <xf numFmtId="0" fontId="0" fillId="2" borderId="19" xfId="0" applyFill="1" applyBorder="1" applyAlignment="1">
      <alignment horizontal="center"/>
    </xf>
    <xf numFmtId="0" fontId="0" fillId="2" borderId="19" xfId="0" applyFill="1" applyBorder="1"/>
    <xf numFmtId="1" fontId="0" fillId="0" borderId="0" xfId="0" applyNumberFormat="1" applyAlignment="1">
      <alignment horizontal="center"/>
    </xf>
    <xf numFmtId="165" fontId="0" fillId="0" borderId="0" xfId="0" applyNumberFormat="1"/>
    <xf numFmtId="2" fontId="0" fillId="0" borderId="0" xfId="0" applyNumberFormat="1"/>
    <xf numFmtId="1" fontId="0" fillId="0" borderId="0" xfId="0" applyNumberFormat="1"/>
    <xf numFmtId="0" fontId="5" fillId="0" borderId="0" xfId="0" applyFont="1"/>
    <xf numFmtId="0" fontId="0" fillId="0" borderId="0" xfId="0"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166" fontId="0" fillId="0" borderId="0" xfId="0" applyNumberFormat="1"/>
    <xf numFmtId="0" fontId="0" fillId="0" borderId="20" xfId="0" applyBorder="1"/>
    <xf numFmtId="0" fontId="0" fillId="0" borderId="19" xfId="0" applyBorder="1" applyAlignment="1">
      <alignment vertical="center"/>
    </xf>
    <xf numFmtId="0" fontId="0" fillId="0" borderId="0" xfId="0" applyAlignment="1">
      <alignment vertical="center"/>
    </xf>
    <xf numFmtId="0" fontId="0" fillId="0" borderId="19" xfId="0" applyBorder="1" applyAlignment="1">
      <alignment vertical="center" wrapText="1"/>
    </xf>
    <xf numFmtId="2" fontId="0" fillId="0" borderId="19" xfId="0" applyNumberFormat="1" applyBorder="1" applyAlignment="1">
      <alignment horizontal="center" vertical="center"/>
    </xf>
    <xf numFmtId="2" fontId="0" fillId="0" borderId="0" xfId="0" applyNumberFormat="1" applyAlignment="1">
      <alignment vertical="center"/>
    </xf>
    <xf numFmtId="0" fontId="0" fillId="0" borderId="0" xfId="0" applyAlignment="1">
      <alignment vertical="center" wrapText="1"/>
    </xf>
    <xf numFmtId="165" fontId="0" fillId="0" borderId="19" xfId="0" applyNumberFormat="1" applyBorder="1" applyAlignment="1">
      <alignment horizontal="center" vertical="center"/>
    </xf>
    <xf numFmtId="0" fontId="0" fillId="0" borderId="22" xfId="0" applyBorder="1"/>
    <xf numFmtId="0" fontId="0" fillId="0" borderId="24" xfId="0" applyBorder="1"/>
    <xf numFmtId="0" fontId="0" fillId="0" borderId="23" xfId="0" applyBorder="1"/>
    <xf numFmtId="0" fontId="0" fillId="0" borderId="28" xfId="0" applyBorder="1"/>
    <xf numFmtId="0" fontId="0" fillId="5" borderId="19" xfId="0" applyFill="1" applyBorder="1"/>
    <xf numFmtId="9" fontId="0" fillId="5" borderId="19" xfId="0" applyNumberFormat="1" applyFill="1" applyBorder="1" applyAlignment="1">
      <alignment horizontal="center"/>
    </xf>
    <xf numFmtId="0" fontId="0" fillId="5" borderId="19" xfId="0" applyFill="1" applyBorder="1" applyAlignment="1">
      <alignment horizontal="center"/>
    </xf>
    <xf numFmtId="165" fontId="6" fillId="0" borderId="0" xfId="0" applyNumberFormat="1" applyFont="1" applyAlignment="1">
      <alignment horizontal="center" vertical="center"/>
    </xf>
    <xf numFmtId="0" fontId="0" fillId="2" borderId="19" xfId="0" applyFill="1" applyBorder="1" applyAlignment="1">
      <alignment horizontal="center" vertical="center"/>
    </xf>
    <xf numFmtId="3" fontId="0" fillId="2" borderId="19" xfId="0" applyNumberFormat="1" applyFill="1" applyBorder="1" applyAlignment="1">
      <alignment horizontal="center" vertical="center"/>
    </xf>
    <xf numFmtId="0" fontId="0" fillId="2" borderId="19" xfId="0" applyFill="1" applyBorder="1" applyAlignment="1">
      <alignment horizontal="left" vertical="center"/>
    </xf>
    <xf numFmtId="0" fontId="4" fillId="0" borderId="19" xfId="0" applyFont="1" applyBorder="1" applyAlignment="1">
      <alignment horizontal="center"/>
    </xf>
    <xf numFmtId="3" fontId="4" fillId="2" borderId="19" xfId="0" applyNumberFormat="1" applyFont="1" applyFill="1" applyBorder="1" applyAlignment="1">
      <alignment horizontal="center"/>
    </xf>
    <xf numFmtId="0" fontId="4" fillId="2" borderId="19" xfId="0" applyFont="1" applyFill="1" applyBorder="1" applyAlignment="1">
      <alignment horizontal="center"/>
    </xf>
    <xf numFmtId="0" fontId="4" fillId="2" borderId="19" xfId="0" applyFont="1" applyFill="1" applyBorder="1"/>
    <xf numFmtId="0" fontId="4" fillId="0" borderId="0" xfId="0" applyFont="1"/>
    <xf numFmtId="0" fontId="10" fillId="0" borderId="0" xfId="0" applyFont="1" applyAlignment="1">
      <alignment horizontal="center" vertical="center"/>
    </xf>
    <xf numFmtId="0" fontId="9" fillId="0" borderId="0" xfId="0" applyFont="1"/>
    <xf numFmtId="0" fontId="9" fillId="0" borderId="0" xfId="0" applyFont="1" applyAlignment="1">
      <alignment vertical="center"/>
    </xf>
    <xf numFmtId="0" fontId="10" fillId="0" borderId="0" xfId="0" applyFont="1" applyAlignment="1">
      <alignment vertical="center"/>
    </xf>
    <xf numFmtId="0" fontId="10" fillId="0" borderId="0" xfId="0" applyFont="1"/>
    <xf numFmtId="3" fontId="10" fillId="0" borderId="0" xfId="0" applyNumberFormat="1" applyFont="1" applyAlignment="1">
      <alignment horizontal="center" vertical="center"/>
    </xf>
    <xf numFmtId="3" fontId="0" fillId="0" borderId="0" xfId="0" applyNumberFormat="1" applyAlignment="1">
      <alignment horizontal="center" vertical="center"/>
    </xf>
    <xf numFmtId="0" fontId="0" fillId="0" borderId="33" xfId="0" applyBorder="1" applyAlignment="1">
      <alignment vertical="center"/>
    </xf>
    <xf numFmtId="9" fontId="0" fillId="2" borderId="32" xfId="1" applyFont="1" applyFill="1" applyBorder="1" applyAlignment="1">
      <alignment horizontal="center"/>
    </xf>
    <xf numFmtId="0" fontId="0" fillId="0" borderId="34" xfId="0" applyBorder="1" applyAlignment="1">
      <alignment vertical="center"/>
    </xf>
    <xf numFmtId="3" fontId="0" fillId="2" borderId="31" xfId="0" applyNumberFormat="1" applyFill="1" applyBorder="1" applyAlignment="1">
      <alignment horizontal="center"/>
    </xf>
    <xf numFmtId="0" fontId="14" fillId="0" borderId="0" xfId="0" applyFont="1"/>
    <xf numFmtId="0" fontId="15" fillId="0" borderId="0" xfId="0" applyFont="1"/>
    <xf numFmtId="0" fontId="16" fillId="0" borderId="0" xfId="0" applyFont="1"/>
    <xf numFmtId="0" fontId="16" fillId="0" borderId="0" xfId="0" applyFont="1" applyAlignment="1">
      <alignment horizontal="center"/>
    </xf>
    <xf numFmtId="0" fontId="15" fillId="0" borderId="0" xfId="0" applyFont="1" applyAlignment="1">
      <alignment horizontal="center" vertical="center"/>
    </xf>
    <xf numFmtId="0" fontId="18" fillId="0" borderId="0" xfId="0" applyFont="1" applyAlignment="1">
      <alignment vertical="center" wrapText="1"/>
    </xf>
    <xf numFmtId="0" fontId="16" fillId="0" borderId="0" xfId="0" applyFont="1" applyAlignment="1">
      <alignment horizontal="center" vertical="center" wrapText="1"/>
    </xf>
    <xf numFmtId="0" fontId="16" fillId="6" borderId="0" xfId="0" applyFont="1" applyFill="1" applyAlignment="1">
      <alignment horizontal="center"/>
    </xf>
    <xf numFmtId="0" fontId="18" fillId="0" borderId="0" xfId="0" applyFont="1" applyAlignment="1">
      <alignment horizontal="center" vertical="center" wrapText="1"/>
    </xf>
    <xf numFmtId="0" fontId="16" fillId="0" borderId="0" xfId="0" applyFont="1" applyAlignment="1">
      <alignment horizontal="center" vertical="center"/>
    </xf>
    <xf numFmtId="9" fontId="16" fillId="0" borderId="0" xfId="0" applyNumberFormat="1" applyFont="1" applyAlignment="1">
      <alignment horizontal="center"/>
    </xf>
    <xf numFmtId="9" fontId="16" fillId="6" borderId="0" xfId="1" applyFont="1" applyFill="1" applyBorder="1" applyAlignment="1">
      <alignment horizontal="center"/>
    </xf>
    <xf numFmtId="0" fontId="19" fillId="0" borderId="0" xfId="0" applyFont="1"/>
    <xf numFmtId="0" fontId="19" fillId="0" borderId="0" xfId="0" applyFont="1" applyAlignment="1">
      <alignment horizontal="center"/>
    </xf>
    <xf numFmtId="0" fontId="15" fillId="0" borderId="35" xfId="0" applyFont="1" applyBorder="1" applyAlignment="1">
      <alignment vertical="center" wrapText="1"/>
    </xf>
    <xf numFmtId="0" fontId="15" fillId="0" borderId="35" xfId="0" applyFont="1" applyBorder="1" applyAlignment="1">
      <alignment horizontal="center" vertical="center" wrapText="1"/>
    </xf>
    <xf numFmtId="0" fontId="15" fillId="0" borderId="35" xfId="0" applyFont="1" applyBorder="1" applyAlignment="1">
      <alignment horizontal="center" vertical="center"/>
    </xf>
    <xf numFmtId="0" fontId="18" fillId="0" borderId="36" xfId="0" applyFont="1" applyBorder="1" applyAlignment="1">
      <alignment vertical="center" wrapText="1"/>
    </xf>
    <xf numFmtId="0" fontId="16" fillId="0" borderId="36" xfId="0" applyFont="1" applyBorder="1" applyAlignment="1">
      <alignment horizontal="center" vertical="center" wrapText="1"/>
    </xf>
    <xf numFmtId="0" fontId="16" fillId="6" borderId="36" xfId="0" applyFont="1" applyFill="1" applyBorder="1" applyAlignment="1">
      <alignment horizontal="center"/>
    </xf>
    <xf numFmtId="0" fontId="15" fillId="0" borderId="36" xfId="0" applyFont="1" applyBorder="1" applyAlignment="1">
      <alignment vertical="center" wrapText="1"/>
    </xf>
    <xf numFmtId="9" fontId="16" fillId="6" borderId="36" xfId="1" applyFont="1" applyFill="1" applyBorder="1" applyAlignment="1">
      <alignment horizontal="center"/>
    </xf>
    <xf numFmtId="0" fontId="16" fillId="6" borderId="19" xfId="0" applyFont="1" applyFill="1" applyBorder="1"/>
    <xf numFmtId="0" fontId="16" fillId="0" borderId="36" xfId="0" applyFont="1" applyBorder="1" applyAlignment="1">
      <alignment horizontal="center"/>
    </xf>
    <xf numFmtId="0" fontId="20" fillId="0" borderId="0" xfId="0" applyFont="1"/>
    <xf numFmtId="0" fontId="15" fillId="0" borderId="0" xfId="0" applyFont="1" applyAlignment="1">
      <alignment vertical="center"/>
    </xf>
    <xf numFmtId="165" fontId="15" fillId="0" borderId="0" xfId="0" applyNumberFormat="1" applyFont="1"/>
    <xf numFmtId="0" fontId="15" fillId="0" borderId="0" xfId="0" applyFont="1" applyAlignment="1">
      <alignment horizontal="left" vertical="center"/>
    </xf>
    <xf numFmtId="0" fontId="15" fillId="0" borderId="0" xfId="0" applyFont="1" applyAlignment="1">
      <alignment horizontal="left"/>
    </xf>
    <xf numFmtId="0" fontId="15" fillId="0" borderId="36" xfId="0" applyFont="1" applyBorder="1"/>
    <xf numFmtId="0" fontId="15" fillId="0" borderId="29" xfId="0" applyFont="1" applyBorder="1"/>
    <xf numFmtId="0" fontId="16" fillId="0" borderId="37" xfId="0" applyFont="1" applyBorder="1"/>
    <xf numFmtId="0" fontId="16" fillId="0" borderId="38" xfId="0" applyFont="1" applyBorder="1"/>
    <xf numFmtId="0" fontId="16" fillId="0" borderId="40" xfId="0" applyFont="1" applyBorder="1"/>
    <xf numFmtId="0" fontId="16" fillId="0" borderId="40" xfId="0" applyFont="1" applyBorder="1" applyAlignment="1">
      <alignment horizontal="center"/>
    </xf>
    <xf numFmtId="9" fontId="16" fillId="0" borderId="0" xfId="1" applyFont="1" applyFill="1" applyBorder="1" applyAlignment="1">
      <alignment horizontal="center"/>
    </xf>
    <xf numFmtId="9" fontId="15" fillId="0" borderId="0" xfId="0" applyNumberFormat="1" applyFont="1" applyAlignment="1">
      <alignment horizontal="center" vertical="center"/>
    </xf>
    <xf numFmtId="0" fontId="8" fillId="0" borderId="0" xfId="0" applyFont="1" applyAlignment="1">
      <alignment horizontal="center" vertical="center" wrapText="1"/>
    </xf>
    <xf numFmtId="0" fontId="16" fillId="0" borderId="0" xfId="0" applyFont="1" applyAlignment="1">
      <alignment vertical="center" wrapText="1"/>
    </xf>
    <xf numFmtId="0" fontId="8" fillId="0" borderId="41" xfId="0" applyFont="1" applyBorder="1" applyAlignment="1">
      <alignment horizontal="center" vertical="center" wrapText="1"/>
    </xf>
    <xf numFmtId="0" fontId="8" fillId="0" borderId="0" xfId="0" applyFont="1" applyAlignment="1">
      <alignment horizontal="center"/>
    </xf>
    <xf numFmtId="0" fontId="2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3" fillId="0" borderId="44" xfId="0" applyFont="1" applyBorder="1" applyAlignment="1">
      <alignment horizontal="center" vertical="center" wrapText="1"/>
    </xf>
    <xf numFmtId="0" fontId="0" fillId="2" borderId="44" xfId="0" applyFill="1" applyBorder="1" applyAlignment="1">
      <alignment horizontal="center"/>
    </xf>
    <xf numFmtId="0" fontId="0" fillId="6" borderId="44" xfId="0" applyFill="1" applyBorder="1" applyAlignment="1">
      <alignment vertical="center"/>
    </xf>
    <xf numFmtId="3" fontId="0" fillId="6" borderId="44" xfId="0" applyNumberFormat="1" applyFill="1" applyBorder="1" applyAlignment="1">
      <alignment horizontal="center" vertical="center"/>
    </xf>
    <xf numFmtId="0" fontId="5" fillId="0" borderId="1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5" fillId="0" borderId="44" xfId="0" applyFont="1" applyBorder="1" applyAlignment="1">
      <alignment horizontal="center" vertical="center"/>
    </xf>
    <xf numFmtId="3" fontId="5" fillId="0" borderId="44" xfId="0" applyNumberFormat="1" applyFont="1" applyBorder="1" applyAlignment="1">
      <alignment horizontal="center" vertical="center"/>
    </xf>
    <xf numFmtId="3" fontId="5" fillId="0" borderId="44" xfId="0" applyNumberFormat="1" applyFont="1" applyBorder="1" applyAlignment="1">
      <alignment horizontal="center" vertical="center" wrapText="1"/>
    </xf>
    <xf numFmtId="0" fontId="8" fillId="0" borderId="0" xfId="0" applyFont="1" applyAlignment="1">
      <alignment vertical="center"/>
    </xf>
    <xf numFmtId="3" fontId="0" fillId="0" borderId="0" xfId="0" applyNumberFormat="1"/>
    <xf numFmtId="0" fontId="0" fillId="0" borderId="44" xfId="0" applyBorder="1"/>
    <xf numFmtId="0" fontId="0" fillId="5" borderId="44" xfId="0" applyFill="1" applyBorder="1"/>
    <xf numFmtId="0" fontId="0" fillId="0" borderId="45" xfId="0" applyBorder="1"/>
    <xf numFmtId="0" fontId="0" fillId="0" borderId="46" xfId="0" applyBorder="1"/>
    <xf numFmtId="0" fontId="0" fillId="0" borderId="48" xfId="0" applyBorder="1"/>
    <xf numFmtId="0" fontId="0" fillId="0" borderId="42" xfId="0" applyBorder="1"/>
    <xf numFmtId="0" fontId="0" fillId="0" borderId="51" xfId="0" applyBorder="1"/>
    <xf numFmtId="0" fontId="0" fillId="0" borderId="52" xfId="0" applyBorder="1"/>
    <xf numFmtId="0" fontId="0" fillId="0" borderId="42" xfId="0" applyBorder="1" applyAlignment="1">
      <alignment horizontal="center"/>
    </xf>
    <xf numFmtId="0" fontId="0" fillId="0" borderId="53" xfId="0" applyBorder="1"/>
    <xf numFmtId="0" fontId="0" fillId="0" borderId="44" xfId="0" applyBorder="1" applyAlignment="1">
      <alignment horizontal="center"/>
    </xf>
    <xf numFmtId="0" fontId="0" fillId="5" borderId="44" xfId="0" applyFill="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9" xfId="0" applyBorder="1" applyAlignment="1">
      <alignment horizontal="center"/>
    </xf>
    <xf numFmtId="0" fontId="0" fillId="0" borderId="51" xfId="0" applyBorder="1" applyAlignment="1">
      <alignment horizontal="center"/>
    </xf>
    <xf numFmtId="0" fontId="0" fillId="0" borderId="48"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39" xfId="0" applyBorder="1" applyAlignment="1">
      <alignment horizontal="center"/>
    </xf>
    <xf numFmtId="0" fontId="0" fillId="0" borderId="39" xfId="0" applyBorder="1"/>
    <xf numFmtId="0" fontId="0" fillId="0" borderId="54" xfId="0" applyBorder="1"/>
    <xf numFmtId="0" fontId="0" fillId="0" borderId="50" xfId="0" applyBorder="1"/>
    <xf numFmtId="0" fontId="23" fillId="0" borderId="0" xfId="0" applyFont="1"/>
    <xf numFmtId="9" fontId="0" fillId="0" borderId="0" xfId="1" applyFont="1"/>
    <xf numFmtId="0" fontId="0" fillId="2" borderId="22" xfId="0" applyFill="1" applyBorder="1" applyAlignment="1">
      <alignment horizontal="center"/>
    </xf>
    <xf numFmtId="0" fontId="0" fillId="2" borderId="22" xfId="0" applyFill="1" applyBorder="1"/>
    <xf numFmtId="0" fontId="0" fillId="2" borderId="21" xfId="0" applyFill="1" applyBorder="1" applyAlignment="1">
      <alignment horizontal="center"/>
    </xf>
    <xf numFmtId="0" fontId="0" fillId="2" borderId="21" xfId="0" applyFill="1" applyBorder="1"/>
    <xf numFmtId="0" fontId="0" fillId="0" borderId="40" xfId="0" applyBorder="1"/>
    <xf numFmtId="0" fontId="0" fillId="0" borderId="40" xfId="0" applyBorder="1" applyAlignment="1">
      <alignment horizontal="center"/>
    </xf>
    <xf numFmtId="0" fontId="0" fillId="0" borderId="21" xfId="0" applyBorder="1"/>
    <xf numFmtId="0" fontId="0" fillId="0" borderId="20" xfId="0" applyBorder="1" applyAlignment="1">
      <alignment horizontal="left"/>
    </xf>
    <xf numFmtId="0" fontId="4" fillId="0" borderId="21" xfId="0" applyFont="1" applyBorder="1"/>
    <xf numFmtId="0" fontId="0" fillId="0" borderId="21" xfId="0"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0" fillId="2" borderId="44" xfId="0" applyFill="1" applyBorder="1"/>
    <xf numFmtId="0" fontId="6" fillId="0" borderId="0" xfId="0" applyFont="1" applyAlignment="1">
      <alignment horizontal="left" vertical="center"/>
    </xf>
    <xf numFmtId="0" fontId="2"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 fillId="0" borderId="0" xfId="0" applyFont="1" applyAlignment="1">
      <alignment horizontal="center" vertical="center"/>
    </xf>
    <xf numFmtId="0" fontId="28" fillId="0" borderId="0" xfId="0" applyFont="1" applyAlignment="1">
      <alignment vertical="center"/>
    </xf>
    <xf numFmtId="0" fontId="8" fillId="0" borderId="0" xfId="0" applyFont="1" applyAlignment="1">
      <alignment horizontal="center" vertical="center"/>
    </xf>
    <xf numFmtId="0" fontId="15" fillId="0" borderId="0" xfId="0" applyFont="1" applyAlignment="1">
      <alignment horizontal="center" vertical="center" wrapText="1"/>
    </xf>
    <xf numFmtId="0" fontId="18" fillId="0" borderId="0" xfId="0" applyFont="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3" fillId="0" borderId="56" xfId="0" applyFont="1" applyBorder="1" applyAlignment="1">
      <alignment horizontal="center" vertical="center" wrapText="1"/>
    </xf>
    <xf numFmtId="0" fontId="12" fillId="0" borderId="56" xfId="0" applyFont="1" applyBorder="1" applyAlignment="1">
      <alignment horizontal="center" vertical="center" wrapText="1"/>
    </xf>
    <xf numFmtId="0" fontId="11" fillId="0" borderId="55" xfId="0" applyFont="1" applyBorder="1" applyAlignment="1">
      <alignment horizontal="center" vertical="center" wrapText="1"/>
    </xf>
    <xf numFmtId="0" fontId="5" fillId="0" borderId="0" xfId="0" applyFont="1" applyAlignment="1">
      <alignment horizontal="center" vertical="center" wrapText="1"/>
    </xf>
    <xf numFmtId="3" fontId="0" fillId="7" borderId="19" xfId="0" applyNumberFormat="1" applyFill="1" applyBorder="1" applyAlignment="1">
      <alignment horizontal="center"/>
    </xf>
    <xf numFmtId="3" fontId="0" fillId="7" borderId="12" xfId="0" applyNumberFormat="1" applyFill="1" applyBorder="1" applyAlignment="1">
      <alignment horizontal="center"/>
    </xf>
    <xf numFmtId="3" fontId="0" fillId="7" borderId="19" xfId="0" applyNumberFormat="1" applyFill="1" applyBorder="1" applyAlignment="1">
      <alignment horizontal="center" vertical="center"/>
    </xf>
    <xf numFmtId="165" fontId="0" fillId="7" borderId="19" xfId="0" applyNumberFormat="1" applyFill="1" applyBorder="1" applyAlignment="1">
      <alignment horizontal="center"/>
    </xf>
    <xf numFmtId="1" fontId="0" fillId="7" borderId="19" xfId="0" applyNumberFormat="1" applyFill="1" applyBorder="1" applyAlignment="1">
      <alignment horizontal="center"/>
    </xf>
    <xf numFmtId="3" fontId="0" fillId="7" borderId="22" xfId="0" applyNumberFormat="1" applyFill="1" applyBorder="1" applyAlignment="1">
      <alignment horizontal="center"/>
    </xf>
    <xf numFmtId="3" fontId="0" fillId="7" borderId="44" xfId="0" applyNumberFormat="1" applyFill="1" applyBorder="1" applyAlignment="1">
      <alignment horizontal="center"/>
    </xf>
    <xf numFmtId="3" fontId="0" fillId="7" borderId="21" xfId="0" applyNumberFormat="1" applyFill="1" applyBorder="1" applyAlignment="1">
      <alignment horizontal="center"/>
    </xf>
    <xf numFmtId="0" fontId="0" fillId="7" borderId="19" xfId="0" applyFill="1" applyBorder="1" applyAlignment="1">
      <alignment horizontal="center" vertical="center"/>
    </xf>
    <xf numFmtId="165" fontId="26" fillId="7" borderId="19" xfId="0" applyNumberFormat="1" applyFont="1" applyFill="1" applyBorder="1" applyAlignment="1">
      <alignment horizontal="center"/>
    </xf>
    <xf numFmtId="3" fontId="0" fillId="7" borderId="44" xfId="0" applyNumberFormat="1" applyFill="1" applyBorder="1" applyAlignment="1">
      <alignment horizontal="center" vertical="center"/>
    </xf>
    <xf numFmtId="0" fontId="16" fillId="7" borderId="22" xfId="0" applyFont="1" applyFill="1" applyBorder="1"/>
    <xf numFmtId="0" fontId="25" fillId="9" borderId="44" xfId="2" applyFill="1" applyBorder="1"/>
    <xf numFmtId="166" fontId="0" fillId="7" borderId="19" xfId="0" applyNumberFormat="1" applyFill="1" applyBorder="1" applyAlignment="1">
      <alignment horizontal="center"/>
    </xf>
    <xf numFmtId="2" fontId="0" fillId="7" borderId="19" xfId="0" applyNumberFormat="1" applyFill="1" applyBorder="1" applyAlignment="1">
      <alignment horizontal="center"/>
    </xf>
    <xf numFmtId="166" fontId="0" fillId="7" borderId="19" xfId="0" applyNumberFormat="1" applyFill="1" applyBorder="1" applyAlignment="1">
      <alignment horizontal="center" vertical="center"/>
    </xf>
    <xf numFmtId="3" fontId="4" fillId="7" borderId="19" xfId="0" applyNumberFormat="1" applyFont="1" applyFill="1" applyBorder="1" applyAlignment="1">
      <alignment horizontal="center"/>
    </xf>
    <xf numFmtId="0" fontId="25" fillId="0" borderId="0" xfId="2" applyFill="1" applyBorder="1"/>
    <xf numFmtId="9" fontId="29" fillId="9" borderId="0" xfId="1" applyFont="1" applyFill="1" applyBorder="1" applyAlignment="1">
      <alignment horizontal="center"/>
    </xf>
    <xf numFmtId="167" fontId="29" fillId="9" borderId="0" xfId="0" applyNumberFormat="1" applyFont="1" applyFill="1" applyAlignment="1">
      <alignment horizontal="center"/>
    </xf>
    <xf numFmtId="4" fontId="29" fillId="9" borderId="0" xfId="0" applyNumberFormat="1" applyFont="1" applyFill="1" applyAlignment="1">
      <alignment horizontal="center"/>
    </xf>
    <xf numFmtId="9" fontId="29" fillId="9" borderId="43" xfId="1" applyFont="1" applyFill="1" applyBorder="1" applyAlignment="1">
      <alignment horizontal="center"/>
    </xf>
    <xf numFmtId="0" fontId="5" fillId="0" borderId="43" xfId="0" applyFont="1" applyBorder="1" applyAlignment="1">
      <alignment horizontal="center"/>
    </xf>
    <xf numFmtId="0" fontId="29" fillId="9" borderId="43" xfId="0" applyFont="1" applyFill="1" applyBorder="1" applyAlignment="1">
      <alignment horizontal="center"/>
    </xf>
    <xf numFmtId="0" fontId="5" fillId="0" borderId="41" xfId="0" applyFont="1" applyBorder="1"/>
    <xf numFmtId="0" fontId="0" fillId="0" borderId="41" xfId="0" applyBorder="1" applyAlignment="1">
      <alignment horizontal="center"/>
    </xf>
    <xf numFmtId="0" fontId="0" fillId="0" borderId="0" xfId="0" applyAlignment="1">
      <alignment horizontal="right"/>
    </xf>
    <xf numFmtId="0" fontId="0" fillId="0" borderId="43" xfId="0" applyBorder="1" applyAlignment="1">
      <alignment horizontal="right"/>
    </xf>
    <xf numFmtId="3" fontId="0" fillId="2" borderId="58" xfId="0" applyNumberFormat="1" applyFill="1" applyBorder="1"/>
    <xf numFmtId="0" fontId="0" fillId="0" borderId="57" xfId="0" applyBorder="1" applyAlignment="1">
      <alignment vertical="center"/>
    </xf>
    <xf numFmtId="0" fontId="10" fillId="0" borderId="40" xfId="0" applyFont="1" applyBorder="1"/>
    <xf numFmtId="0" fontId="16" fillId="0" borderId="40" xfId="0" applyFont="1" applyBorder="1" applyAlignment="1">
      <alignment horizontal="center" vertical="center"/>
    </xf>
    <xf numFmtId="0" fontId="25" fillId="0" borderId="40" xfId="2" applyFill="1" applyBorder="1"/>
    <xf numFmtId="0" fontId="5" fillId="0" borderId="42" xfId="0" applyFont="1" applyBorder="1" applyAlignment="1">
      <alignment horizontal="center" vertical="center"/>
    </xf>
    <xf numFmtId="0" fontId="5" fillId="0" borderId="42" xfId="0" applyFont="1" applyBorder="1" applyAlignment="1">
      <alignment horizontal="center"/>
    </xf>
    <xf numFmtId="0" fontId="5" fillId="0" borderId="43" xfId="0" applyFont="1" applyBorder="1" applyAlignment="1">
      <alignment horizontal="center" vertical="center"/>
    </xf>
    <xf numFmtId="0" fontId="16" fillId="10" borderId="44" xfId="0" applyFont="1" applyFill="1" applyBorder="1"/>
    <xf numFmtId="0" fontId="16" fillId="10" borderId="0" xfId="0" applyFont="1" applyFill="1" applyAlignment="1">
      <alignment horizontal="center"/>
    </xf>
    <xf numFmtId="0" fontId="16" fillId="10" borderId="36" xfId="0" applyFont="1" applyFill="1" applyBorder="1" applyAlignment="1">
      <alignment horizontal="center"/>
    </xf>
    <xf numFmtId="165" fontId="15" fillId="7" borderId="0" xfId="0" applyNumberFormat="1" applyFont="1" applyFill="1" applyAlignment="1">
      <alignment horizontal="center"/>
    </xf>
    <xf numFmtId="0" fontId="15" fillId="7" borderId="36" xfId="0" applyFont="1" applyFill="1" applyBorder="1" applyAlignment="1">
      <alignment horizontal="center"/>
    </xf>
    <xf numFmtId="165" fontId="15" fillId="7" borderId="0" xfId="0" applyNumberFormat="1" applyFont="1" applyFill="1" applyAlignment="1">
      <alignment horizontal="center" vertical="center"/>
    </xf>
    <xf numFmtId="9" fontId="15" fillId="7" borderId="36" xfId="0" applyNumberFormat="1" applyFont="1" applyFill="1" applyBorder="1" applyAlignment="1">
      <alignment horizontal="center" vertical="center"/>
    </xf>
    <xf numFmtId="0" fontId="7" fillId="0" borderId="41" xfId="0" applyFont="1" applyBorder="1" applyAlignment="1">
      <alignment vertical="center" wrapText="1"/>
    </xf>
    <xf numFmtId="0" fontId="7" fillId="0" borderId="41" xfId="0" applyFont="1" applyBorder="1" applyAlignment="1">
      <alignment horizontal="center" vertical="center" wrapText="1"/>
    </xf>
    <xf numFmtId="9" fontId="18" fillId="0" borderId="0" xfId="1" applyFont="1" applyAlignment="1">
      <alignment horizontal="center" vertical="center"/>
    </xf>
    <xf numFmtId="0" fontId="1" fillId="0" borderId="0" xfId="0" applyFont="1" applyAlignment="1">
      <alignment vertical="center"/>
    </xf>
    <xf numFmtId="0" fontId="1" fillId="0" borderId="0" xfId="0" applyFont="1" applyAlignment="1">
      <alignment horizontal="center"/>
    </xf>
    <xf numFmtId="0" fontId="1" fillId="6" borderId="0" xfId="0" applyFont="1" applyFill="1" applyAlignment="1">
      <alignment horizontal="center"/>
    </xf>
    <xf numFmtId="0" fontId="1" fillId="7" borderId="0" xfId="0" applyFont="1" applyFill="1" applyAlignment="1">
      <alignment horizontal="center"/>
    </xf>
    <xf numFmtId="0" fontId="1" fillId="7" borderId="43" xfId="0" applyFont="1" applyFill="1" applyBorder="1" applyAlignment="1">
      <alignment horizontal="center"/>
    </xf>
    <xf numFmtId="0" fontId="1" fillId="0" borderId="43" xfId="0" applyFont="1" applyBorder="1" applyAlignment="1">
      <alignment horizontal="center"/>
    </xf>
    <xf numFmtId="0" fontId="1" fillId="6" borderId="43" xfId="0" applyFont="1" applyFill="1" applyBorder="1" applyAlignment="1">
      <alignment horizontal="center"/>
    </xf>
    <xf numFmtId="0" fontId="1"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left" vertical="center"/>
    </xf>
    <xf numFmtId="165" fontId="1" fillId="0" borderId="0" xfId="0" applyNumberFormat="1" applyFont="1" applyAlignment="1">
      <alignment horizontal="center" vertical="center"/>
    </xf>
    <xf numFmtId="0" fontId="1" fillId="0" borderId="0" xfId="0" applyFont="1" applyAlignment="1">
      <alignment vertical="center" wrapText="1"/>
    </xf>
    <xf numFmtId="0" fontId="0" fillId="0" borderId="2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xf>
    <xf numFmtId="165" fontId="0" fillId="0" borderId="27" xfId="0" applyNumberFormat="1" applyBorder="1" applyAlignment="1">
      <alignment horizontal="center" vertical="center"/>
    </xf>
    <xf numFmtId="0" fontId="33" fillId="0" borderId="0" xfId="0" applyFont="1" applyAlignment="1">
      <alignment vertical="center"/>
    </xf>
    <xf numFmtId="0" fontId="5" fillId="0" borderId="0" xfId="0" applyFont="1" applyAlignment="1">
      <alignment vertical="center"/>
    </xf>
    <xf numFmtId="0" fontId="5" fillId="0" borderId="24" xfId="0" applyFont="1" applyBorder="1" applyAlignment="1">
      <alignment vertical="center"/>
    </xf>
    <xf numFmtId="9" fontId="30" fillId="11" borderId="60" xfId="1" applyFont="1" applyFill="1" applyBorder="1" applyAlignment="1">
      <alignment horizontal="center" vertical="center"/>
    </xf>
    <xf numFmtId="0" fontId="5" fillId="0" borderId="23" xfId="0" applyFont="1" applyBorder="1" applyAlignment="1">
      <alignment vertical="center"/>
    </xf>
    <xf numFmtId="0" fontId="5" fillId="0" borderId="12" xfId="0"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30" fillId="11" borderId="63" xfId="4" applyBorder="1"/>
    <xf numFmtId="0" fontId="30" fillId="11" borderId="64" xfId="4" applyBorder="1" applyAlignment="1">
      <alignment horizontal="center" vertical="center"/>
    </xf>
    <xf numFmtId="0" fontId="30" fillId="11" borderId="65" xfId="4" applyBorder="1" applyAlignment="1">
      <alignment horizontal="center" vertical="center"/>
    </xf>
    <xf numFmtId="0" fontId="5" fillId="0" borderId="24" xfId="0" applyFont="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0" fillId="0" borderId="23" xfId="0" applyBorder="1" applyAlignment="1">
      <alignment vertical="center"/>
    </xf>
    <xf numFmtId="168" fontId="0" fillId="0" borderId="27" xfId="0" applyNumberFormat="1" applyBorder="1" applyAlignment="1">
      <alignment horizontal="center" vertical="center"/>
    </xf>
    <xf numFmtId="0" fontId="30" fillId="11" borderId="59" xfId="4" applyAlignment="1">
      <alignment horizontal="center" vertical="center"/>
    </xf>
    <xf numFmtId="0" fontId="0" fillId="0" borderId="28" xfId="0" applyBorder="1" applyAlignment="1">
      <alignment vertical="center"/>
    </xf>
    <xf numFmtId="0" fontId="5" fillId="0" borderId="28"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18" fillId="0" borderId="0" xfId="1" applyNumberFormat="1" applyFont="1" applyAlignment="1">
      <alignment horizontal="center" vertical="center"/>
    </xf>
    <xf numFmtId="2" fontId="0" fillId="0" borderId="27" xfId="0" applyNumberFormat="1" applyBorder="1" applyAlignment="1">
      <alignment horizontal="center" vertical="center"/>
    </xf>
    <xf numFmtId="0" fontId="31" fillId="13" borderId="23" xfId="0" applyFont="1" applyFill="1" applyBorder="1" applyAlignment="1">
      <alignment horizontal="center" vertical="center"/>
    </xf>
    <xf numFmtId="0" fontId="31" fillId="13" borderId="27" xfId="0" applyFont="1" applyFill="1" applyBorder="1" applyAlignment="1">
      <alignment horizontal="center" vertical="center"/>
    </xf>
    <xf numFmtId="0" fontId="31" fillId="13" borderId="0" xfId="0" applyFont="1" applyFill="1" applyAlignment="1">
      <alignment horizontal="center" vertical="center"/>
    </xf>
    <xf numFmtId="0" fontId="31" fillId="13" borderId="29" xfId="0" applyFont="1" applyFill="1" applyBorder="1" applyAlignment="1">
      <alignment horizontal="center" vertical="center" wrapText="1"/>
    </xf>
    <xf numFmtId="0" fontId="31" fillId="13" borderId="28" xfId="0" applyFont="1" applyFill="1" applyBorder="1" applyAlignment="1">
      <alignment horizontal="left" vertical="center" wrapText="1"/>
    </xf>
    <xf numFmtId="0" fontId="31" fillId="13" borderId="30" xfId="0" applyFont="1" applyFill="1" applyBorder="1" applyAlignment="1">
      <alignment horizontal="center" vertical="center" wrapText="1"/>
    </xf>
    <xf numFmtId="0" fontId="31" fillId="13" borderId="28" xfId="0" applyFont="1" applyFill="1" applyBorder="1" applyAlignment="1">
      <alignment horizontal="center" vertical="center" wrapText="1"/>
    </xf>
    <xf numFmtId="169" fontId="0" fillId="0" borderId="0" xfId="3" applyNumberFormat="1" applyFont="1" applyAlignment="1">
      <alignment horizontal="center" vertical="center" wrapText="1"/>
    </xf>
    <xf numFmtId="169" fontId="0" fillId="0" borderId="0" xfId="3" applyNumberFormat="1" applyFont="1" applyAlignment="1">
      <alignment horizontal="left" vertical="center"/>
    </xf>
    <xf numFmtId="169" fontId="30" fillId="11" borderId="60" xfId="3" applyNumberFormat="1" applyFont="1" applyFill="1" applyBorder="1" applyAlignment="1">
      <alignment horizontal="center" vertical="center"/>
    </xf>
    <xf numFmtId="169" fontId="5" fillId="0" borderId="14" xfId="3" applyNumberFormat="1" applyFont="1" applyBorder="1" applyAlignment="1">
      <alignment horizontal="center" vertical="center"/>
    </xf>
    <xf numFmtId="169" fontId="5" fillId="0" borderId="0" xfId="3" applyNumberFormat="1" applyFont="1" applyAlignment="1">
      <alignment horizontal="center" vertical="center"/>
    </xf>
    <xf numFmtId="169" fontId="30" fillId="0" borderId="0" xfId="3" applyNumberFormat="1" applyFont="1" applyFill="1" applyBorder="1" applyAlignment="1">
      <alignment horizontal="center" vertical="center"/>
    </xf>
    <xf numFmtId="169" fontId="0" fillId="0" borderId="0" xfId="3" applyNumberFormat="1" applyFont="1" applyAlignment="1">
      <alignment horizontal="center" vertical="center"/>
    </xf>
    <xf numFmtId="169" fontId="30" fillId="11" borderId="62" xfId="3" applyNumberFormat="1" applyFont="1" applyFill="1" applyBorder="1" applyAlignment="1">
      <alignment horizontal="center" vertical="center"/>
    </xf>
    <xf numFmtId="169" fontId="31" fillId="13" borderId="29" xfId="3" applyNumberFormat="1" applyFont="1" applyFill="1" applyBorder="1" applyAlignment="1">
      <alignment horizontal="center" vertical="center" wrapText="1"/>
    </xf>
    <xf numFmtId="169" fontId="5" fillId="0" borderId="29" xfId="3" applyNumberFormat="1" applyFont="1" applyBorder="1" applyAlignment="1">
      <alignment horizontal="center" vertical="center" wrapText="1"/>
    </xf>
    <xf numFmtId="169" fontId="0" fillId="0" borderId="29" xfId="3" applyNumberFormat="1" applyFont="1" applyBorder="1" applyAlignment="1">
      <alignment horizontal="center" vertical="center"/>
    </xf>
    <xf numFmtId="169" fontId="0" fillId="0" borderId="0" xfId="3" applyNumberFormat="1" applyFont="1"/>
    <xf numFmtId="169" fontId="0" fillId="0" borderId="0" xfId="0" applyNumberFormat="1"/>
    <xf numFmtId="0" fontId="30" fillId="11" borderId="66" xfId="4" applyBorder="1" applyAlignment="1">
      <alignment horizontal="center" vertical="center"/>
    </xf>
    <xf numFmtId="0" fontId="0" fillId="0" borderId="12" xfId="0" applyBorder="1"/>
    <xf numFmtId="0" fontId="0" fillId="0" borderId="13" xfId="0" applyBorder="1"/>
    <xf numFmtId="169" fontId="30" fillId="11" borderId="67" xfId="3" applyNumberFormat="1" applyFont="1" applyFill="1" applyBorder="1" applyAlignment="1">
      <alignment horizontal="center" vertical="center"/>
    </xf>
    <xf numFmtId="169" fontId="5" fillId="0" borderId="0" xfId="3" applyNumberFormat="1" applyFont="1" applyBorder="1" applyAlignment="1">
      <alignment horizontal="center" vertical="center"/>
    </xf>
    <xf numFmtId="169" fontId="5" fillId="0" borderId="29" xfId="3" applyNumberFormat="1" applyFont="1" applyBorder="1" applyAlignment="1">
      <alignment horizontal="center" vertical="center"/>
    </xf>
    <xf numFmtId="169" fontId="5" fillId="0" borderId="13" xfId="3" applyNumberFormat="1" applyFont="1" applyBorder="1" applyAlignment="1">
      <alignment horizontal="center" vertical="center"/>
    </xf>
    <xf numFmtId="169" fontId="5" fillId="0" borderId="13" xfId="0" applyNumberFormat="1" applyFont="1" applyBorder="1"/>
    <xf numFmtId="169" fontId="5" fillId="0" borderId="0" xfId="0" applyNumberFormat="1" applyFont="1" applyAlignment="1">
      <alignment horizontal="center" vertical="center"/>
    </xf>
    <xf numFmtId="9" fontId="5" fillId="0" borderId="0" xfId="1" applyFont="1" applyAlignment="1">
      <alignment horizontal="center" vertical="center"/>
    </xf>
    <xf numFmtId="0" fontId="31" fillId="13" borderId="0" xfId="0" applyFont="1" applyFill="1" applyAlignment="1">
      <alignment horizontal="center" vertical="center" wrapText="1"/>
    </xf>
    <xf numFmtId="0" fontId="30" fillId="11" borderId="59" xfId="4"/>
    <xf numFmtId="0" fontId="30" fillId="0" borderId="59" xfId="4" applyFill="1"/>
    <xf numFmtId="0" fontId="34" fillId="0" borderId="0" xfId="0" applyFont="1" applyAlignment="1">
      <alignment horizontal="left" vertical="center"/>
    </xf>
    <xf numFmtId="0" fontId="0" fillId="13" borderId="29" xfId="0" applyFill="1" applyBorder="1"/>
    <xf numFmtId="0" fontId="30" fillId="14" borderId="63" xfId="4" applyFill="1" applyBorder="1"/>
    <xf numFmtId="0" fontId="0" fillId="0" borderId="29" xfId="0" applyBorder="1"/>
    <xf numFmtId="0" fontId="30" fillId="11" borderId="68" xfId="4" applyBorder="1" applyAlignment="1">
      <alignment horizontal="center" vertical="center"/>
    </xf>
    <xf numFmtId="0" fontId="5" fillId="0" borderId="69" xfId="0" applyFont="1" applyBorder="1" applyAlignment="1">
      <alignment horizontal="center" vertical="center"/>
    </xf>
    <xf numFmtId="0" fontId="34" fillId="0" borderId="12" xfId="0" applyFont="1" applyBorder="1" applyAlignment="1">
      <alignment vertical="center"/>
    </xf>
    <xf numFmtId="0" fontId="34" fillId="0" borderId="0" xfId="0" applyFont="1" applyAlignment="1">
      <alignment vertical="center"/>
    </xf>
    <xf numFmtId="9" fontId="0" fillId="0" borderId="71" xfId="1" applyFont="1" applyBorder="1"/>
    <xf numFmtId="169" fontId="0" fillId="0" borderId="24" xfId="3" applyNumberFormat="1" applyFont="1" applyBorder="1" applyAlignment="1">
      <alignment horizontal="center" vertical="center"/>
    </xf>
    <xf numFmtId="169" fontId="0" fillId="0" borderId="12" xfId="3" applyNumberFormat="1" applyFont="1" applyBorder="1" applyAlignment="1">
      <alignment horizontal="center" vertical="center"/>
    </xf>
    <xf numFmtId="9" fontId="30" fillId="11" borderId="59" xfId="1" applyFont="1" applyFill="1" applyBorder="1"/>
    <xf numFmtId="169" fontId="5" fillId="0" borderId="12" xfId="3" applyNumberFormat="1" applyFont="1" applyBorder="1" applyAlignment="1">
      <alignment horizontal="center" vertical="center"/>
    </xf>
    <xf numFmtId="169" fontId="0" fillId="0" borderId="70" xfId="0" applyNumberFormat="1" applyBorder="1"/>
    <xf numFmtId="0" fontId="15" fillId="0" borderId="25" xfId="0" applyFont="1" applyBorder="1" applyAlignment="1">
      <alignment horizontal="center" vertical="center"/>
    </xf>
    <xf numFmtId="0" fontId="15" fillId="0" borderId="25" xfId="0" applyFont="1" applyBorder="1" applyAlignment="1">
      <alignment horizontal="center" vertical="center" wrapText="1"/>
    </xf>
    <xf numFmtId="0" fontId="16" fillId="0" borderId="19" xfId="0" applyFont="1" applyBorder="1" applyAlignment="1">
      <alignment horizontal="center" vertical="center"/>
    </xf>
    <xf numFmtId="2" fontId="16" fillId="0" borderId="19" xfId="0" applyNumberFormat="1" applyFont="1" applyBorder="1" applyAlignment="1">
      <alignment horizontal="center" vertical="center"/>
    </xf>
    <xf numFmtId="0" fontId="16" fillId="0" borderId="19" xfId="0" applyFont="1" applyBorder="1" applyAlignment="1">
      <alignment horizontal="left" vertical="center"/>
    </xf>
    <xf numFmtId="0" fontId="1" fillId="0" borderId="19" xfId="0" applyFont="1" applyBorder="1" applyAlignment="1">
      <alignment vertical="center"/>
    </xf>
    <xf numFmtId="0" fontId="18" fillId="0" borderId="19" xfId="0" applyFont="1" applyBorder="1" applyAlignment="1">
      <alignment horizontal="center" vertical="center"/>
    </xf>
    <xf numFmtId="168" fontId="16" fillId="0" borderId="19" xfId="0" applyNumberFormat="1" applyFont="1" applyBorder="1" applyAlignment="1">
      <alignment horizontal="center" vertical="center"/>
    </xf>
    <xf numFmtId="0" fontId="1" fillId="0" borderId="19" xfId="0" applyFont="1" applyBorder="1" applyAlignment="1">
      <alignment horizontal="center" vertical="center"/>
    </xf>
    <xf numFmtId="0" fontId="16" fillId="12" borderId="19" xfId="0" applyFont="1" applyFill="1" applyBorder="1" applyAlignment="1">
      <alignment horizontal="center" vertical="center"/>
    </xf>
    <xf numFmtId="2" fontId="16" fillId="12" borderId="19" xfId="0" applyNumberFormat="1" applyFont="1" applyFill="1" applyBorder="1" applyAlignment="1">
      <alignment horizontal="center" vertical="center"/>
    </xf>
    <xf numFmtId="0" fontId="18" fillId="12" borderId="19" xfId="0" applyFont="1" applyFill="1" applyBorder="1" applyAlignment="1">
      <alignment horizontal="center" vertical="center" wrapText="1"/>
    </xf>
    <xf numFmtId="165" fontId="16" fillId="12" borderId="19" xfId="0" applyNumberFormat="1" applyFont="1" applyFill="1" applyBorder="1" applyAlignment="1">
      <alignment horizontal="center" vertical="center"/>
    </xf>
    <xf numFmtId="1" fontId="16" fillId="12" borderId="19" xfId="0" applyNumberFormat="1" applyFont="1" applyFill="1" applyBorder="1" applyAlignment="1">
      <alignment horizontal="center" vertical="center"/>
    </xf>
    <xf numFmtId="0" fontId="1" fillId="12" borderId="19" xfId="0" applyFont="1" applyFill="1" applyBorder="1" applyAlignment="1">
      <alignment horizontal="center" vertical="center"/>
    </xf>
    <xf numFmtId="0" fontId="1" fillId="12" borderId="19" xfId="0" applyFont="1" applyFill="1" applyBorder="1" applyAlignment="1">
      <alignment vertical="center"/>
    </xf>
    <xf numFmtId="0" fontId="16" fillId="12" borderId="19" xfId="0" applyFont="1" applyFill="1" applyBorder="1" applyAlignment="1">
      <alignment horizontal="center" vertical="center" wrapText="1"/>
    </xf>
    <xf numFmtId="0" fontId="16" fillId="0" borderId="19" xfId="0" applyFont="1" applyBorder="1" applyAlignment="1">
      <alignment horizontal="center" vertical="center" wrapText="1"/>
    </xf>
    <xf numFmtId="165" fontId="0" fillId="0" borderId="0" xfId="0" applyNumberFormat="1" applyAlignment="1">
      <alignment horizontal="center" vertical="center"/>
    </xf>
    <xf numFmtId="165" fontId="16" fillId="0" borderId="19" xfId="0" applyNumberFormat="1" applyFont="1" applyBorder="1" applyAlignment="1">
      <alignment horizontal="center" vertical="center"/>
    </xf>
    <xf numFmtId="0" fontId="18" fillId="0" borderId="19" xfId="0" applyFont="1" applyBorder="1" applyAlignment="1">
      <alignment horizontal="center" vertical="center" wrapText="1"/>
    </xf>
    <xf numFmtId="0" fontId="30" fillId="0" borderId="0" xfId="4" applyFill="1" applyBorder="1" applyAlignment="1">
      <alignment horizontal="center" vertical="center"/>
    </xf>
    <xf numFmtId="0" fontId="30" fillId="11" borderId="68" xfId="4" applyBorder="1"/>
    <xf numFmtId="0" fontId="30" fillId="0" borderId="0" xfId="4" applyFill="1" applyBorder="1"/>
    <xf numFmtId="0" fontId="30" fillId="0" borderId="13" xfId="4" applyFill="1" applyBorder="1" applyAlignment="1">
      <alignment horizontal="center" vertical="center"/>
    </xf>
    <xf numFmtId="0" fontId="0" fillId="0" borderId="13" xfId="0" applyBorder="1" applyAlignment="1">
      <alignment horizontal="center" vertical="center"/>
    </xf>
    <xf numFmtId="0" fontId="30" fillId="0" borderId="13" xfId="4" applyFill="1" applyBorder="1"/>
    <xf numFmtId="0" fontId="30" fillId="0" borderId="12" xfId="4" applyFill="1" applyBorder="1" applyAlignment="1">
      <alignment horizontal="center" vertical="center"/>
    </xf>
    <xf numFmtId="0" fontId="31" fillId="16" borderId="0" xfId="0" applyFont="1" applyFill="1" applyAlignment="1">
      <alignment horizontal="center" vertical="center" wrapText="1"/>
    </xf>
    <xf numFmtId="0" fontId="31" fillId="16" borderId="23"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0" xfId="0" applyFont="1" applyFill="1" applyAlignment="1">
      <alignment horizontal="center" vertical="center"/>
    </xf>
    <xf numFmtId="0" fontId="0" fillId="16" borderId="29" xfId="0" applyFill="1" applyBorder="1"/>
    <xf numFmtId="0" fontId="31" fillId="16" borderId="28" xfId="0" applyFont="1" applyFill="1" applyBorder="1" applyAlignment="1">
      <alignment horizontal="left" vertical="center" wrapText="1"/>
    </xf>
    <xf numFmtId="169" fontId="31" fillId="16" borderId="29" xfId="3" applyNumberFormat="1" applyFont="1" applyFill="1" applyBorder="1" applyAlignment="1">
      <alignment horizontal="center" vertical="center" wrapText="1"/>
    </xf>
    <xf numFmtId="0" fontId="31" fillId="16" borderId="30" xfId="0" applyFont="1" applyFill="1" applyBorder="1" applyAlignment="1">
      <alignment horizontal="center" vertical="center" wrapText="1"/>
    </xf>
    <xf numFmtId="0" fontId="31" fillId="16" borderId="28" xfId="0" applyFont="1" applyFill="1" applyBorder="1" applyAlignment="1">
      <alignment horizontal="center" vertical="center" wrapText="1"/>
    </xf>
    <xf numFmtId="0" fontId="31" fillId="16" borderId="29" xfId="0" applyFont="1" applyFill="1" applyBorder="1" applyAlignment="1">
      <alignment horizontal="center" vertical="center" wrapText="1"/>
    </xf>
    <xf numFmtId="0" fontId="0" fillId="0" borderId="0" xfId="0" applyAlignment="1">
      <alignment horizontal="left" vertical="center" wrapText="1"/>
    </xf>
    <xf numFmtId="0" fontId="5" fillId="0" borderId="25" xfId="0" applyFont="1" applyBorder="1" applyAlignment="1">
      <alignment horizontal="center" vertical="center"/>
    </xf>
    <xf numFmtId="169" fontId="5" fillId="0" borderId="25" xfId="0" applyNumberFormat="1" applyFont="1" applyBorder="1" applyAlignment="1">
      <alignment horizontal="center" vertical="center"/>
    </xf>
    <xf numFmtId="169" fontId="5" fillId="0" borderId="25" xfId="3" applyNumberFormat="1" applyFont="1" applyBorder="1" applyAlignment="1">
      <alignment horizontal="center" vertical="center"/>
    </xf>
    <xf numFmtId="0" fontId="5" fillId="0" borderId="26" xfId="0" applyFont="1" applyBorder="1" applyAlignment="1">
      <alignment horizontal="center" vertical="center"/>
    </xf>
    <xf numFmtId="9" fontId="5" fillId="0" borderId="0" xfId="1" applyFont="1" applyBorder="1" applyAlignment="1">
      <alignment horizontal="center" vertical="center"/>
    </xf>
    <xf numFmtId="9" fontId="5" fillId="0" borderId="27" xfId="1" applyFont="1" applyBorder="1" applyAlignment="1">
      <alignment horizontal="center" vertical="center"/>
    </xf>
    <xf numFmtId="169" fontId="5" fillId="0" borderId="29" xfId="0" applyNumberFormat="1" applyFont="1" applyBorder="1" applyAlignment="1">
      <alignment horizontal="center" vertical="center"/>
    </xf>
    <xf numFmtId="9" fontId="5" fillId="0" borderId="29" xfId="1" applyFont="1" applyBorder="1" applyAlignment="1">
      <alignment horizontal="center" vertical="center"/>
    </xf>
    <xf numFmtId="9" fontId="5" fillId="0" borderId="30" xfId="1" applyFont="1" applyBorder="1" applyAlignment="1">
      <alignment horizontal="center" vertical="center"/>
    </xf>
    <xf numFmtId="169" fontId="30" fillId="11" borderId="59" xfId="3" applyNumberFormat="1" applyFont="1" applyFill="1" applyBorder="1" applyAlignment="1">
      <alignment horizontal="center" vertical="center"/>
    </xf>
    <xf numFmtId="169" fontId="0" fillId="0" borderId="0" xfId="3" applyNumberFormat="1" applyFont="1" applyAlignment="1">
      <alignment horizontal="center"/>
    </xf>
    <xf numFmtId="169" fontId="0" fillId="0" borderId="28" xfId="3" applyNumberFormat="1" applyFont="1" applyBorder="1" applyAlignment="1">
      <alignment horizontal="center" vertical="center"/>
    </xf>
    <xf numFmtId="169" fontId="5" fillId="0" borderId="28" xfId="3" applyNumberFormat="1" applyFont="1" applyBorder="1" applyAlignment="1">
      <alignment horizontal="center" vertical="center"/>
    </xf>
    <xf numFmtId="169" fontId="0" fillId="0" borderId="23" xfId="3" applyNumberFormat="1" applyFont="1" applyBorder="1" applyAlignment="1">
      <alignment horizontal="center" vertical="center"/>
    </xf>
    <xf numFmtId="169" fontId="34" fillId="0" borderId="28" xfId="3" applyNumberFormat="1" applyFont="1" applyBorder="1" applyAlignment="1">
      <alignment horizontal="center" vertical="center"/>
    </xf>
    <xf numFmtId="169" fontId="0" fillId="0" borderId="12" xfId="3" applyNumberFormat="1" applyFont="1" applyBorder="1"/>
    <xf numFmtId="169" fontId="5" fillId="0" borderId="30" xfId="3" applyNumberFormat="1" applyFont="1" applyBorder="1" applyAlignment="1">
      <alignment horizontal="center" vertical="center"/>
    </xf>
    <xf numFmtId="169" fontId="0" fillId="0" borderId="27" xfId="3" applyNumberFormat="1" applyFont="1" applyBorder="1" applyAlignment="1">
      <alignment horizontal="center" vertical="center"/>
    </xf>
    <xf numFmtId="169" fontId="0" fillId="0" borderId="30" xfId="3" applyNumberFormat="1" applyFont="1" applyBorder="1" applyAlignment="1">
      <alignment horizontal="center" vertical="center"/>
    </xf>
    <xf numFmtId="169" fontId="34" fillId="0" borderId="30" xfId="3" applyNumberFormat="1" applyFont="1" applyBorder="1" applyAlignment="1">
      <alignment horizontal="center" vertical="center"/>
    </xf>
    <xf numFmtId="169" fontId="0" fillId="0" borderId="14" xfId="3" applyNumberFormat="1" applyFont="1" applyBorder="1"/>
    <xf numFmtId="169" fontId="30" fillId="11" borderId="61" xfId="3" applyNumberFormat="1" applyFont="1" applyFill="1" applyBorder="1" applyAlignment="1">
      <alignment horizontal="center" vertical="center"/>
    </xf>
    <xf numFmtId="169" fontId="0" fillId="0" borderId="25" xfId="3" applyNumberFormat="1" applyFont="1" applyBorder="1" applyAlignment="1">
      <alignment horizontal="center" vertical="center"/>
    </xf>
    <xf numFmtId="2" fontId="0" fillId="0" borderId="22" xfId="0" applyNumberFormat="1" applyBorder="1" applyAlignment="1">
      <alignment horizontal="center" vertical="center"/>
    </xf>
    <xf numFmtId="166" fontId="0" fillId="0" borderId="22" xfId="0" applyNumberFormat="1" applyBorder="1" applyAlignment="1">
      <alignment horizontal="center" vertical="center"/>
    </xf>
    <xf numFmtId="166" fontId="30" fillId="14" borderId="63" xfId="4" applyNumberFormat="1" applyFill="1" applyBorder="1"/>
    <xf numFmtId="169" fontId="0" fillId="0" borderId="26" xfId="3" applyNumberFormat="1" applyFont="1" applyBorder="1" applyAlignment="1">
      <alignment horizontal="center" vertical="center"/>
    </xf>
    <xf numFmtId="166" fontId="0" fillId="0" borderId="21" xfId="0" applyNumberFormat="1" applyBorder="1" applyAlignment="1">
      <alignment horizontal="center" vertical="center"/>
    </xf>
    <xf numFmtId="169" fontId="0" fillId="0" borderId="70" xfId="3" applyNumberFormat="1" applyFont="1" applyBorder="1"/>
    <xf numFmtId="169" fontId="0" fillId="0" borderId="28" xfId="3" applyNumberFormat="1" applyFont="1" applyBorder="1"/>
    <xf numFmtId="2" fontId="18" fillId="0" borderId="0" xfId="0" applyNumberFormat="1" applyFont="1" applyAlignment="1">
      <alignment horizontal="center" vertical="center" wrapText="1"/>
    </xf>
    <xf numFmtId="0" fontId="31" fillId="15" borderId="0" xfId="0" applyFont="1" applyFill="1" applyAlignment="1">
      <alignment horizontal="center" vertical="center" wrapText="1"/>
    </xf>
    <xf numFmtId="0" fontId="31" fillId="15" borderId="23" xfId="0" applyFont="1" applyFill="1" applyBorder="1" applyAlignment="1">
      <alignment horizontal="center" vertical="center"/>
    </xf>
    <xf numFmtId="0" fontId="31" fillId="15" borderId="27" xfId="0" applyFont="1" applyFill="1" applyBorder="1" applyAlignment="1">
      <alignment horizontal="center" vertical="center"/>
    </xf>
    <xf numFmtId="0" fontId="31" fillId="15" borderId="0" xfId="0" applyFont="1" applyFill="1" applyAlignment="1">
      <alignment horizontal="center" vertical="center"/>
    </xf>
    <xf numFmtId="0" fontId="31" fillId="15" borderId="28" xfId="0" applyFont="1" applyFill="1" applyBorder="1" applyAlignment="1">
      <alignment horizontal="center" vertical="center" wrapText="1"/>
    </xf>
    <xf numFmtId="0" fontId="31" fillId="15" borderId="29" xfId="0" applyFont="1" applyFill="1" applyBorder="1" applyAlignment="1">
      <alignment horizontal="center" vertical="center" wrapText="1"/>
    </xf>
    <xf numFmtId="0" fontId="0" fillId="15" borderId="29" xfId="0" applyFill="1" applyBorder="1"/>
    <xf numFmtId="0" fontId="31" fillId="15" borderId="28" xfId="0" applyFont="1" applyFill="1" applyBorder="1" applyAlignment="1">
      <alignment horizontal="left" vertical="center" wrapText="1"/>
    </xf>
    <xf numFmtId="169" fontId="31" fillId="15" borderId="29" xfId="3" applyNumberFormat="1" applyFont="1" applyFill="1" applyBorder="1" applyAlignment="1">
      <alignment horizontal="center" vertical="center" wrapText="1"/>
    </xf>
    <xf numFmtId="0" fontId="31" fillId="15" borderId="30" xfId="0" applyFont="1" applyFill="1" applyBorder="1" applyAlignment="1">
      <alignment horizontal="center" vertical="center" wrapText="1"/>
    </xf>
    <xf numFmtId="169" fontId="0" fillId="0" borderId="13" xfId="3" applyNumberFormat="1" applyFont="1" applyBorder="1" applyAlignment="1">
      <alignment horizontal="center" vertical="center"/>
    </xf>
    <xf numFmtId="169" fontId="30" fillId="11" borderId="59" xfId="4" applyNumberFormat="1" applyAlignment="1">
      <alignment horizontal="center" vertical="center"/>
    </xf>
    <xf numFmtId="170" fontId="30" fillId="14" borderId="63" xfId="3" applyNumberFormat="1" applyFont="1" applyFill="1" applyBorder="1"/>
    <xf numFmtId="170" fontId="30" fillId="11" borderId="64" xfId="3" applyNumberFormat="1" applyFont="1" applyFill="1" applyBorder="1" applyAlignment="1">
      <alignment horizontal="center" vertical="center"/>
    </xf>
    <xf numFmtId="170" fontId="30" fillId="11" borderId="66" xfId="3" applyNumberFormat="1" applyFont="1" applyFill="1" applyBorder="1" applyAlignment="1">
      <alignment horizontal="center" vertical="center"/>
    </xf>
    <xf numFmtId="170" fontId="30" fillId="11" borderId="63" xfId="3" applyNumberFormat="1" applyFont="1" applyFill="1" applyBorder="1"/>
    <xf numFmtId="170" fontId="30" fillId="11" borderId="65" xfId="3" applyNumberFormat="1" applyFont="1" applyFill="1" applyBorder="1" applyAlignment="1">
      <alignment horizontal="center" vertical="center"/>
    </xf>
    <xf numFmtId="43" fontId="5" fillId="0" borderId="14" xfId="3" applyFont="1" applyBorder="1" applyAlignment="1">
      <alignment horizontal="center" vertical="center"/>
    </xf>
    <xf numFmtId="43" fontId="5" fillId="0" borderId="13" xfId="3" applyFont="1" applyBorder="1" applyAlignment="1">
      <alignment horizontal="center" vertical="center"/>
    </xf>
    <xf numFmtId="170" fontId="0" fillId="0" borderId="24" xfId="3" applyNumberFormat="1" applyFont="1" applyBorder="1" applyAlignment="1">
      <alignment horizontal="center" vertical="center"/>
    </xf>
    <xf numFmtId="170" fontId="0" fillId="0" borderId="25" xfId="3" applyNumberFormat="1" applyFont="1" applyBorder="1" applyAlignment="1">
      <alignment horizontal="center" vertical="center"/>
    </xf>
    <xf numFmtId="170" fontId="5" fillId="0" borderId="14" xfId="3" applyNumberFormat="1" applyFont="1" applyBorder="1" applyAlignment="1">
      <alignment horizontal="center" vertical="center"/>
    </xf>
    <xf numFmtId="170" fontId="5" fillId="0" borderId="13" xfId="3" applyNumberFormat="1" applyFont="1" applyBorder="1" applyAlignment="1">
      <alignment horizontal="center" vertical="center"/>
    </xf>
    <xf numFmtId="170" fontId="0" fillId="0" borderId="22" xfId="3" applyNumberFormat="1" applyFont="1" applyBorder="1" applyAlignment="1">
      <alignment horizontal="center" vertical="center"/>
    </xf>
    <xf numFmtId="169" fontId="0" fillId="0" borderId="21" xfId="3" applyNumberFormat="1" applyFont="1" applyBorder="1" applyAlignment="1">
      <alignment horizontal="center" vertical="center"/>
    </xf>
    <xf numFmtId="43" fontId="30" fillId="11" borderId="59" xfId="3" applyFont="1" applyFill="1" applyBorder="1" applyAlignment="1">
      <alignment horizontal="center" vertical="center"/>
    </xf>
    <xf numFmtId="170" fontId="30" fillId="11" borderId="59" xfId="3" applyNumberFormat="1" applyFont="1" applyFill="1" applyBorder="1" applyAlignment="1">
      <alignment horizontal="center" vertical="center"/>
    </xf>
    <xf numFmtId="170" fontId="30" fillId="11" borderId="68" xfId="3" applyNumberFormat="1" applyFont="1" applyFill="1" applyBorder="1" applyAlignment="1">
      <alignment horizontal="center" vertical="center"/>
    </xf>
    <xf numFmtId="170" fontId="30" fillId="0" borderId="13" xfId="3" applyNumberFormat="1" applyFont="1" applyFill="1" applyBorder="1" applyAlignment="1">
      <alignment horizontal="center" vertical="center"/>
    </xf>
    <xf numFmtId="169" fontId="30" fillId="11" borderId="68" xfId="3" applyNumberFormat="1" applyFont="1" applyFill="1" applyBorder="1" applyAlignment="1">
      <alignment horizontal="center" vertical="center"/>
    </xf>
    <xf numFmtId="169" fontId="30" fillId="0" borderId="13" xfId="3" applyNumberFormat="1" applyFont="1" applyFill="1" applyBorder="1" applyAlignment="1">
      <alignment horizontal="center" vertical="center"/>
    </xf>
    <xf numFmtId="169" fontId="30" fillId="0" borderId="12" xfId="3" applyNumberFormat="1" applyFont="1" applyFill="1" applyBorder="1" applyAlignment="1">
      <alignment horizontal="center" vertical="center"/>
    </xf>
    <xf numFmtId="43" fontId="0" fillId="0" borderId="27" xfId="3" applyFont="1" applyBorder="1" applyAlignment="1">
      <alignment horizontal="center" vertical="center"/>
    </xf>
    <xf numFmtId="43" fontId="0" fillId="0" borderId="13" xfId="3" applyFont="1" applyBorder="1" applyAlignment="1">
      <alignment horizontal="center" vertical="center"/>
    </xf>
    <xf numFmtId="170" fontId="0" fillId="0" borderId="27" xfId="3" applyNumberFormat="1" applyFont="1" applyBorder="1" applyAlignment="1">
      <alignment horizontal="center" vertical="center"/>
    </xf>
    <xf numFmtId="170" fontId="0" fillId="0" borderId="13" xfId="3" applyNumberFormat="1" applyFont="1" applyBorder="1" applyAlignment="1">
      <alignment horizontal="center" vertical="center"/>
    </xf>
    <xf numFmtId="43" fontId="0" fillId="0" borderId="29" xfId="3" applyFont="1" applyBorder="1" applyAlignment="1">
      <alignment horizontal="center" vertical="center"/>
    </xf>
    <xf numFmtId="43" fontId="5" fillId="0" borderId="29" xfId="3" applyFont="1" applyBorder="1" applyAlignment="1">
      <alignment horizontal="center" vertical="center"/>
    </xf>
    <xf numFmtId="43" fontId="0" fillId="0" borderId="0" xfId="3" applyFont="1" applyAlignment="1">
      <alignment horizontal="center" vertical="center"/>
    </xf>
    <xf numFmtId="43" fontId="34" fillId="0" borderId="29" xfId="3" applyFont="1" applyBorder="1" applyAlignment="1">
      <alignment horizontal="center" vertical="center"/>
    </xf>
    <xf numFmtId="43" fontId="0" fillId="0" borderId="13" xfId="3" applyFont="1" applyBorder="1"/>
    <xf numFmtId="170" fontId="0" fillId="0" borderId="29" xfId="3" applyNumberFormat="1" applyFont="1" applyBorder="1" applyAlignment="1">
      <alignment horizontal="center" vertical="center"/>
    </xf>
    <xf numFmtId="170" fontId="5" fillId="0" borderId="29" xfId="3" applyNumberFormat="1" applyFont="1" applyBorder="1" applyAlignment="1">
      <alignment horizontal="center" vertical="center"/>
    </xf>
    <xf numFmtId="170" fontId="0" fillId="0" borderId="0" xfId="3" applyNumberFormat="1" applyFont="1" applyAlignment="1">
      <alignment horizontal="center" vertical="center"/>
    </xf>
    <xf numFmtId="170" fontId="34" fillId="0" borderId="29" xfId="3" applyNumberFormat="1" applyFont="1" applyBorder="1" applyAlignment="1">
      <alignment horizontal="center" vertical="center"/>
    </xf>
    <xf numFmtId="170" fontId="0" fillId="0" borderId="13" xfId="3" applyNumberFormat="1" applyFont="1" applyBorder="1"/>
    <xf numFmtId="169" fontId="34" fillId="0" borderId="29" xfId="3" applyNumberFormat="1" applyFont="1" applyBorder="1" applyAlignment="1">
      <alignment horizontal="center" vertical="center"/>
    </xf>
    <xf numFmtId="169" fontId="0" fillId="0" borderId="13" xfId="3" applyNumberFormat="1" applyFont="1" applyBorder="1"/>
    <xf numFmtId="43" fontId="0" fillId="0" borderId="30" xfId="3" applyFont="1" applyBorder="1" applyAlignment="1">
      <alignment horizontal="center" vertical="center"/>
    </xf>
    <xf numFmtId="43" fontId="5" fillId="0" borderId="30" xfId="3" applyFont="1" applyBorder="1" applyAlignment="1">
      <alignment horizontal="center" vertical="center"/>
    </xf>
    <xf numFmtId="43" fontId="34" fillId="0" borderId="30" xfId="3" applyFont="1" applyBorder="1" applyAlignment="1">
      <alignment horizontal="center" vertical="center"/>
    </xf>
    <xf numFmtId="43" fontId="0" fillId="0" borderId="14" xfId="3" applyFont="1" applyBorder="1"/>
    <xf numFmtId="170" fontId="0" fillId="0" borderId="30" xfId="3" applyNumberFormat="1" applyFont="1" applyBorder="1" applyAlignment="1">
      <alignment horizontal="center" vertical="center"/>
    </xf>
    <xf numFmtId="170" fontId="5" fillId="0" borderId="30" xfId="3" applyNumberFormat="1" applyFont="1" applyBorder="1" applyAlignment="1">
      <alignment horizontal="center" vertical="center"/>
    </xf>
    <xf numFmtId="170" fontId="34" fillId="0" borderId="30" xfId="3" applyNumberFormat="1" applyFont="1" applyBorder="1" applyAlignment="1">
      <alignment horizontal="center" vertical="center"/>
    </xf>
    <xf numFmtId="170" fontId="0" fillId="0" borderId="14" xfId="3" applyNumberFormat="1" applyFont="1" applyBorder="1"/>
    <xf numFmtId="43" fontId="0" fillId="0" borderId="0" xfId="3" applyFont="1"/>
    <xf numFmtId="2" fontId="5" fillId="0" borderId="30" xfId="0" applyNumberFormat="1" applyFont="1" applyBorder="1" applyAlignment="1">
      <alignment horizontal="center" vertical="center"/>
    </xf>
    <xf numFmtId="2" fontId="30" fillId="11" borderId="59" xfId="4" applyNumberFormat="1" applyAlignment="1">
      <alignment horizontal="center" vertical="center"/>
    </xf>
    <xf numFmtId="43" fontId="0" fillId="0" borderId="22" xfId="3" applyFont="1" applyBorder="1" applyAlignment="1">
      <alignment horizontal="center" vertical="center"/>
    </xf>
    <xf numFmtId="0" fontId="0" fillId="0" borderId="27" xfId="0" applyBorder="1"/>
    <xf numFmtId="0" fontId="0" fillId="0" borderId="23" xfId="0" applyBorder="1" applyAlignment="1">
      <alignment horizontal="left" indent="1"/>
    </xf>
    <xf numFmtId="0" fontId="0" fillId="0" borderId="23" xfId="0" applyBorder="1" applyAlignment="1">
      <alignment horizontal="left" indent="2"/>
    </xf>
    <xf numFmtId="0" fontId="0" fillId="0" borderId="23" xfId="0" applyBorder="1" applyAlignment="1">
      <alignment horizontal="left"/>
    </xf>
    <xf numFmtId="0" fontId="0" fillId="0" borderId="28" xfId="0" applyBorder="1" applyAlignment="1">
      <alignment horizontal="left" indent="1"/>
    </xf>
    <xf numFmtId="0" fontId="0" fillId="0" borderId="30" xfId="0" applyBorder="1"/>
    <xf numFmtId="0" fontId="31" fillId="18" borderId="24" xfId="0" applyFont="1" applyFill="1" applyBorder="1"/>
    <xf numFmtId="0" fontId="31" fillId="18" borderId="25" xfId="0" applyFont="1" applyFill="1" applyBorder="1"/>
    <xf numFmtId="0" fontId="31" fillId="18" borderId="26" xfId="0" applyFont="1" applyFill="1" applyBorder="1"/>
    <xf numFmtId="0" fontId="0" fillId="0" borderId="27" xfId="0" applyBorder="1" applyAlignment="1">
      <alignment wrapText="1"/>
    </xf>
    <xf numFmtId="0" fontId="38" fillId="0" borderId="0" xfId="5" applyAlignment="1">
      <alignment vertical="center"/>
    </xf>
    <xf numFmtId="0" fontId="16" fillId="0" borderId="29" xfId="0" applyFont="1" applyBorder="1"/>
    <xf numFmtId="169" fontId="18" fillId="0" borderId="0" xfId="0" applyNumberFormat="1" applyFont="1" applyAlignment="1">
      <alignment vertical="center" wrapText="1"/>
    </xf>
    <xf numFmtId="0" fontId="15" fillId="7" borderId="0" xfId="0" applyFont="1" applyFill="1" applyAlignment="1">
      <alignment horizontal="center" vertical="center"/>
    </xf>
    <xf numFmtId="0" fontId="16" fillId="0" borderId="29" xfId="0" applyFont="1" applyBorder="1" applyAlignment="1">
      <alignment horizontal="center" vertical="center" wrapText="1"/>
    </xf>
    <xf numFmtId="9" fontId="16" fillId="0" borderId="29" xfId="1" applyFont="1" applyFill="1" applyBorder="1" applyAlignment="1">
      <alignment horizontal="center"/>
    </xf>
    <xf numFmtId="0" fontId="18" fillId="0" borderId="29" xfId="0" applyFont="1" applyBorder="1" applyAlignment="1">
      <alignment horizontal="center" vertical="center" wrapText="1"/>
    </xf>
    <xf numFmtId="165" fontId="1" fillId="0" borderId="19" xfId="0" applyNumberFormat="1" applyFont="1" applyBorder="1" applyAlignment="1">
      <alignment horizontal="center" vertical="center"/>
    </xf>
    <xf numFmtId="0" fontId="1" fillId="0" borderId="19" xfId="0" applyFont="1" applyBorder="1" applyAlignment="1">
      <alignment horizontal="center" vertical="center" wrapText="1"/>
    </xf>
    <xf numFmtId="1" fontId="16" fillId="0" borderId="19" xfId="0" applyNumberFormat="1" applyFont="1" applyBorder="1" applyAlignment="1">
      <alignment horizontal="center" vertical="center"/>
    </xf>
    <xf numFmtId="0" fontId="1" fillId="0" borderId="19" xfId="0" applyFont="1" applyBorder="1" applyAlignment="1">
      <alignment vertical="center" wrapText="1"/>
    </xf>
    <xf numFmtId="0" fontId="12" fillId="0" borderId="0" xfId="0" applyFont="1"/>
    <xf numFmtId="0" fontId="40" fillId="0" borderId="0" xfId="0" applyFont="1"/>
    <xf numFmtId="0" fontId="40" fillId="0" borderId="0" xfId="0" quotePrefix="1" applyFont="1"/>
    <xf numFmtId="171" fontId="40" fillId="0" borderId="0" xfId="0" applyNumberFormat="1" applyFont="1"/>
    <xf numFmtId="9" fontId="40" fillId="0" borderId="0" xfId="0" quotePrefix="1" applyNumberFormat="1" applyFont="1"/>
    <xf numFmtId="0" fontId="38" fillId="0" borderId="0" xfId="5" applyFill="1" applyBorder="1" applyAlignment="1"/>
    <xf numFmtId="168" fontId="1" fillId="0" borderId="19" xfId="0" applyNumberFormat="1" applyFont="1" applyBorder="1" applyAlignment="1">
      <alignment horizontal="center" vertical="center"/>
    </xf>
    <xf numFmtId="9" fontId="1" fillId="0" borderId="19" xfId="1" applyFont="1" applyBorder="1" applyAlignment="1">
      <alignment vertical="center"/>
    </xf>
    <xf numFmtId="2" fontId="1" fillId="0" borderId="19" xfId="0" applyNumberFormat="1" applyFont="1" applyBorder="1" applyAlignment="1">
      <alignment horizontal="center" vertical="center"/>
    </xf>
    <xf numFmtId="0" fontId="31" fillId="18" borderId="23" xfId="0" applyFont="1" applyFill="1" applyBorder="1"/>
    <xf numFmtId="0" fontId="31" fillId="18" borderId="0" xfId="0" applyFont="1" applyFill="1"/>
    <xf numFmtId="0" fontId="31" fillId="18" borderId="27" xfId="0" applyFont="1" applyFill="1" applyBorder="1"/>
    <xf numFmtId="0" fontId="26" fillId="0" borderId="0" xfId="0" applyFont="1" applyAlignment="1">
      <alignment wrapText="1"/>
    </xf>
    <xf numFmtId="0" fontId="26" fillId="0" borderId="9" xfId="0" applyFont="1" applyBorder="1" applyAlignment="1">
      <alignment wrapText="1"/>
    </xf>
    <xf numFmtId="171" fontId="0" fillId="14" borderId="19" xfId="0" applyNumberFormat="1" applyFill="1" applyBorder="1"/>
    <xf numFmtId="0" fontId="41" fillId="14" borderId="19" xfId="0" applyFont="1" applyFill="1" applyBorder="1" applyAlignment="1">
      <alignment wrapText="1"/>
    </xf>
    <xf numFmtId="2" fontId="0" fillId="14" borderId="19" xfId="0" applyNumberFormat="1" applyFill="1" applyBorder="1"/>
    <xf numFmtId="2" fontId="0" fillId="14" borderId="19" xfId="3" applyNumberFormat="1" applyFont="1" applyFill="1" applyBorder="1"/>
    <xf numFmtId="9" fontId="0" fillId="14" borderId="19" xfId="1" applyFont="1" applyFill="1" applyBorder="1"/>
    <xf numFmtId="170" fontId="0" fillId="14" borderId="19" xfId="3" applyNumberFormat="1" applyFont="1" applyFill="1" applyBorder="1"/>
    <xf numFmtId="0" fontId="0" fillId="14" borderId="19" xfId="0" applyFill="1" applyBorder="1" applyAlignment="1">
      <alignment wrapText="1"/>
    </xf>
    <xf numFmtId="169" fontId="0" fillId="14" borderId="19" xfId="3" applyNumberFormat="1" applyFont="1" applyFill="1" applyBorder="1"/>
    <xf numFmtId="0" fontId="0" fillId="14" borderId="19" xfId="0" applyFill="1" applyBorder="1"/>
    <xf numFmtId="9" fontId="0" fillId="14" borderId="19" xfId="0" applyNumberFormat="1" applyFill="1" applyBorder="1"/>
    <xf numFmtId="2" fontId="40" fillId="0" borderId="0" xfId="0" applyNumberFormat="1" applyFont="1"/>
    <xf numFmtId="0" fontId="0" fillId="0" borderId="20" xfId="0" applyBorder="1" applyAlignment="1">
      <alignment wrapText="1"/>
    </xf>
    <xf numFmtId="0" fontId="0" fillId="0" borderId="28" xfId="0" applyBorder="1" applyAlignment="1">
      <alignment horizontal="left" vertical="center"/>
    </xf>
    <xf numFmtId="9" fontId="0" fillId="0" borderId="0" xfId="0" applyNumberFormat="1"/>
    <xf numFmtId="165" fontId="18" fillId="0" borderId="0" xfId="1" applyNumberFormat="1" applyFont="1" applyAlignment="1">
      <alignment horizontal="center" vertical="center"/>
    </xf>
    <xf numFmtId="0" fontId="1" fillId="0" borderId="19" xfId="0" applyFont="1" applyBorder="1" applyAlignment="1">
      <alignment horizontal="left" vertical="center"/>
    </xf>
    <xf numFmtId="0" fontId="0" fillId="0" borderId="23" xfId="0" applyBorder="1" applyAlignment="1">
      <alignment vertical="center" wrapText="1"/>
    </xf>
    <xf numFmtId="0" fontId="32" fillId="0" borderId="0" xfId="0" applyFont="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0" fillId="0" borderId="14" xfId="0" applyBorder="1" applyAlignment="1">
      <alignment horizontal="center" vertical="center" wrapText="1"/>
    </xf>
    <xf numFmtId="0" fontId="5" fillId="0" borderId="19" xfId="0" applyFont="1" applyBorder="1" applyAlignment="1">
      <alignment horizontal="center"/>
    </xf>
    <xf numFmtId="0" fontId="5" fillId="0" borderId="5" xfId="0" applyFont="1" applyBorder="1" applyAlignment="1">
      <alignment horizontal="center"/>
    </xf>
    <xf numFmtId="3" fontId="0" fillId="7" borderId="22" xfId="0" applyNumberFormat="1" applyFill="1" applyBorder="1" applyAlignment="1">
      <alignment horizontal="center" vertical="center"/>
    </xf>
    <xf numFmtId="3" fontId="0" fillId="7" borderId="21" xfId="0" applyNumberFormat="1" applyFill="1" applyBorder="1" applyAlignment="1">
      <alignment horizontal="center" vertical="center"/>
    </xf>
    <xf numFmtId="0" fontId="5" fillId="0" borderId="4" xfId="0" applyFont="1" applyBorder="1" applyAlignment="1">
      <alignment horizontal="center"/>
    </xf>
    <xf numFmtId="0" fontId="5" fillId="0" borderId="2" xfId="0" applyFont="1" applyBorder="1" applyAlignment="1">
      <alignment horizontal="center"/>
    </xf>
    <xf numFmtId="0" fontId="5" fillId="0" borderId="16" xfId="0" applyFont="1" applyBorder="1" applyAlignment="1">
      <alignment horizontal="center" vertical="center" wrapText="1"/>
    </xf>
    <xf numFmtId="0" fontId="5" fillId="0" borderId="9" xfId="0" applyFont="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3" fontId="0" fillId="0" borderId="12" xfId="0" applyNumberFormat="1" applyBorder="1" applyAlignment="1">
      <alignment horizontal="center"/>
    </xf>
    <xf numFmtId="3" fontId="0" fillId="0" borderId="14" xfId="0" applyNumberFormat="1" applyBorder="1" applyAlignment="1">
      <alignment horizontal="center"/>
    </xf>
    <xf numFmtId="3" fontId="0" fillId="0" borderId="24" xfId="0" applyNumberFormat="1" applyBorder="1" applyAlignment="1">
      <alignment horizontal="center" vertical="center"/>
    </xf>
    <xf numFmtId="3" fontId="0" fillId="0" borderId="26" xfId="0" applyNumberFormat="1" applyBorder="1" applyAlignment="1">
      <alignment horizontal="center" vertical="center"/>
    </xf>
    <xf numFmtId="3" fontId="0" fillId="0" borderId="23" xfId="0" applyNumberFormat="1" applyBorder="1" applyAlignment="1">
      <alignment horizontal="center" vertical="center"/>
    </xf>
    <xf numFmtId="3" fontId="0" fillId="0" borderId="27" xfId="0" applyNumberFormat="1" applyBorder="1" applyAlignment="1">
      <alignment horizontal="center" vertical="center"/>
    </xf>
    <xf numFmtId="3" fontId="0" fillId="0" borderId="28" xfId="0" applyNumberFormat="1" applyBorder="1" applyAlignment="1">
      <alignment horizontal="center" vertical="center"/>
    </xf>
    <xf numFmtId="3" fontId="0" fillId="0" borderId="30" xfId="0" applyNumberFormat="1" applyBorder="1" applyAlignment="1">
      <alignment horizontal="center" vertical="center"/>
    </xf>
    <xf numFmtId="0" fontId="5" fillId="0" borderId="44" xfId="0" applyFont="1" applyBorder="1" applyAlignment="1">
      <alignment horizont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3" fontId="0" fillId="2" borderId="22" xfId="0" applyNumberFormat="1" applyFill="1" applyBorder="1" applyAlignment="1">
      <alignment horizontal="center" vertical="center"/>
    </xf>
    <xf numFmtId="3" fontId="0" fillId="2" borderId="21" xfId="0" applyNumberFormat="1" applyFill="1"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center" vertical="center" wrapText="1"/>
    </xf>
    <xf numFmtId="0" fontId="0" fillId="2" borderId="22" xfId="0" applyFill="1" applyBorder="1" applyAlignment="1">
      <alignment horizontal="center" vertical="center"/>
    </xf>
    <xf numFmtId="0" fontId="0" fillId="2" borderId="21" xfId="0" applyFill="1" applyBorder="1" applyAlignment="1">
      <alignment horizontal="center" vertical="center"/>
    </xf>
    <xf numFmtId="0" fontId="0" fillId="7" borderId="19" xfId="0" applyFill="1" applyBorder="1" applyAlignment="1">
      <alignment horizontal="center" vertical="center"/>
    </xf>
    <xf numFmtId="0" fontId="32" fillId="13" borderId="24" xfId="0" applyFont="1" applyFill="1" applyBorder="1" applyAlignment="1">
      <alignment horizontal="center" vertical="center" wrapText="1"/>
    </xf>
    <xf numFmtId="0" fontId="32" fillId="17" borderId="24" xfId="0" applyFont="1" applyFill="1" applyBorder="1" applyAlignment="1">
      <alignment horizontal="center" vertical="center"/>
    </xf>
    <xf numFmtId="0" fontId="32" fillId="17" borderId="25" xfId="0" applyFont="1" applyFill="1" applyBorder="1" applyAlignment="1">
      <alignment horizontal="center" vertical="center"/>
    </xf>
    <xf numFmtId="0" fontId="32" fillId="17" borderId="26" xfId="0" applyFont="1" applyFill="1" applyBorder="1" applyAlignment="1">
      <alignment horizontal="center" vertical="center"/>
    </xf>
    <xf numFmtId="0" fontId="32" fillId="17" borderId="23" xfId="0" applyFont="1" applyFill="1" applyBorder="1" applyAlignment="1">
      <alignment horizontal="center" vertical="center"/>
    </xf>
    <xf numFmtId="0" fontId="32" fillId="17" borderId="0" xfId="0" applyFont="1" applyFill="1" applyAlignment="1">
      <alignment horizontal="center" vertical="center"/>
    </xf>
    <xf numFmtId="0" fontId="32" fillId="17" borderId="27" xfId="0" applyFont="1" applyFill="1" applyBorder="1" applyAlignment="1">
      <alignment horizontal="center" vertical="center"/>
    </xf>
    <xf numFmtId="0" fontId="32" fillId="17" borderId="28" xfId="0" applyFont="1" applyFill="1" applyBorder="1" applyAlignment="1">
      <alignment horizontal="center" vertical="center"/>
    </xf>
    <xf numFmtId="0" fontId="32" fillId="17" borderId="29" xfId="0" applyFont="1" applyFill="1" applyBorder="1" applyAlignment="1">
      <alignment horizontal="center" vertical="center"/>
    </xf>
    <xf numFmtId="0" fontId="32" fillId="17" borderId="30" xfId="0" applyFont="1" applyFill="1" applyBorder="1" applyAlignment="1">
      <alignment horizontal="center"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3" fillId="0" borderId="0" xfId="0" applyFont="1" applyAlignment="1">
      <alignment horizontal="left" vertical="center"/>
    </xf>
    <xf numFmtId="0" fontId="32" fillId="13" borderId="24" xfId="0" applyFont="1" applyFill="1" applyBorder="1" applyAlignment="1">
      <alignment horizontal="center" vertical="center"/>
    </xf>
    <xf numFmtId="0" fontId="31" fillId="13" borderId="24" xfId="0" applyFont="1" applyFill="1" applyBorder="1" applyAlignment="1">
      <alignment horizontal="left" vertical="center"/>
    </xf>
    <xf numFmtId="0" fontId="31" fillId="13" borderId="23" xfId="0" applyFont="1" applyFill="1" applyBorder="1" applyAlignment="1">
      <alignment horizontal="left" vertical="center"/>
    </xf>
    <xf numFmtId="169" fontId="31" fillId="13" borderId="26" xfId="3" applyNumberFormat="1" applyFont="1" applyFill="1" applyBorder="1" applyAlignment="1">
      <alignment horizontal="center" vertical="center"/>
    </xf>
    <xf numFmtId="169" fontId="31" fillId="13" borderId="27" xfId="3" applyNumberFormat="1" applyFont="1" applyFill="1" applyBorder="1" applyAlignment="1">
      <alignment horizontal="center" vertical="center"/>
    </xf>
    <xf numFmtId="0" fontId="31" fillId="13" borderId="24" xfId="0" applyFont="1" applyFill="1" applyBorder="1" applyAlignment="1">
      <alignment horizontal="center" vertical="center"/>
    </xf>
    <xf numFmtId="0" fontId="31" fillId="13" borderId="26" xfId="0" applyFont="1" applyFill="1" applyBorder="1" applyAlignment="1">
      <alignment horizontal="center" vertical="center"/>
    </xf>
    <xf numFmtId="0" fontId="31" fillId="13" borderId="22" xfId="0" applyFont="1" applyFill="1" applyBorder="1" applyAlignment="1">
      <alignment horizontal="center" vertical="center" wrapText="1"/>
    </xf>
    <xf numFmtId="0" fontId="31" fillId="13" borderId="23" xfId="0" applyFont="1" applyFill="1" applyBorder="1" applyAlignment="1">
      <alignment horizontal="center" wrapText="1"/>
    </xf>
    <xf numFmtId="0" fontId="31" fillId="13" borderId="0" xfId="0" applyFont="1" applyFill="1" applyAlignment="1">
      <alignment horizontal="center" vertical="center" wrapText="1"/>
    </xf>
    <xf numFmtId="0" fontId="31" fillId="13" borderId="12" xfId="0" applyFont="1" applyFill="1" applyBorder="1" applyAlignment="1">
      <alignment horizontal="center" vertical="center" wrapText="1"/>
    </xf>
    <xf numFmtId="0" fontId="34" fillId="0" borderId="12" xfId="0" applyFont="1" applyBorder="1" applyAlignment="1">
      <alignment horizontal="left"/>
    </xf>
    <xf numFmtId="0" fontId="34" fillId="0" borderId="13" xfId="0" applyFont="1" applyBorder="1" applyAlignment="1">
      <alignment horizontal="left"/>
    </xf>
    <xf numFmtId="0" fontId="34" fillId="0" borderId="14" xfId="0" applyFont="1" applyBorder="1" applyAlignment="1">
      <alignment horizontal="left"/>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34" fillId="0" borderId="12" xfId="0" applyFont="1" applyBorder="1" applyAlignment="1">
      <alignment horizontal="left" vertical="center"/>
    </xf>
    <xf numFmtId="0" fontId="34" fillId="0" borderId="13" xfId="0" applyFont="1" applyBorder="1" applyAlignment="1">
      <alignment horizontal="left" vertical="center"/>
    </xf>
    <xf numFmtId="0" fontId="34" fillId="0" borderId="14" xfId="0" applyFont="1" applyBorder="1" applyAlignment="1">
      <alignment horizontal="left" vertical="center"/>
    </xf>
    <xf numFmtId="0" fontId="32" fillId="16" borderId="24" xfId="0" applyFont="1" applyFill="1" applyBorder="1" applyAlignment="1">
      <alignment horizontal="center" vertical="center"/>
    </xf>
    <xf numFmtId="0" fontId="31" fillId="16" borderId="24" xfId="0" applyFont="1" applyFill="1" applyBorder="1" applyAlignment="1">
      <alignment horizontal="left" vertical="center"/>
    </xf>
    <xf numFmtId="0" fontId="31" fillId="16" borderId="23" xfId="0" applyFont="1" applyFill="1" applyBorder="1" applyAlignment="1">
      <alignment horizontal="left" vertical="center"/>
    </xf>
    <xf numFmtId="169" fontId="31" fillId="16" borderId="26" xfId="3" applyNumberFormat="1" applyFont="1" applyFill="1" applyBorder="1" applyAlignment="1">
      <alignment horizontal="center" vertical="center"/>
    </xf>
    <xf numFmtId="169" fontId="31" fillId="16" borderId="27" xfId="3" applyNumberFormat="1" applyFont="1" applyFill="1" applyBorder="1" applyAlignment="1">
      <alignment horizontal="center" vertical="center"/>
    </xf>
    <xf numFmtId="0" fontId="31" fillId="16" borderId="24" xfId="0" applyFont="1" applyFill="1" applyBorder="1" applyAlignment="1">
      <alignment horizontal="center" vertical="center"/>
    </xf>
    <xf numFmtId="0" fontId="31" fillId="16" borderId="26" xfId="0" applyFont="1" applyFill="1" applyBorder="1" applyAlignment="1">
      <alignment horizontal="center" vertical="center"/>
    </xf>
    <xf numFmtId="0" fontId="31" fillId="16" borderId="22" xfId="0" applyFont="1" applyFill="1" applyBorder="1" applyAlignment="1">
      <alignment horizontal="center" vertical="center" wrapText="1"/>
    </xf>
    <xf numFmtId="0" fontId="31" fillId="16" borderId="23" xfId="0" applyFont="1" applyFill="1" applyBorder="1" applyAlignment="1">
      <alignment horizontal="center" wrapText="1"/>
    </xf>
    <xf numFmtId="0" fontId="31" fillId="16" borderId="0" xfId="0" applyFont="1" applyFill="1" applyAlignment="1">
      <alignment horizontal="center" vertical="center" wrapText="1"/>
    </xf>
    <xf numFmtId="0" fontId="31" fillId="16" borderId="12" xfId="0" applyFont="1" applyFill="1" applyBorder="1" applyAlignment="1">
      <alignment horizontal="center" vertical="center" wrapText="1"/>
    </xf>
    <xf numFmtId="0" fontId="31" fillId="13" borderId="20" xfId="0" applyFont="1" applyFill="1" applyBorder="1" applyAlignment="1">
      <alignment horizontal="center" vertical="center"/>
    </xf>
    <xf numFmtId="0" fontId="31" fillId="13" borderId="24" xfId="0" applyFont="1" applyFill="1" applyBorder="1" applyAlignment="1">
      <alignment horizontal="center" vertical="center" wrapText="1"/>
    </xf>
    <xf numFmtId="0" fontId="31" fillId="13" borderId="28" xfId="0" applyFont="1" applyFill="1" applyBorder="1" applyAlignment="1">
      <alignment horizontal="center" vertical="center" wrapText="1"/>
    </xf>
    <xf numFmtId="0" fontId="31" fillId="13" borderId="25" xfId="0" applyFont="1" applyFill="1" applyBorder="1" applyAlignment="1">
      <alignment horizontal="center" vertical="center"/>
    </xf>
    <xf numFmtId="0" fontId="31" fillId="13" borderId="29" xfId="0" applyFont="1" applyFill="1" applyBorder="1" applyAlignment="1">
      <alignment horizontal="center" vertical="center"/>
    </xf>
    <xf numFmtId="0" fontId="31" fillId="13" borderId="0" xfId="0" applyFont="1" applyFill="1" applyAlignment="1">
      <alignment horizontal="center" vertical="center"/>
    </xf>
    <xf numFmtId="0" fontId="31" fillId="13" borderId="24" xfId="0" applyFont="1" applyFill="1" applyBorder="1" applyAlignment="1">
      <alignment horizontal="left" vertical="center" wrapText="1"/>
    </xf>
    <xf numFmtId="0" fontId="31" fillId="13" borderId="23" xfId="0" applyFont="1" applyFill="1" applyBorder="1" applyAlignment="1">
      <alignment horizontal="center" vertical="center" wrapText="1"/>
    </xf>
    <xf numFmtId="0" fontId="31" fillId="13" borderId="26" xfId="0" applyFont="1" applyFill="1" applyBorder="1" applyAlignment="1">
      <alignment horizontal="center" vertical="center" wrapText="1"/>
    </xf>
    <xf numFmtId="0" fontId="31" fillId="13" borderId="23" xfId="0" applyFont="1" applyFill="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9" fontId="30" fillId="11" borderId="72" xfId="1" applyFont="1" applyFill="1" applyBorder="1" applyAlignment="1">
      <alignment horizontal="center" vertical="center"/>
    </xf>
    <xf numFmtId="9" fontId="30" fillId="11" borderId="73" xfId="1" applyFont="1" applyFill="1" applyBorder="1" applyAlignment="1">
      <alignment horizontal="center" vertical="center"/>
    </xf>
    <xf numFmtId="9" fontId="30" fillId="11" borderId="77" xfId="1" applyFont="1" applyFill="1" applyBorder="1" applyAlignment="1">
      <alignment horizontal="center" vertical="center"/>
    </xf>
    <xf numFmtId="0" fontId="33" fillId="0" borderId="0" xfId="0" applyFont="1" applyAlignment="1">
      <alignment horizontal="left" vertical="center" wrapText="1"/>
    </xf>
    <xf numFmtId="0" fontId="31" fillId="15" borderId="0" xfId="0" applyFont="1" applyFill="1" applyAlignment="1">
      <alignment horizontal="center" vertical="center" wrapText="1"/>
    </xf>
    <xf numFmtId="0" fontId="31" fillId="15" borderId="24" xfId="0" applyFont="1" applyFill="1" applyBorder="1" applyAlignment="1">
      <alignment horizontal="left" vertical="center" wrapText="1"/>
    </xf>
    <xf numFmtId="169" fontId="31" fillId="15" borderId="26" xfId="3" applyNumberFormat="1" applyFont="1" applyFill="1" applyBorder="1" applyAlignment="1">
      <alignment horizontal="center" vertical="center"/>
    </xf>
    <xf numFmtId="0" fontId="31" fillId="15" borderId="23" xfId="0" applyFont="1" applyFill="1" applyBorder="1" applyAlignment="1">
      <alignment horizontal="center" vertical="center" wrapText="1"/>
    </xf>
    <xf numFmtId="0" fontId="31" fillId="15" borderId="26" xfId="0" applyFont="1" applyFill="1" applyBorder="1" applyAlignment="1">
      <alignment horizontal="center" vertical="center"/>
    </xf>
    <xf numFmtId="0" fontId="31" fillId="15" borderId="20" xfId="0" applyFont="1" applyFill="1" applyBorder="1" applyAlignment="1">
      <alignment horizontal="center" vertical="center"/>
    </xf>
    <xf numFmtId="0" fontId="31" fillId="15" borderId="24" xfId="0" applyFont="1" applyFill="1" applyBorder="1" applyAlignment="1">
      <alignment horizontal="center" vertical="center" wrapText="1"/>
    </xf>
    <xf numFmtId="0" fontId="31" fillId="15" borderId="28" xfId="0" applyFont="1" applyFill="1" applyBorder="1" applyAlignment="1">
      <alignment horizontal="center" vertical="center" wrapText="1"/>
    </xf>
    <xf numFmtId="0" fontId="31" fillId="15" borderId="12" xfId="0" applyFont="1" applyFill="1" applyBorder="1" applyAlignment="1">
      <alignment horizontal="center" vertical="center" wrapText="1"/>
    </xf>
    <xf numFmtId="0" fontId="32" fillId="15" borderId="24" xfId="0" applyFont="1" applyFill="1" applyBorder="1" applyAlignment="1">
      <alignment horizontal="center" vertical="center"/>
    </xf>
    <xf numFmtId="0" fontId="31" fillId="15" borderId="24" xfId="0" applyFont="1" applyFill="1" applyBorder="1" applyAlignment="1">
      <alignment horizontal="left" vertical="center"/>
    </xf>
    <xf numFmtId="0" fontId="31" fillId="15" borderId="23" xfId="0" applyFont="1" applyFill="1" applyBorder="1" applyAlignment="1">
      <alignment horizontal="left" vertical="center"/>
    </xf>
    <xf numFmtId="169" fontId="31" fillId="15" borderId="27" xfId="3" applyNumberFormat="1" applyFont="1" applyFill="1" applyBorder="1" applyAlignment="1">
      <alignment horizontal="center" vertical="center"/>
    </xf>
    <xf numFmtId="0" fontId="31" fillId="15" borderId="24" xfId="0" applyFont="1" applyFill="1" applyBorder="1" applyAlignment="1">
      <alignment horizontal="center" vertical="center"/>
    </xf>
    <xf numFmtId="0" fontId="31" fillId="15" borderId="22" xfId="0" applyFont="1" applyFill="1" applyBorder="1" applyAlignment="1">
      <alignment horizontal="center" vertical="center" wrapText="1"/>
    </xf>
    <xf numFmtId="0" fontId="31" fillId="15" borderId="23" xfId="0" applyFont="1" applyFill="1" applyBorder="1" applyAlignment="1">
      <alignment horizontal="center" wrapText="1"/>
    </xf>
    <xf numFmtId="0" fontId="31" fillId="15" borderId="25" xfId="0" applyFont="1" applyFill="1" applyBorder="1" applyAlignment="1">
      <alignment horizontal="center" vertical="center" wrapText="1"/>
    </xf>
    <xf numFmtId="0" fontId="31" fillId="15" borderId="29" xfId="0" applyFont="1" applyFill="1" applyBorder="1" applyAlignment="1">
      <alignment horizontal="center" vertical="center" wrapText="1"/>
    </xf>
    <xf numFmtId="0" fontId="1" fillId="6" borderId="0" xfId="0" applyFont="1" applyFill="1" applyAlignment="1">
      <alignment horizontal="center" vertical="center"/>
    </xf>
    <xf numFmtId="0" fontId="1" fillId="6" borderId="43" xfId="0" applyFont="1" applyFill="1" applyBorder="1" applyAlignment="1">
      <alignment horizontal="center" vertical="center"/>
    </xf>
    <xf numFmtId="0" fontId="16" fillId="6" borderId="0" xfId="0" applyFont="1" applyFill="1" applyAlignment="1">
      <alignment horizontal="center" vertical="center"/>
    </xf>
    <xf numFmtId="0" fontId="16" fillId="6" borderId="36" xfId="0" applyFont="1" applyFill="1" applyBorder="1" applyAlignment="1">
      <alignment horizontal="center" vertical="center"/>
    </xf>
    <xf numFmtId="0" fontId="0" fillId="0" borderId="44" xfId="0" applyBorder="1" applyAlignment="1">
      <alignment horizontal="center" vertical="center"/>
    </xf>
    <xf numFmtId="165" fontId="0" fillId="0" borderId="24" xfId="0" applyNumberFormat="1" applyBorder="1" applyAlignment="1">
      <alignment horizontal="center" vertical="center"/>
    </xf>
    <xf numFmtId="165" fontId="0" fillId="0" borderId="26" xfId="0" applyNumberFormat="1" applyBorder="1" applyAlignment="1">
      <alignment horizontal="center" vertical="center"/>
    </xf>
    <xf numFmtId="165" fontId="0" fillId="0" borderId="23" xfId="0" applyNumberFormat="1" applyBorder="1" applyAlignment="1">
      <alignment horizontal="center" vertical="center"/>
    </xf>
    <xf numFmtId="165" fontId="0" fillId="0" borderId="27" xfId="0" applyNumberFormat="1" applyBorder="1" applyAlignment="1">
      <alignment horizontal="center" vertical="center"/>
    </xf>
    <xf numFmtId="165" fontId="0" fillId="0" borderId="28" xfId="0" applyNumberFormat="1" applyBorder="1" applyAlignment="1">
      <alignment horizontal="center" vertical="center"/>
    </xf>
    <xf numFmtId="165" fontId="0" fillId="0" borderId="30" xfId="0" applyNumberFormat="1" applyBorder="1" applyAlignment="1">
      <alignment horizontal="center"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4" borderId="8" xfId="0" applyFill="1" applyBorder="1" applyAlignment="1">
      <alignment horizontal="center" vertical="center"/>
    </xf>
    <xf numFmtId="0" fontId="0" fillId="4" borderId="0" xfId="0" applyFill="1" applyAlignment="1">
      <alignment horizontal="center" vertical="center"/>
    </xf>
    <xf numFmtId="0" fontId="0" fillId="4" borderId="9" xfId="0" applyFill="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xf numFmtId="0" fontId="0" fillId="0" borderId="4" xfId="0" applyBorder="1" applyAlignment="1"/>
    <xf numFmtId="0" fontId="0" fillId="0" borderId="6" xfId="0" applyBorder="1" applyAlignment="1"/>
  </cellXfs>
  <cellStyles count="6">
    <cellStyle name="Comma" xfId="3" builtinId="3"/>
    <cellStyle name="Good" xfId="2" builtinId="26"/>
    <cellStyle name="Hyperlink" xfId="5" builtinId="8"/>
    <cellStyle name="Input" xfId="4" builtinId="20"/>
    <cellStyle name="Normal" xfId="0" builtinId="0"/>
    <cellStyle name="Percent" xfId="1" builtinId="5"/>
  </cellStyles>
  <dxfs count="9">
    <dxf>
      <font>
        <color rgb="FF9C0006"/>
      </font>
    </dxf>
    <dxf>
      <font>
        <color rgb="FF9C0006"/>
      </font>
    </dxf>
    <dxf>
      <font>
        <color rgb="FF9C0006"/>
      </font>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Medium9"/>
  <colors>
    <mruColors>
      <color rgb="FFFFCC99"/>
      <color rgb="FF003A62"/>
      <color rgb="FF45CFCC"/>
      <color rgb="FF806000"/>
      <color rgb="FF833C0C"/>
      <color rgb="FF1F4E78"/>
      <color rgb="FF3F3F76"/>
      <color rgb="FFC00000"/>
      <color rgb="FFFFE7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230CD7C-5045-4E52-BD7D-19BCB77F326A}"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US"/>
        </a:p>
      </dgm:t>
    </dgm:pt>
    <dgm:pt modelId="{134D9655-7526-4EEE-8C27-029DD2F7CF66}">
      <dgm:prSet phldrT="[Text]"/>
      <dgm:spPr>
        <a:solidFill>
          <a:srgbClr val="003A62"/>
        </a:solidFill>
      </dgm:spPr>
      <dgm:t>
        <a:bodyPr/>
        <a:lstStyle/>
        <a:p>
          <a:r>
            <a:rPr lang="en-US"/>
            <a:t>If you are </a:t>
          </a:r>
        </a:p>
      </dgm:t>
    </dgm:pt>
    <dgm:pt modelId="{450E5C13-13BD-4CF8-9265-A09EF36180EF}" type="parTrans" cxnId="{CB759456-6238-4B08-8F6F-CFCD8B2BCA5B}">
      <dgm:prSet/>
      <dgm:spPr/>
      <dgm:t>
        <a:bodyPr/>
        <a:lstStyle/>
        <a:p>
          <a:endParaRPr lang="en-US"/>
        </a:p>
      </dgm:t>
    </dgm:pt>
    <dgm:pt modelId="{1102C5DD-E478-4FBD-B3B3-45D53FAB268D}" type="sibTrans" cxnId="{CB759456-6238-4B08-8F6F-CFCD8B2BCA5B}">
      <dgm:prSet/>
      <dgm:spPr/>
      <dgm:t>
        <a:bodyPr/>
        <a:lstStyle/>
        <a:p>
          <a:endParaRPr lang="en-US"/>
        </a:p>
      </dgm:t>
    </dgm:pt>
    <dgm:pt modelId="{9D540117-6453-41C4-BFF2-F922AE261B14}">
      <dgm:prSet phldrT="[Text]"/>
      <dgm:spPr>
        <a:solidFill>
          <a:srgbClr val="003A62"/>
        </a:solidFill>
      </dgm:spPr>
      <dgm:t>
        <a:bodyPr/>
        <a:lstStyle/>
        <a:p>
          <a:r>
            <a:rPr lang="en-US"/>
            <a:t>An integrated semi-fabrication facility  (takes primary ingot, scrap and produces VAPs/semis products)</a:t>
          </a:r>
        </a:p>
      </dgm:t>
    </dgm:pt>
    <dgm:pt modelId="{7A371912-5ADE-4069-B64A-14EC0D64B37E}" type="parTrans" cxnId="{01192C4A-6654-4D20-8C61-85CE50B7D3C6}">
      <dgm:prSet/>
      <dgm:spPr>
        <a:ln>
          <a:solidFill>
            <a:srgbClr val="003A62"/>
          </a:solidFill>
        </a:ln>
      </dgm:spPr>
      <dgm:t>
        <a:bodyPr/>
        <a:lstStyle/>
        <a:p>
          <a:endParaRPr lang="en-US"/>
        </a:p>
      </dgm:t>
    </dgm:pt>
    <dgm:pt modelId="{2A2AAE45-EE1E-4620-B52B-6DC7AF2418AD}" type="sibTrans" cxnId="{01192C4A-6654-4D20-8C61-85CE50B7D3C6}">
      <dgm:prSet/>
      <dgm:spPr/>
      <dgm:t>
        <a:bodyPr/>
        <a:lstStyle/>
        <a:p>
          <a:endParaRPr lang="en-US"/>
        </a:p>
      </dgm:t>
    </dgm:pt>
    <dgm:pt modelId="{1779A985-DA5A-4E4A-9624-DF520381767F}">
      <dgm:prSet phldrT="[Text]"/>
      <dgm:spPr>
        <a:solidFill>
          <a:srgbClr val="003A62"/>
        </a:solidFill>
      </dgm:spPr>
      <dgm:t>
        <a:bodyPr/>
        <a:lstStyle/>
        <a:p>
          <a:r>
            <a:rPr lang="en-US"/>
            <a:t>A stand alone semi-fabrication facility  (takes  VAPs and produces semis)</a:t>
          </a:r>
        </a:p>
      </dgm:t>
    </dgm:pt>
    <dgm:pt modelId="{010F251B-538B-45AE-8ABF-349590EE6F53}" type="parTrans" cxnId="{B97F895F-81D6-4142-B5D5-B3DE5D10624B}">
      <dgm:prSet/>
      <dgm:spPr/>
      <dgm:t>
        <a:bodyPr/>
        <a:lstStyle/>
        <a:p>
          <a:endParaRPr lang="en-US"/>
        </a:p>
      </dgm:t>
    </dgm:pt>
    <dgm:pt modelId="{50D125AB-802B-4E3F-BE3C-BF12BCA5E1B8}" type="sibTrans" cxnId="{B97F895F-81D6-4142-B5D5-B3DE5D10624B}">
      <dgm:prSet/>
      <dgm:spPr/>
      <dgm:t>
        <a:bodyPr/>
        <a:lstStyle/>
        <a:p>
          <a:endParaRPr lang="en-US"/>
        </a:p>
      </dgm:t>
    </dgm:pt>
    <dgm:pt modelId="{5BEBF731-5C6F-4DB7-99D7-2323AEE8FCA6}">
      <dgm:prSet phldrT="[Text]"/>
      <dgm:spPr>
        <a:solidFill>
          <a:srgbClr val="003A62"/>
        </a:solidFill>
      </dgm:spPr>
      <dgm:t>
        <a:bodyPr/>
        <a:lstStyle/>
        <a:p>
          <a:r>
            <a:rPr lang="en-US"/>
            <a:t>A aluminum smelter that produces primary ingots </a:t>
          </a:r>
        </a:p>
      </dgm:t>
    </dgm:pt>
    <dgm:pt modelId="{719CFDC1-FB19-4B94-A8AC-DF3C1FF4A0A1}" type="parTrans" cxnId="{FCC9B7C9-BF45-4685-BBD7-750EF00FD0EE}">
      <dgm:prSet/>
      <dgm:spPr>
        <a:ln>
          <a:solidFill>
            <a:srgbClr val="003A62"/>
          </a:solidFill>
        </a:ln>
      </dgm:spPr>
      <dgm:t>
        <a:bodyPr/>
        <a:lstStyle/>
        <a:p>
          <a:endParaRPr lang="en-US"/>
        </a:p>
      </dgm:t>
    </dgm:pt>
    <dgm:pt modelId="{D77DC0B4-A193-45C4-B919-F2CC50EAF0F8}" type="sibTrans" cxnId="{FCC9B7C9-BF45-4685-BBD7-750EF00FD0EE}">
      <dgm:prSet/>
      <dgm:spPr/>
      <dgm:t>
        <a:bodyPr/>
        <a:lstStyle/>
        <a:p>
          <a:endParaRPr lang="en-US"/>
        </a:p>
      </dgm:t>
    </dgm:pt>
    <dgm:pt modelId="{F29E925E-DC71-44C5-B95F-A7498988E44E}">
      <dgm:prSet phldrT="[Text]"/>
      <dgm:spPr>
        <a:solidFill>
          <a:srgbClr val="003A62"/>
        </a:solidFill>
      </dgm:spPr>
      <dgm:t>
        <a:bodyPr/>
        <a:lstStyle/>
        <a:p>
          <a:r>
            <a:rPr lang="en-US"/>
            <a:t>A aluminum smelter that produces VAPs</a:t>
          </a:r>
        </a:p>
      </dgm:t>
    </dgm:pt>
    <dgm:pt modelId="{1ED89047-CE18-4A9C-82B1-DB90BFC9E065}" type="parTrans" cxnId="{27EA7208-F929-4D10-8F20-D3C03869AD57}">
      <dgm:prSet/>
      <dgm:spPr>
        <a:ln>
          <a:solidFill>
            <a:srgbClr val="003A62"/>
          </a:solidFill>
        </a:ln>
      </dgm:spPr>
      <dgm:t>
        <a:bodyPr/>
        <a:lstStyle/>
        <a:p>
          <a:endParaRPr lang="en-US"/>
        </a:p>
      </dgm:t>
    </dgm:pt>
    <dgm:pt modelId="{40560563-CDB1-42D1-AFD2-77C218459EF1}" type="sibTrans" cxnId="{27EA7208-F929-4D10-8F20-D3C03869AD57}">
      <dgm:prSet/>
      <dgm:spPr/>
      <dgm:t>
        <a:bodyPr/>
        <a:lstStyle/>
        <a:p>
          <a:endParaRPr lang="en-US"/>
        </a:p>
      </dgm:t>
    </dgm:pt>
    <dgm:pt modelId="{09981B1E-1471-4598-B450-0FEB37D6EC03}" type="pres">
      <dgm:prSet presAssocID="{6230CD7C-5045-4E52-BD7D-19BCB77F326A}" presName="hierChild1" presStyleCnt="0">
        <dgm:presLayoutVars>
          <dgm:orgChart val="1"/>
          <dgm:chPref val="1"/>
          <dgm:dir/>
          <dgm:animOne val="branch"/>
          <dgm:animLvl val="lvl"/>
          <dgm:resizeHandles/>
        </dgm:presLayoutVars>
      </dgm:prSet>
      <dgm:spPr/>
    </dgm:pt>
    <dgm:pt modelId="{B53E0982-676D-41D3-B2D2-94C7285BD0E4}" type="pres">
      <dgm:prSet presAssocID="{134D9655-7526-4EEE-8C27-029DD2F7CF66}" presName="hierRoot1" presStyleCnt="0">
        <dgm:presLayoutVars>
          <dgm:hierBranch val="init"/>
        </dgm:presLayoutVars>
      </dgm:prSet>
      <dgm:spPr/>
    </dgm:pt>
    <dgm:pt modelId="{76D4E1DF-68BC-42FD-8A31-ABB4ACD2E84C}" type="pres">
      <dgm:prSet presAssocID="{134D9655-7526-4EEE-8C27-029DD2F7CF66}" presName="rootComposite1" presStyleCnt="0"/>
      <dgm:spPr/>
    </dgm:pt>
    <dgm:pt modelId="{06FFAE97-C641-4D25-8B82-B413FCB63156}" type="pres">
      <dgm:prSet presAssocID="{134D9655-7526-4EEE-8C27-029DD2F7CF66}" presName="rootText1" presStyleLbl="node0" presStyleIdx="0" presStyleCnt="1">
        <dgm:presLayoutVars>
          <dgm:chPref val="3"/>
        </dgm:presLayoutVars>
      </dgm:prSet>
      <dgm:spPr/>
    </dgm:pt>
    <dgm:pt modelId="{0D9072CC-F832-4B5F-B434-E7F96509E696}" type="pres">
      <dgm:prSet presAssocID="{134D9655-7526-4EEE-8C27-029DD2F7CF66}" presName="rootConnector1" presStyleLbl="node1" presStyleIdx="0" presStyleCnt="0"/>
      <dgm:spPr/>
    </dgm:pt>
    <dgm:pt modelId="{F8DB3E51-398D-4DEA-BB19-C1B409C16104}" type="pres">
      <dgm:prSet presAssocID="{134D9655-7526-4EEE-8C27-029DD2F7CF66}" presName="hierChild2" presStyleCnt="0"/>
      <dgm:spPr/>
    </dgm:pt>
    <dgm:pt modelId="{32448672-BD60-4AC9-86FE-D09F2B523423}" type="pres">
      <dgm:prSet presAssocID="{7A371912-5ADE-4069-B64A-14EC0D64B37E}" presName="Name37" presStyleLbl="parChTrans1D2" presStyleIdx="0" presStyleCnt="4"/>
      <dgm:spPr/>
    </dgm:pt>
    <dgm:pt modelId="{7EBABB38-6825-45C7-AA7A-19AAC1331EF4}" type="pres">
      <dgm:prSet presAssocID="{9D540117-6453-41C4-BFF2-F922AE261B14}" presName="hierRoot2" presStyleCnt="0">
        <dgm:presLayoutVars>
          <dgm:hierBranch val="init"/>
        </dgm:presLayoutVars>
      </dgm:prSet>
      <dgm:spPr/>
    </dgm:pt>
    <dgm:pt modelId="{19B05054-A494-435D-9280-87155DD897D6}" type="pres">
      <dgm:prSet presAssocID="{9D540117-6453-41C4-BFF2-F922AE261B14}" presName="rootComposite" presStyleCnt="0"/>
      <dgm:spPr/>
    </dgm:pt>
    <dgm:pt modelId="{21B2C84C-829B-41F3-9833-6A306BDC98EB}" type="pres">
      <dgm:prSet presAssocID="{9D540117-6453-41C4-BFF2-F922AE261B14}" presName="rootText" presStyleLbl="node2" presStyleIdx="0" presStyleCnt="4">
        <dgm:presLayoutVars>
          <dgm:chPref val="3"/>
        </dgm:presLayoutVars>
      </dgm:prSet>
      <dgm:spPr/>
    </dgm:pt>
    <dgm:pt modelId="{D6FA8284-1B33-46A4-ADB9-FDB4ED078744}" type="pres">
      <dgm:prSet presAssocID="{9D540117-6453-41C4-BFF2-F922AE261B14}" presName="rootConnector" presStyleLbl="node2" presStyleIdx="0" presStyleCnt="4"/>
      <dgm:spPr/>
    </dgm:pt>
    <dgm:pt modelId="{329FD097-4747-4827-8CA1-CC199EBFA95F}" type="pres">
      <dgm:prSet presAssocID="{9D540117-6453-41C4-BFF2-F922AE261B14}" presName="hierChild4" presStyleCnt="0"/>
      <dgm:spPr/>
    </dgm:pt>
    <dgm:pt modelId="{ADAB7507-BE44-436E-8097-F84E7837B560}" type="pres">
      <dgm:prSet presAssocID="{9D540117-6453-41C4-BFF2-F922AE261B14}" presName="hierChild5" presStyleCnt="0"/>
      <dgm:spPr/>
    </dgm:pt>
    <dgm:pt modelId="{8E7566A0-AC0A-4C57-BDA8-6006A7EC8A29}" type="pres">
      <dgm:prSet presAssocID="{010F251B-538B-45AE-8ABF-349590EE6F53}" presName="Name37" presStyleLbl="parChTrans1D2" presStyleIdx="1" presStyleCnt="4"/>
      <dgm:spPr/>
    </dgm:pt>
    <dgm:pt modelId="{8F0B5C93-4091-4879-8243-6F11EEC6E4B5}" type="pres">
      <dgm:prSet presAssocID="{1779A985-DA5A-4E4A-9624-DF520381767F}" presName="hierRoot2" presStyleCnt="0">
        <dgm:presLayoutVars>
          <dgm:hierBranch val="init"/>
        </dgm:presLayoutVars>
      </dgm:prSet>
      <dgm:spPr/>
    </dgm:pt>
    <dgm:pt modelId="{470F5773-A382-428F-9527-7730A156268A}" type="pres">
      <dgm:prSet presAssocID="{1779A985-DA5A-4E4A-9624-DF520381767F}" presName="rootComposite" presStyleCnt="0"/>
      <dgm:spPr/>
    </dgm:pt>
    <dgm:pt modelId="{ADF386E8-2566-4318-8458-3BFC5A2EAF7E}" type="pres">
      <dgm:prSet presAssocID="{1779A985-DA5A-4E4A-9624-DF520381767F}" presName="rootText" presStyleLbl="node2" presStyleIdx="1" presStyleCnt="4">
        <dgm:presLayoutVars>
          <dgm:chPref val="3"/>
        </dgm:presLayoutVars>
      </dgm:prSet>
      <dgm:spPr/>
    </dgm:pt>
    <dgm:pt modelId="{880B65E6-3CE7-46B7-9DD9-73FA321B700D}" type="pres">
      <dgm:prSet presAssocID="{1779A985-DA5A-4E4A-9624-DF520381767F}" presName="rootConnector" presStyleLbl="node2" presStyleIdx="1" presStyleCnt="4"/>
      <dgm:spPr/>
    </dgm:pt>
    <dgm:pt modelId="{56633E87-1EAC-4A5C-823E-B3D15A48B0EA}" type="pres">
      <dgm:prSet presAssocID="{1779A985-DA5A-4E4A-9624-DF520381767F}" presName="hierChild4" presStyleCnt="0"/>
      <dgm:spPr/>
    </dgm:pt>
    <dgm:pt modelId="{D81A36BE-4ECE-4608-8264-DA6167E86CC8}" type="pres">
      <dgm:prSet presAssocID="{1779A985-DA5A-4E4A-9624-DF520381767F}" presName="hierChild5" presStyleCnt="0"/>
      <dgm:spPr/>
    </dgm:pt>
    <dgm:pt modelId="{190F18E9-EA26-466B-A02B-D1DDE266DD03}" type="pres">
      <dgm:prSet presAssocID="{719CFDC1-FB19-4B94-A8AC-DF3C1FF4A0A1}" presName="Name37" presStyleLbl="parChTrans1D2" presStyleIdx="2" presStyleCnt="4"/>
      <dgm:spPr/>
    </dgm:pt>
    <dgm:pt modelId="{C20CDE3B-4A45-4732-BDAD-3125E6913C3B}" type="pres">
      <dgm:prSet presAssocID="{5BEBF731-5C6F-4DB7-99D7-2323AEE8FCA6}" presName="hierRoot2" presStyleCnt="0">
        <dgm:presLayoutVars>
          <dgm:hierBranch val="init"/>
        </dgm:presLayoutVars>
      </dgm:prSet>
      <dgm:spPr/>
    </dgm:pt>
    <dgm:pt modelId="{CA261502-13C2-4A39-9A89-D0945E58B669}" type="pres">
      <dgm:prSet presAssocID="{5BEBF731-5C6F-4DB7-99D7-2323AEE8FCA6}" presName="rootComposite" presStyleCnt="0"/>
      <dgm:spPr/>
    </dgm:pt>
    <dgm:pt modelId="{4C64584D-6967-459B-B2D1-33C236FD4868}" type="pres">
      <dgm:prSet presAssocID="{5BEBF731-5C6F-4DB7-99D7-2323AEE8FCA6}" presName="rootText" presStyleLbl="node2" presStyleIdx="2" presStyleCnt="4" custLinFactNeighborX="2923" custLinFactNeighborY="1573">
        <dgm:presLayoutVars>
          <dgm:chPref val="3"/>
        </dgm:presLayoutVars>
      </dgm:prSet>
      <dgm:spPr/>
    </dgm:pt>
    <dgm:pt modelId="{FAB9F198-70C6-4E64-9B28-B6C153AD159D}" type="pres">
      <dgm:prSet presAssocID="{5BEBF731-5C6F-4DB7-99D7-2323AEE8FCA6}" presName="rootConnector" presStyleLbl="node2" presStyleIdx="2" presStyleCnt="4"/>
      <dgm:spPr/>
    </dgm:pt>
    <dgm:pt modelId="{C368B3C7-958A-4E5C-8A2A-43A3F5341119}" type="pres">
      <dgm:prSet presAssocID="{5BEBF731-5C6F-4DB7-99D7-2323AEE8FCA6}" presName="hierChild4" presStyleCnt="0"/>
      <dgm:spPr/>
    </dgm:pt>
    <dgm:pt modelId="{4742BC0B-07F4-435F-A353-FD2D63587D50}" type="pres">
      <dgm:prSet presAssocID="{5BEBF731-5C6F-4DB7-99D7-2323AEE8FCA6}" presName="hierChild5" presStyleCnt="0"/>
      <dgm:spPr/>
    </dgm:pt>
    <dgm:pt modelId="{942B2AE4-6AF0-474F-ABE4-0D6EFC036B5A}" type="pres">
      <dgm:prSet presAssocID="{1ED89047-CE18-4A9C-82B1-DB90BFC9E065}" presName="Name37" presStyleLbl="parChTrans1D2" presStyleIdx="3" presStyleCnt="4"/>
      <dgm:spPr/>
    </dgm:pt>
    <dgm:pt modelId="{B20C5034-FED3-4ED3-B037-7D4B3743CBB2}" type="pres">
      <dgm:prSet presAssocID="{F29E925E-DC71-44C5-B95F-A7498988E44E}" presName="hierRoot2" presStyleCnt="0">
        <dgm:presLayoutVars>
          <dgm:hierBranch val="init"/>
        </dgm:presLayoutVars>
      </dgm:prSet>
      <dgm:spPr/>
    </dgm:pt>
    <dgm:pt modelId="{124DBA9E-F6D1-456C-9C63-9E218BD44052}" type="pres">
      <dgm:prSet presAssocID="{F29E925E-DC71-44C5-B95F-A7498988E44E}" presName="rootComposite" presStyleCnt="0"/>
      <dgm:spPr/>
    </dgm:pt>
    <dgm:pt modelId="{5D087C8D-F0A2-46C0-8305-9F1033D40BA9}" type="pres">
      <dgm:prSet presAssocID="{F29E925E-DC71-44C5-B95F-A7498988E44E}" presName="rootText" presStyleLbl="node2" presStyleIdx="3" presStyleCnt="4" custLinFactNeighborX="27053" custLinFactNeighborY="3275">
        <dgm:presLayoutVars>
          <dgm:chPref val="3"/>
        </dgm:presLayoutVars>
      </dgm:prSet>
      <dgm:spPr/>
    </dgm:pt>
    <dgm:pt modelId="{5F88B75D-45B2-471E-AC7F-4B456183F916}" type="pres">
      <dgm:prSet presAssocID="{F29E925E-DC71-44C5-B95F-A7498988E44E}" presName="rootConnector" presStyleLbl="node2" presStyleIdx="3" presStyleCnt="4"/>
      <dgm:spPr/>
    </dgm:pt>
    <dgm:pt modelId="{E4D71BDC-DA22-424B-BDEB-3DBFAE5A6CA2}" type="pres">
      <dgm:prSet presAssocID="{F29E925E-DC71-44C5-B95F-A7498988E44E}" presName="hierChild4" presStyleCnt="0"/>
      <dgm:spPr/>
    </dgm:pt>
    <dgm:pt modelId="{C63257B2-FDF7-4DAB-9F86-2FDFDA34A671}" type="pres">
      <dgm:prSet presAssocID="{F29E925E-DC71-44C5-B95F-A7498988E44E}" presName="hierChild5" presStyleCnt="0"/>
      <dgm:spPr/>
    </dgm:pt>
    <dgm:pt modelId="{C1770057-5E2C-49D9-A910-D88236C1AF20}" type="pres">
      <dgm:prSet presAssocID="{134D9655-7526-4EEE-8C27-029DD2F7CF66}" presName="hierChild3" presStyleCnt="0"/>
      <dgm:spPr/>
    </dgm:pt>
  </dgm:ptLst>
  <dgm:cxnLst>
    <dgm:cxn modelId="{27EA7208-F929-4D10-8F20-D3C03869AD57}" srcId="{134D9655-7526-4EEE-8C27-029DD2F7CF66}" destId="{F29E925E-DC71-44C5-B95F-A7498988E44E}" srcOrd="3" destOrd="0" parTransId="{1ED89047-CE18-4A9C-82B1-DB90BFC9E065}" sibTransId="{40560563-CDB1-42D1-AFD2-77C218459EF1}"/>
    <dgm:cxn modelId="{31ECA434-AF86-43A6-B515-1E72A5EBC4C7}" type="presOf" srcId="{F29E925E-DC71-44C5-B95F-A7498988E44E}" destId="{5F88B75D-45B2-471E-AC7F-4B456183F916}" srcOrd="1" destOrd="0" presId="urn:microsoft.com/office/officeart/2005/8/layout/orgChart1"/>
    <dgm:cxn modelId="{07EAC35E-CA45-4D92-BADA-63A06595548C}" type="presOf" srcId="{9D540117-6453-41C4-BFF2-F922AE261B14}" destId="{D6FA8284-1B33-46A4-ADB9-FDB4ED078744}" srcOrd="1" destOrd="0" presId="urn:microsoft.com/office/officeart/2005/8/layout/orgChart1"/>
    <dgm:cxn modelId="{B97F895F-81D6-4142-B5D5-B3DE5D10624B}" srcId="{134D9655-7526-4EEE-8C27-029DD2F7CF66}" destId="{1779A985-DA5A-4E4A-9624-DF520381767F}" srcOrd="1" destOrd="0" parTransId="{010F251B-538B-45AE-8ABF-349590EE6F53}" sibTransId="{50D125AB-802B-4E3F-BE3C-BF12BCA5E1B8}"/>
    <dgm:cxn modelId="{0F132F41-26B8-43EF-BC31-63AF16E09218}" type="presOf" srcId="{6230CD7C-5045-4E52-BD7D-19BCB77F326A}" destId="{09981B1E-1471-4598-B450-0FEB37D6EC03}" srcOrd="0" destOrd="0" presId="urn:microsoft.com/office/officeart/2005/8/layout/orgChart1"/>
    <dgm:cxn modelId="{E65B3663-10EE-4115-A5E4-F4B2181D0AB4}" type="presOf" srcId="{9D540117-6453-41C4-BFF2-F922AE261B14}" destId="{21B2C84C-829B-41F3-9833-6A306BDC98EB}" srcOrd="0" destOrd="0" presId="urn:microsoft.com/office/officeart/2005/8/layout/orgChart1"/>
    <dgm:cxn modelId="{6C377C69-5897-4C73-BEAC-AAB26767CE84}" type="presOf" srcId="{1779A985-DA5A-4E4A-9624-DF520381767F}" destId="{880B65E6-3CE7-46B7-9DD9-73FA321B700D}" srcOrd="1" destOrd="0" presId="urn:microsoft.com/office/officeart/2005/8/layout/orgChart1"/>
    <dgm:cxn modelId="{01192C4A-6654-4D20-8C61-85CE50B7D3C6}" srcId="{134D9655-7526-4EEE-8C27-029DD2F7CF66}" destId="{9D540117-6453-41C4-BFF2-F922AE261B14}" srcOrd="0" destOrd="0" parTransId="{7A371912-5ADE-4069-B64A-14EC0D64B37E}" sibTransId="{2A2AAE45-EE1E-4620-B52B-6DC7AF2418AD}"/>
    <dgm:cxn modelId="{71113170-0689-44E8-A352-C6CC11DFEA16}" type="presOf" srcId="{5BEBF731-5C6F-4DB7-99D7-2323AEE8FCA6}" destId="{4C64584D-6967-459B-B2D1-33C236FD4868}" srcOrd="0" destOrd="0" presId="urn:microsoft.com/office/officeart/2005/8/layout/orgChart1"/>
    <dgm:cxn modelId="{73E46370-045B-4F03-97BD-CA4E13FA1FE2}" type="presOf" srcId="{5BEBF731-5C6F-4DB7-99D7-2323AEE8FCA6}" destId="{FAB9F198-70C6-4E64-9B28-B6C153AD159D}" srcOrd="1" destOrd="0" presId="urn:microsoft.com/office/officeart/2005/8/layout/orgChart1"/>
    <dgm:cxn modelId="{CB759456-6238-4B08-8F6F-CFCD8B2BCA5B}" srcId="{6230CD7C-5045-4E52-BD7D-19BCB77F326A}" destId="{134D9655-7526-4EEE-8C27-029DD2F7CF66}" srcOrd="0" destOrd="0" parTransId="{450E5C13-13BD-4CF8-9265-A09EF36180EF}" sibTransId="{1102C5DD-E478-4FBD-B3B3-45D53FAB268D}"/>
    <dgm:cxn modelId="{2730E558-BB3E-497C-ADF0-22170221090A}" type="presOf" srcId="{134D9655-7526-4EEE-8C27-029DD2F7CF66}" destId="{0D9072CC-F832-4B5F-B434-E7F96509E696}" srcOrd="1" destOrd="0" presId="urn:microsoft.com/office/officeart/2005/8/layout/orgChart1"/>
    <dgm:cxn modelId="{CC3BB599-A3D8-459D-99C4-05A11D448D3D}" type="presOf" srcId="{010F251B-538B-45AE-8ABF-349590EE6F53}" destId="{8E7566A0-AC0A-4C57-BDA8-6006A7EC8A29}" srcOrd="0" destOrd="0" presId="urn:microsoft.com/office/officeart/2005/8/layout/orgChart1"/>
    <dgm:cxn modelId="{FE6182A7-9D53-4CEC-B79C-2C5B176C31F7}" type="presOf" srcId="{134D9655-7526-4EEE-8C27-029DD2F7CF66}" destId="{06FFAE97-C641-4D25-8B82-B413FCB63156}" srcOrd="0" destOrd="0" presId="urn:microsoft.com/office/officeart/2005/8/layout/orgChart1"/>
    <dgm:cxn modelId="{02B3DCB3-B86B-4325-804A-AD2D9F40DA7E}" type="presOf" srcId="{719CFDC1-FB19-4B94-A8AC-DF3C1FF4A0A1}" destId="{190F18E9-EA26-466B-A02B-D1DDE266DD03}" srcOrd="0" destOrd="0" presId="urn:microsoft.com/office/officeart/2005/8/layout/orgChart1"/>
    <dgm:cxn modelId="{31AA47B7-436F-42E1-A8FF-7F03FD599042}" type="presOf" srcId="{7A371912-5ADE-4069-B64A-14EC0D64B37E}" destId="{32448672-BD60-4AC9-86FE-D09F2B523423}" srcOrd="0" destOrd="0" presId="urn:microsoft.com/office/officeart/2005/8/layout/orgChart1"/>
    <dgm:cxn modelId="{C3E84CBF-DB40-4AD9-8A4A-D41B259BE67E}" type="presOf" srcId="{1ED89047-CE18-4A9C-82B1-DB90BFC9E065}" destId="{942B2AE4-6AF0-474F-ABE4-0D6EFC036B5A}" srcOrd="0" destOrd="0" presId="urn:microsoft.com/office/officeart/2005/8/layout/orgChart1"/>
    <dgm:cxn modelId="{FCC9B7C9-BF45-4685-BBD7-750EF00FD0EE}" srcId="{134D9655-7526-4EEE-8C27-029DD2F7CF66}" destId="{5BEBF731-5C6F-4DB7-99D7-2323AEE8FCA6}" srcOrd="2" destOrd="0" parTransId="{719CFDC1-FB19-4B94-A8AC-DF3C1FF4A0A1}" sibTransId="{D77DC0B4-A193-45C4-B919-F2CC50EAF0F8}"/>
    <dgm:cxn modelId="{936C8AD1-B04F-457F-B4AF-FB0E40612AAE}" type="presOf" srcId="{F29E925E-DC71-44C5-B95F-A7498988E44E}" destId="{5D087C8D-F0A2-46C0-8305-9F1033D40BA9}" srcOrd="0" destOrd="0" presId="urn:microsoft.com/office/officeart/2005/8/layout/orgChart1"/>
    <dgm:cxn modelId="{0128B6E0-AAB3-4943-A5E4-8C5DDBDA6264}" type="presOf" srcId="{1779A985-DA5A-4E4A-9624-DF520381767F}" destId="{ADF386E8-2566-4318-8458-3BFC5A2EAF7E}" srcOrd="0" destOrd="0" presId="urn:microsoft.com/office/officeart/2005/8/layout/orgChart1"/>
    <dgm:cxn modelId="{C50AC4D8-115E-4DCD-8FA3-36288184396A}" type="presParOf" srcId="{09981B1E-1471-4598-B450-0FEB37D6EC03}" destId="{B53E0982-676D-41D3-B2D2-94C7285BD0E4}" srcOrd="0" destOrd="0" presId="urn:microsoft.com/office/officeart/2005/8/layout/orgChart1"/>
    <dgm:cxn modelId="{7C5B8A92-F81D-4A61-812C-46AA1E3DE3FB}" type="presParOf" srcId="{B53E0982-676D-41D3-B2D2-94C7285BD0E4}" destId="{76D4E1DF-68BC-42FD-8A31-ABB4ACD2E84C}" srcOrd="0" destOrd="0" presId="urn:microsoft.com/office/officeart/2005/8/layout/orgChart1"/>
    <dgm:cxn modelId="{9E08B545-EA3C-4EE7-B878-A86BE2C18411}" type="presParOf" srcId="{76D4E1DF-68BC-42FD-8A31-ABB4ACD2E84C}" destId="{06FFAE97-C641-4D25-8B82-B413FCB63156}" srcOrd="0" destOrd="0" presId="urn:microsoft.com/office/officeart/2005/8/layout/orgChart1"/>
    <dgm:cxn modelId="{D17D81DE-E525-4CBD-9F91-A7E77F3A3040}" type="presParOf" srcId="{76D4E1DF-68BC-42FD-8A31-ABB4ACD2E84C}" destId="{0D9072CC-F832-4B5F-B434-E7F96509E696}" srcOrd="1" destOrd="0" presId="urn:microsoft.com/office/officeart/2005/8/layout/orgChart1"/>
    <dgm:cxn modelId="{B525C4E5-E6C0-4498-8E21-FC1BBBD0139F}" type="presParOf" srcId="{B53E0982-676D-41D3-B2D2-94C7285BD0E4}" destId="{F8DB3E51-398D-4DEA-BB19-C1B409C16104}" srcOrd="1" destOrd="0" presId="urn:microsoft.com/office/officeart/2005/8/layout/orgChart1"/>
    <dgm:cxn modelId="{84655F49-E212-4958-A7B6-9368EC79BB2A}" type="presParOf" srcId="{F8DB3E51-398D-4DEA-BB19-C1B409C16104}" destId="{32448672-BD60-4AC9-86FE-D09F2B523423}" srcOrd="0" destOrd="0" presId="urn:microsoft.com/office/officeart/2005/8/layout/orgChart1"/>
    <dgm:cxn modelId="{980F6285-E403-4243-958E-3B3C195661EA}" type="presParOf" srcId="{F8DB3E51-398D-4DEA-BB19-C1B409C16104}" destId="{7EBABB38-6825-45C7-AA7A-19AAC1331EF4}" srcOrd="1" destOrd="0" presId="urn:microsoft.com/office/officeart/2005/8/layout/orgChart1"/>
    <dgm:cxn modelId="{B6D38BDD-DE64-40D0-814E-B2E154636B45}" type="presParOf" srcId="{7EBABB38-6825-45C7-AA7A-19AAC1331EF4}" destId="{19B05054-A494-435D-9280-87155DD897D6}" srcOrd="0" destOrd="0" presId="urn:microsoft.com/office/officeart/2005/8/layout/orgChart1"/>
    <dgm:cxn modelId="{C210E56C-E4AC-43F3-A445-0A0458F5CE88}" type="presParOf" srcId="{19B05054-A494-435D-9280-87155DD897D6}" destId="{21B2C84C-829B-41F3-9833-6A306BDC98EB}" srcOrd="0" destOrd="0" presId="urn:microsoft.com/office/officeart/2005/8/layout/orgChart1"/>
    <dgm:cxn modelId="{389036D7-A1BE-49B5-A7D7-9AE8042ED8CA}" type="presParOf" srcId="{19B05054-A494-435D-9280-87155DD897D6}" destId="{D6FA8284-1B33-46A4-ADB9-FDB4ED078744}" srcOrd="1" destOrd="0" presId="urn:microsoft.com/office/officeart/2005/8/layout/orgChart1"/>
    <dgm:cxn modelId="{AC2903DB-0B90-486A-94D9-DF3862345F26}" type="presParOf" srcId="{7EBABB38-6825-45C7-AA7A-19AAC1331EF4}" destId="{329FD097-4747-4827-8CA1-CC199EBFA95F}" srcOrd="1" destOrd="0" presId="urn:microsoft.com/office/officeart/2005/8/layout/orgChart1"/>
    <dgm:cxn modelId="{0E0F8D27-57AA-4FE7-A93A-7BAF705DA894}" type="presParOf" srcId="{7EBABB38-6825-45C7-AA7A-19AAC1331EF4}" destId="{ADAB7507-BE44-436E-8097-F84E7837B560}" srcOrd="2" destOrd="0" presId="urn:microsoft.com/office/officeart/2005/8/layout/orgChart1"/>
    <dgm:cxn modelId="{E252B428-E523-473A-ABFB-21DC6EDF8419}" type="presParOf" srcId="{F8DB3E51-398D-4DEA-BB19-C1B409C16104}" destId="{8E7566A0-AC0A-4C57-BDA8-6006A7EC8A29}" srcOrd="2" destOrd="0" presId="urn:microsoft.com/office/officeart/2005/8/layout/orgChart1"/>
    <dgm:cxn modelId="{FC5AD44B-4143-47FC-AB50-2DC1E4DB0A76}" type="presParOf" srcId="{F8DB3E51-398D-4DEA-BB19-C1B409C16104}" destId="{8F0B5C93-4091-4879-8243-6F11EEC6E4B5}" srcOrd="3" destOrd="0" presId="urn:microsoft.com/office/officeart/2005/8/layout/orgChart1"/>
    <dgm:cxn modelId="{8C29F5B7-8889-4D2D-A208-528FC381D03D}" type="presParOf" srcId="{8F0B5C93-4091-4879-8243-6F11EEC6E4B5}" destId="{470F5773-A382-428F-9527-7730A156268A}" srcOrd="0" destOrd="0" presId="urn:microsoft.com/office/officeart/2005/8/layout/orgChart1"/>
    <dgm:cxn modelId="{6011A608-1148-412E-8220-242ACDE5CA96}" type="presParOf" srcId="{470F5773-A382-428F-9527-7730A156268A}" destId="{ADF386E8-2566-4318-8458-3BFC5A2EAF7E}" srcOrd="0" destOrd="0" presId="urn:microsoft.com/office/officeart/2005/8/layout/orgChart1"/>
    <dgm:cxn modelId="{870A6D06-6D7A-49D1-BAAF-8094C9447B14}" type="presParOf" srcId="{470F5773-A382-428F-9527-7730A156268A}" destId="{880B65E6-3CE7-46B7-9DD9-73FA321B700D}" srcOrd="1" destOrd="0" presId="urn:microsoft.com/office/officeart/2005/8/layout/orgChart1"/>
    <dgm:cxn modelId="{6B69A540-BE03-4EB8-85B3-1EE266FE23FA}" type="presParOf" srcId="{8F0B5C93-4091-4879-8243-6F11EEC6E4B5}" destId="{56633E87-1EAC-4A5C-823E-B3D15A48B0EA}" srcOrd="1" destOrd="0" presId="urn:microsoft.com/office/officeart/2005/8/layout/orgChart1"/>
    <dgm:cxn modelId="{A54F69CA-7206-40D2-8738-A7F5F0F7BBD7}" type="presParOf" srcId="{8F0B5C93-4091-4879-8243-6F11EEC6E4B5}" destId="{D81A36BE-4ECE-4608-8264-DA6167E86CC8}" srcOrd="2" destOrd="0" presId="urn:microsoft.com/office/officeart/2005/8/layout/orgChart1"/>
    <dgm:cxn modelId="{B255A097-E9F1-4705-9A73-00989E6CC343}" type="presParOf" srcId="{F8DB3E51-398D-4DEA-BB19-C1B409C16104}" destId="{190F18E9-EA26-466B-A02B-D1DDE266DD03}" srcOrd="4" destOrd="0" presId="urn:microsoft.com/office/officeart/2005/8/layout/orgChart1"/>
    <dgm:cxn modelId="{953351EB-1E7A-4A6F-A355-B8B634178D25}" type="presParOf" srcId="{F8DB3E51-398D-4DEA-BB19-C1B409C16104}" destId="{C20CDE3B-4A45-4732-BDAD-3125E6913C3B}" srcOrd="5" destOrd="0" presId="urn:microsoft.com/office/officeart/2005/8/layout/orgChart1"/>
    <dgm:cxn modelId="{3B237E7C-FA85-4459-A231-5639FBEEE3A6}" type="presParOf" srcId="{C20CDE3B-4A45-4732-BDAD-3125E6913C3B}" destId="{CA261502-13C2-4A39-9A89-D0945E58B669}" srcOrd="0" destOrd="0" presId="urn:microsoft.com/office/officeart/2005/8/layout/orgChart1"/>
    <dgm:cxn modelId="{C5B09FD7-CCA0-49DF-89AC-22E0B3C48061}" type="presParOf" srcId="{CA261502-13C2-4A39-9A89-D0945E58B669}" destId="{4C64584D-6967-459B-B2D1-33C236FD4868}" srcOrd="0" destOrd="0" presId="urn:microsoft.com/office/officeart/2005/8/layout/orgChart1"/>
    <dgm:cxn modelId="{AE98F314-F494-4112-99CD-7034F3E3A8CB}" type="presParOf" srcId="{CA261502-13C2-4A39-9A89-D0945E58B669}" destId="{FAB9F198-70C6-4E64-9B28-B6C153AD159D}" srcOrd="1" destOrd="0" presId="urn:microsoft.com/office/officeart/2005/8/layout/orgChart1"/>
    <dgm:cxn modelId="{7D3A29AB-546B-42C0-9369-378100BA15D3}" type="presParOf" srcId="{C20CDE3B-4A45-4732-BDAD-3125E6913C3B}" destId="{C368B3C7-958A-4E5C-8A2A-43A3F5341119}" srcOrd="1" destOrd="0" presId="urn:microsoft.com/office/officeart/2005/8/layout/orgChart1"/>
    <dgm:cxn modelId="{57564F46-DCA8-47FA-93D1-5D77D974C6FD}" type="presParOf" srcId="{C20CDE3B-4A45-4732-BDAD-3125E6913C3B}" destId="{4742BC0B-07F4-435F-A353-FD2D63587D50}" srcOrd="2" destOrd="0" presId="urn:microsoft.com/office/officeart/2005/8/layout/orgChart1"/>
    <dgm:cxn modelId="{124A8809-B2C2-4454-9232-36B2427C3254}" type="presParOf" srcId="{F8DB3E51-398D-4DEA-BB19-C1B409C16104}" destId="{942B2AE4-6AF0-474F-ABE4-0D6EFC036B5A}" srcOrd="6" destOrd="0" presId="urn:microsoft.com/office/officeart/2005/8/layout/orgChart1"/>
    <dgm:cxn modelId="{D47B3DCF-FED3-454B-82A9-2FB072B4833A}" type="presParOf" srcId="{F8DB3E51-398D-4DEA-BB19-C1B409C16104}" destId="{B20C5034-FED3-4ED3-B037-7D4B3743CBB2}" srcOrd="7" destOrd="0" presId="urn:microsoft.com/office/officeart/2005/8/layout/orgChart1"/>
    <dgm:cxn modelId="{9A5636F3-4CF5-4AEE-AC52-3F0F1AB9B6D2}" type="presParOf" srcId="{B20C5034-FED3-4ED3-B037-7D4B3743CBB2}" destId="{124DBA9E-F6D1-456C-9C63-9E218BD44052}" srcOrd="0" destOrd="0" presId="urn:microsoft.com/office/officeart/2005/8/layout/orgChart1"/>
    <dgm:cxn modelId="{4669DCA0-5494-4E10-BA7C-06386156A259}" type="presParOf" srcId="{124DBA9E-F6D1-456C-9C63-9E218BD44052}" destId="{5D087C8D-F0A2-46C0-8305-9F1033D40BA9}" srcOrd="0" destOrd="0" presId="urn:microsoft.com/office/officeart/2005/8/layout/orgChart1"/>
    <dgm:cxn modelId="{41F3D2B2-4C47-4446-8C75-CC2309FA49B8}" type="presParOf" srcId="{124DBA9E-F6D1-456C-9C63-9E218BD44052}" destId="{5F88B75D-45B2-471E-AC7F-4B456183F916}" srcOrd="1" destOrd="0" presId="urn:microsoft.com/office/officeart/2005/8/layout/orgChart1"/>
    <dgm:cxn modelId="{6E627711-B15A-4C74-90BA-8CF4C3824BBE}" type="presParOf" srcId="{B20C5034-FED3-4ED3-B037-7D4B3743CBB2}" destId="{E4D71BDC-DA22-424B-BDEB-3DBFAE5A6CA2}" srcOrd="1" destOrd="0" presId="urn:microsoft.com/office/officeart/2005/8/layout/orgChart1"/>
    <dgm:cxn modelId="{D843E64C-6EBC-4869-BE7A-2FC817DD8948}" type="presParOf" srcId="{B20C5034-FED3-4ED3-B037-7D4B3743CBB2}" destId="{C63257B2-FDF7-4DAB-9F86-2FDFDA34A671}" srcOrd="2" destOrd="0" presId="urn:microsoft.com/office/officeart/2005/8/layout/orgChart1"/>
    <dgm:cxn modelId="{FACA4E78-00AC-404A-A486-DD0811B4B86A}" type="presParOf" srcId="{B53E0982-676D-41D3-B2D2-94C7285BD0E4}" destId="{C1770057-5E2C-49D9-A910-D88236C1AF20}"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42B2AE4-6AF0-474F-ABE4-0D6EFC036B5A}">
      <dsp:nvSpPr>
        <dsp:cNvPr id="0" name=""/>
        <dsp:cNvSpPr/>
      </dsp:nvSpPr>
      <dsp:spPr>
        <a:xfrm>
          <a:off x="5245100" y="1115419"/>
          <a:ext cx="4131028" cy="469258"/>
        </a:xfrm>
        <a:custGeom>
          <a:avLst/>
          <a:gdLst/>
          <a:ahLst/>
          <a:cxnLst/>
          <a:rect l="0" t="0" r="0" b="0"/>
          <a:pathLst>
            <a:path>
              <a:moveTo>
                <a:pt x="0" y="0"/>
              </a:moveTo>
              <a:lnTo>
                <a:pt x="0" y="235303"/>
              </a:lnTo>
              <a:lnTo>
                <a:pt x="4131028" y="235303"/>
              </a:lnTo>
              <a:lnTo>
                <a:pt x="4131028" y="469258"/>
              </a:lnTo>
            </a:path>
          </a:pathLst>
        </a:custGeom>
        <a:noFill/>
        <a:ln w="12700" cap="flat" cmpd="sng" algn="ctr">
          <a:solidFill>
            <a:srgbClr val="003A62"/>
          </a:solidFill>
          <a:prstDash val="solid"/>
          <a:miter lim="800000"/>
        </a:ln>
        <a:effectLst/>
      </dsp:spPr>
      <dsp:style>
        <a:lnRef idx="2">
          <a:scrgbClr r="0" g="0" b="0"/>
        </a:lnRef>
        <a:fillRef idx="0">
          <a:scrgbClr r="0" g="0" b="0"/>
        </a:fillRef>
        <a:effectRef idx="0">
          <a:scrgbClr r="0" g="0" b="0"/>
        </a:effectRef>
        <a:fontRef idx="minor"/>
      </dsp:style>
    </dsp:sp>
    <dsp:sp modelId="{190F18E9-EA26-466B-A02B-D1DDE266DD03}">
      <dsp:nvSpPr>
        <dsp:cNvPr id="0" name=""/>
        <dsp:cNvSpPr/>
      </dsp:nvSpPr>
      <dsp:spPr>
        <a:xfrm>
          <a:off x="5245100" y="1115419"/>
          <a:ext cx="1413155" cy="469258"/>
        </a:xfrm>
        <a:custGeom>
          <a:avLst/>
          <a:gdLst/>
          <a:ahLst/>
          <a:cxnLst/>
          <a:rect l="0" t="0" r="0" b="0"/>
          <a:pathLst>
            <a:path>
              <a:moveTo>
                <a:pt x="0" y="0"/>
              </a:moveTo>
              <a:lnTo>
                <a:pt x="0" y="235303"/>
              </a:lnTo>
              <a:lnTo>
                <a:pt x="1413155" y="235303"/>
              </a:lnTo>
              <a:lnTo>
                <a:pt x="1413155" y="469258"/>
              </a:lnTo>
            </a:path>
          </a:pathLst>
        </a:custGeom>
        <a:noFill/>
        <a:ln w="12700" cap="flat" cmpd="sng" algn="ctr">
          <a:solidFill>
            <a:srgbClr val="003A62"/>
          </a:solidFill>
          <a:prstDash val="solid"/>
          <a:miter lim="800000"/>
        </a:ln>
        <a:effectLst/>
      </dsp:spPr>
      <dsp:style>
        <a:lnRef idx="2">
          <a:scrgbClr r="0" g="0" b="0"/>
        </a:lnRef>
        <a:fillRef idx="0">
          <a:scrgbClr r="0" g="0" b="0"/>
        </a:fillRef>
        <a:effectRef idx="0">
          <a:scrgbClr r="0" g="0" b="0"/>
        </a:effectRef>
        <a:fontRef idx="minor"/>
      </dsp:style>
    </dsp:sp>
    <dsp:sp modelId="{8E7566A0-AC0A-4C57-BDA8-6006A7EC8A29}">
      <dsp:nvSpPr>
        <dsp:cNvPr id="0" name=""/>
        <dsp:cNvSpPr/>
      </dsp:nvSpPr>
      <dsp:spPr>
        <a:xfrm>
          <a:off x="3897073" y="1115419"/>
          <a:ext cx="1348026" cy="467910"/>
        </a:xfrm>
        <a:custGeom>
          <a:avLst/>
          <a:gdLst/>
          <a:ahLst/>
          <a:cxnLst/>
          <a:rect l="0" t="0" r="0" b="0"/>
          <a:pathLst>
            <a:path>
              <a:moveTo>
                <a:pt x="1348026" y="0"/>
              </a:moveTo>
              <a:lnTo>
                <a:pt x="1348026" y="233955"/>
              </a:lnTo>
              <a:lnTo>
                <a:pt x="0" y="233955"/>
              </a:lnTo>
              <a:lnTo>
                <a:pt x="0" y="46791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2448672-BD60-4AC9-86FE-D09F2B523423}">
      <dsp:nvSpPr>
        <dsp:cNvPr id="0" name=""/>
        <dsp:cNvSpPr/>
      </dsp:nvSpPr>
      <dsp:spPr>
        <a:xfrm>
          <a:off x="1201020" y="1115419"/>
          <a:ext cx="4044079" cy="467910"/>
        </a:xfrm>
        <a:custGeom>
          <a:avLst/>
          <a:gdLst/>
          <a:ahLst/>
          <a:cxnLst/>
          <a:rect l="0" t="0" r="0" b="0"/>
          <a:pathLst>
            <a:path>
              <a:moveTo>
                <a:pt x="4044079" y="0"/>
              </a:moveTo>
              <a:lnTo>
                <a:pt x="4044079" y="233955"/>
              </a:lnTo>
              <a:lnTo>
                <a:pt x="0" y="233955"/>
              </a:lnTo>
              <a:lnTo>
                <a:pt x="0" y="467910"/>
              </a:lnTo>
            </a:path>
          </a:pathLst>
        </a:custGeom>
        <a:noFill/>
        <a:ln w="12700" cap="flat" cmpd="sng" algn="ctr">
          <a:solidFill>
            <a:srgbClr val="003A62"/>
          </a:solidFill>
          <a:prstDash val="solid"/>
          <a:miter lim="800000"/>
        </a:ln>
        <a:effectLst/>
      </dsp:spPr>
      <dsp:style>
        <a:lnRef idx="2">
          <a:scrgbClr r="0" g="0" b="0"/>
        </a:lnRef>
        <a:fillRef idx="0">
          <a:scrgbClr r="0" g="0" b="0"/>
        </a:fillRef>
        <a:effectRef idx="0">
          <a:scrgbClr r="0" g="0" b="0"/>
        </a:effectRef>
        <a:fontRef idx="minor"/>
      </dsp:style>
    </dsp:sp>
    <dsp:sp modelId="{06FFAE97-C641-4D25-8B82-B413FCB63156}">
      <dsp:nvSpPr>
        <dsp:cNvPr id="0" name=""/>
        <dsp:cNvSpPr/>
      </dsp:nvSpPr>
      <dsp:spPr>
        <a:xfrm>
          <a:off x="4131028" y="1348"/>
          <a:ext cx="2228143" cy="1114071"/>
        </a:xfrm>
        <a:prstGeom prst="rect">
          <a:avLst/>
        </a:prstGeom>
        <a:solidFill>
          <a:srgbClr val="003A6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n-US" sz="1500" kern="1200"/>
            <a:t>If you are </a:t>
          </a:r>
        </a:p>
      </dsp:txBody>
      <dsp:txXfrm>
        <a:off x="4131028" y="1348"/>
        <a:ext cx="2228143" cy="1114071"/>
      </dsp:txXfrm>
    </dsp:sp>
    <dsp:sp modelId="{21B2C84C-829B-41F3-9833-6A306BDC98EB}">
      <dsp:nvSpPr>
        <dsp:cNvPr id="0" name=""/>
        <dsp:cNvSpPr/>
      </dsp:nvSpPr>
      <dsp:spPr>
        <a:xfrm>
          <a:off x="86948" y="1583330"/>
          <a:ext cx="2228143" cy="1114071"/>
        </a:xfrm>
        <a:prstGeom prst="rect">
          <a:avLst/>
        </a:prstGeom>
        <a:solidFill>
          <a:srgbClr val="003A6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n-US" sz="1500" kern="1200"/>
            <a:t>An integrated semi-fabrication facility  (takes primary ingot, scrap and produces VAPs/semis products)</a:t>
          </a:r>
        </a:p>
      </dsp:txBody>
      <dsp:txXfrm>
        <a:off x="86948" y="1583330"/>
        <a:ext cx="2228143" cy="1114071"/>
      </dsp:txXfrm>
    </dsp:sp>
    <dsp:sp modelId="{ADF386E8-2566-4318-8458-3BFC5A2EAF7E}">
      <dsp:nvSpPr>
        <dsp:cNvPr id="0" name=""/>
        <dsp:cNvSpPr/>
      </dsp:nvSpPr>
      <dsp:spPr>
        <a:xfrm>
          <a:off x="2783001" y="1583330"/>
          <a:ext cx="2228143" cy="1114071"/>
        </a:xfrm>
        <a:prstGeom prst="rect">
          <a:avLst/>
        </a:prstGeom>
        <a:solidFill>
          <a:srgbClr val="003A6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n-US" sz="1500" kern="1200"/>
            <a:t>A stand alone semi-fabrication facility  (takes  VAPs and produces semis)</a:t>
          </a:r>
        </a:p>
      </dsp:txBody>
      <dsp:txXfrm>
        <a:off x="2783001" y="1583330"/>
        <a:ext cx="2228143" cy="1114071"/>
      </dsp:txXfrm>
    </dsp:sp>
    <dsp:sp modelId="{4C64584D-6967-459B-B2D1-33C236FD4868}">
      <dsp:nvSpPr>
        <dsp:cNvPr id="0" name=""/>
        <dsp:cNvSpPr/>
      </dsp:nvSpPr>
      <dsp:spPr>
        <a:xfrm>
          <a:off x="5544183" y="1584678"/>
          <a:ext cx="2228143" cy="1114071"/>
        </a:xfrm>
        <a:prstGeom prst="rect">
          <a:avLst/>
        </a:prstGeom>
        <a:solidFill>
          <a:srgbClr val="003A6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n-US" sz="1500" kern="1200"/>
            <a:t>A aluminum smelter that produces primary ingots </a:t>
          </a:r>
        </a:p>
      </dsp:txBody>
      <dsp:txXfrm>
        <a:off x="5544183" y="1584678"/>
        <a:ext cx="2228143" cy="1114071"/>
      </dsp:txXfrm>
    </dsp:sp>
    <dsp:sp modelId="{5D087C8D-F0A2-46C0-8305-9F1033D40BA9}">
      <dsp:nvSpPr>
        <dsp:cNvPr id="0" name=""/>
        <dsp:cNvSpPr/>
      </dsp:nvSpPr>
      <dsp:spPr>
        <a:xfrm>
          <a:off x="8262056" y="1584678"/>
          <a:ext cx="2228143" cy="1114071"/>
        </a:xfrm>
        <a:prstGeom prst="rect">
          <a:avLst/>
        </a:prstGeom>
        <a:solidFill>
          <a:srgbClr val="003A6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n-US" sz="1500" kern="1200"/>
            <a:t>A aluminum smelter that produces VAPs</a:t>
          </a:r>
        </a:p>
      </dsp:txBody>
      <dsp:txXfrm>
        <a:off x="8262056" y="1584678"/>
        <a:ext cx="2228143" cy="1114071"/>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Self-gen and Contract Power'!B5"/><Relationship Id="rId2" Type="http://schemas.openxmlformats.org/officeDocument/2006/relationships/hyperlink" Target="#'Self-gen and Contract Power'!B27"/><Relationship Id="rId1" Type="http://schemas.openxmlformats.org/officeDocument/2006/relationships/hyperlink" Target="#'Self-gen and Contract Power'!B42"/></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11</xdr:col>
      <xdr:colOff>924748</xdr:colOff>
      <xdr:row>108</xdr:row>
      <xdr:rowOff>70555</xdr:rowOff>
    </xdr:from>
    <xdr:to>
      <xdr:col>11</xdr:col>
      <xdr:colOff>1905000</xdr:colOff>
      <xdr:row>108</xdr:row>
      <xdr:rowOff>342901</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75925792-B47E-A54C-817B-565D78CAD214}"/>
            </a:ext>
          </a:extLst>
        </xdr:cNvPr>
        <xdr:cNvSpPr/>
      </xdr:nvSpPr>
      <xdr:spPr>
        <a:xfrm>
          <a:off x="14541970" y="10357555"/>
          <a:ext cx="980252"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7</xdr:col>
      <xdr:colOff>989251</xdr:colOff>
      <xdr:row>111</xdr:row>
      <xdr:rowOff>43339</xdr:rowOff>
    </xdr:from>
    <xdr:to>
      <xdr:col>7</xdr:col>
      <xdr:colOff>1933218</xdr:colOff>
      <xdr:row>111</xdr:row>
      <xdr:rowOff>315685</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10023177-C45A-EC49-AF1C-2C28B3BC6CDD}"/>
            </a:ext>
          </a:extLst>
        </xdr:cNvPr>
        <xdr:cNvSpPr/>
      </xdr:nvSpPr>
      <xdr:spPr>
        <a:xfrm>
          <a:off x="9752251" y="16920228"/>
          <a:ext cx="943967"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7</xdr:col>
      <xdr:colOff>989251</xdr:colOff>
      <xdr:row>113</xdr:row>
      <xdr:rowOff>43339</xdr:rowOff>
    </xdr:from>
    <xdr:to>
      <xdr:col>7</xdr:col>
      <xdr:colOff>1933218</xdr:colOff>
      <xdr:row>113</xdr:row>
      <xdr:rowOff>315685</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ED376D46-CBF2-9D44-B17F-6687CE6C02FB}"/>
            </a:ext>
          </a:extLst>
        </xdr:cNvPr>
        <xdr:cNvSpPr/>
      </xdr:nvSpPr>
      <xdr:spPr>
        <a:xfrm>
          <a:off x="9752251" y="16920228"/>
          <a:ext cx="943967"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7</xdr:col>
      <xdr:colOff>989251</xdr:colOff>
      <xdr:row>112</xdr:row>
      <xdr:rowOff>43339</xdr:rowOff>
    </xdr:from>
    <xdr:to>
      <xdr:col>7</xdr:col>
      <xdr:colOff>1933218</xdr:colOff>
      <xdr:row>112</xdr:row>
      <xdr:rowOff>315685</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B6AF11DD-91C2-D24A-89D9-A337D6BCC0A5}"/>
            </a:ext>
          </a:extLst>
        </xdr:cNvPr>
        <xdr:cNvSpPr/>
      </xdr:nvSpPr>
      <xdr:spPr>
        <a:xfrm>
          <a:off x="10048584" y="17625783"/>
          <a:ext cx="943967"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11</xdr:col>
      <xdr:colOff>924748</xdr:colOff>
      <xdr:row>78</xdr:row>
      <xdr:rowOff>70555</xdr:rowOff>
    </xdr:from>
    <xdr:to>
      <xdr:col>11</xdr:col>
      <xdr:colOff>1905000</xdr:colOff>
      <xdr:row>78</xdr:row>
      <xdr:rowOff>342901</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B43724-2AEA-E84E-AE12-71FA4C85A0A7}"/>
            </a:ext>
          </a:extLst>
        </xdr:cNvPr>
        <xdr:cNvSpPr/>
      </xdr:nvSpPr>
      <xdr:spPr>
        <a:xfrm>
          <a:off x="15656748" y="17342555"/>
          <a:ext cx="980252"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7</xdr:col>
      <xdr:colOff>989251</xdr:colOff>
      <xdr:row>81</xdr:row>
      <xdr:rowOff>43339</xdr:rowOff>
    </xdr:from>
    <xdr:to>
      <xdr:col>7</xdr:col>
      <xdr:colOff>1933218</xdr:colOff>
      <xdr:row>81</xdr:row>
      <xdr:rowOff>315685</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59C026F6-2297-C247-BD3E-35E425FC19B4}"/>
            </a:ext>
          </a:extLst>
        </xdr:cNvPr>
        <xdr:cNvSpPr/>
      </xdr:nvSpPr>
      <xdr:spPr>
        <a:xfrm>
          <a:off x="10048584" y="18105561"/>
          <a:ext cx="943967"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7</xdr:col>
      <xdr:colOff>989251</xdr:colOff>
      <xdr:row>83</xdr:row>
      <xdr:rowOff>43339</xdr:rowOff>
    </xdr:from>
    <xdr:to>
      <xdr:col>7</xdr:col>
      <xdr:colOff>1933218</xdr:colOff>
      <xdr:row>83</xdr:row>
      <xdr:rowOff>315685</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7A268E55-4038-004C-B1CD-C255B80FF2A3}"/>
            </a:ext>
          </a:extLst>
        </xdr:cNvPr>
        <xdr:cNvSpPr/>
      </xdr:nvSpPr>
      <xdr:spPr>
        <a:xfrm>
          <a:off x="10048584" y="18811117"/>
          <a:ext cx="943967"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7</xdr:col>
      <xdr:colOff>989251</xdr:colOff>
      <xdr:row>82</xdr:row>
      <xdr:rowOff>43339</xdr:rowOff>
    </xdr:from>
    <xdr:to>
      <xdr:col>7</xdr:col>
      <xdr:colOff>1933218</xdr:colOff>
      <xdr:row>82</xdr:row>
      <xdr:rowOff>315685</xdr:rowOff>
    </xdr:to>
    <xdr:sp macro="" textlink="">
      <xdr:nvSpPr>
        <xdr:cNvPr id="12" name="Rounded Rectangle 11">
          <a:hlinkClick xmlns:r="http://schemas.openxmlformats.org/officeDocument/2006/relationships" r:id="rId3"/>
          <a:extLst>
            <a:ext uri="{FF2B5EF4-FFF2-40B4-BE49-F238E27FC236}">
              <a16:creationId xmlns:a16="http://schemas.microsoft.com/office/drawing/2014/main" id="{DEB3F8B7-CFC4-AF45-BCA0-AE2E3A105402}"/>
            </a:ext>
          </a:extLst>
        </xdr:cNvPr>
        <xdr:cNvSpPr/>
      </xdr:nvSpPr>
      <xdr:spPr>
        <a:xfrm>
          <a:off x="10048584" y="18458339"/>
          <a:ext cx="943967"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11</xdr:col>
      <xdr:colOff>924748</xdr:colOff>
      <xdr:row>46</xdr:row>
      <xdr:rowOff>70555</xdr:rowOff>
    </xdr:from>
    <xdr:to>
      <xdr:col>11</xdr:col>
      <xdr:colOff>1905000</xdr:colOff>
      <xdr:row>46</xdr:row>
      <xdr:rowOff>342901</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C5C2AA81-F195-FB42-A1E1-6413BEA785AB}"/>
            </a:ext>
          </a:extLst>
        </xdr:cNvPr>
        <xdr:cNvSpPr/>
      </xdr:nvSpPr>
      <xdr:spPr>
        <a:xfrm>
          <a:off x="15656748" y="11712222"/>
          <a:ext cx="980252"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7</xdr:col>
      <xdr:colOff>989251</xdr:colOff>
      <xdr:row>49</xdr:row>
      <xdr:rowOff>43339</xdr:rowOff>
    </xdr:from>
    <xdr:to>
      <xdr:col>7</xdr:col>
      <xdr:colOff>1933218</xdr:colOff>
      <xdr:row>49</xdr:row>
      <xdr:rowOff>315685</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7BD36524-7E45-0C46-B47B-4886C6CED84C}"/>
            </a:ext>
          </a:extLst>
        </xdr:cNvPr>
        <xdr:cNvSpPr/>
      </xdr:nvSpPr>
      <xdr:spPr>
        <a:xfrm>
          <a:off x="10048584" y="12475228"/>
          <a:ext cx="943967"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7</xdr:col>
      <xdr:colOff>989251</xdr:colOff>
      <xdr:row>51</xdr:row>
      <xdr:rowOff>43339</xdr:rowOff>
    </xdr:from>
    <xdr:to>
      <xdr:col>7</xdr:col>
      <xdr:colOff>1933218</xdr:colOff>
      <xdr:row>51</xdr:row>
      <xdr:rowOff>315685</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2E98CD64-68D4-0246-8C6B-1348E3E26DC6}"/>
            </a:ext>
          </a:extLst>
        </xdr:cNvPr>
        <xdr:cNvSpPr/>
      </xdr:nvSpPr>
      <xdr:spPr>
        <a:xfrm>
          <a:off x="10048584" y="13180783"/>
          <a:ext cx="943967"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twoCellAnchor>
    <xdr:from>
      <xdr:col>7</xdr:col>
      <xdr:colOff>989251</xdr:colOff>
      <xdr:row>50</xdr:row>
      <xdr:rowOff>43339</xdr:rowOff>
    </xdr:from>
    <xdr:to>
      <xdr:col>7</xdr:col>
      <xdr:colOff>1933218</xdr:colOff>
      <xdr:row>50</xdr:row>
      <xdr:rowOff>315685</xdr:rowOff>
    </xdr:to>
    <xdr:sp macro="" textlink="">
      <xdr:nvSpPr>
        <xdr:cNvPr id="16" name="Rounded Rectangle 15">
          <a:hlinkClick xmlns:r="http://schemas.openxmlformats.org/officeDocument/2006/relationships" r:id="rId3"/>
          <a:extLst>
            <a:ext uri="{FF2B5EF4-FFF2-40B4-BE49-F238E27FC236}">
              <a16:creationId xmlns:a16="http://schemas.microsoft.com/office/drawing/2014/main" id="{D0CB12DF-29D9-604D-B322-82540273BFFE}"/>
            </a:ext>
          </a:extLst>
        </xdr:cNvPr>
        <xdr:cNvSpPr/>
      </xdr:nvSpPr>
      <xdr:spPr>
        <a:xfrm>
          <a:off x="10048584" y="12828006"/>
          <a:ext cx="943967" cy="27234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Go calculate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133350</xdr:rowOff>
    </xdr:from>
    <xdr:to>
      <xdr:col>18</xdr:col>
      <xdr:colOff>9523</xdr:colOff>
      <xdr:row>43</xdr:row>
      <xdr:rowOff>28575</xdr:rowOff>
    </xdr:to>
    <xdr:sp macro="" textlink="">
      <xdr:nvSpPr>
        <xdr:cNvPr id="2" name="TextBox 1">
          <a:extLst>
            <a:ext uri="{FF2B5EF4-FFF2-40B4-BE49-F238E27FC236}">
              <a16:creationId xmlns:a16="http://schemas.microsoft.com/office/drawing/2014/main" id="{7045CCED-BFCD-EA79-AAE3-236B7BCFE323}"/>
            </a:ext>
          </a:extLst>
        </xdr:cNvPr>
        <xdr:cNvSpPr txBox="1"/>
      </xdr:nvSpPr>
      <xdr:spPr>
        <a:xfrm flipH="1">
          <a:off x="0" y="133350"/>
          <a:ext cx="11153773" cy="7324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238124</xdr:colOff>
      <xdr:row>5</xdr:row>
      <xdr:rowOff>58737</xdr:rowOff>
    </xdr:from>
    <xdr:to>
      <xdr:col>17</xdr:col>
      <xdr:colOff>247649</xdr:colOff>
      <xdr:row>19</xdr:row>
      <xdr:rowOff>134937</xdr:rowOff>
    </xdr:to>
    <xdr:graphicFrame macro="">
      <xdr:nvGraphicFramePr>
        <xdr:cNvPr id="3" name="Diagram 2">
          <a:extLst>
            <a:ext uri="{FF2B5EF4-FFF2-40B4-BE49-F238E27FC236}">
              <a16:creationId xmlns:a16="http://schemas.microsoft.com/office/drawing/2014/main" id="{88760307-6DB8-34F3-13B7-9A9661A8069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9971</xdr:colOff>
      <xdr:row>19</xdr:row>
      <xdr:rowOff>114300</xdr:rowOff>
    </xdr:from>
    <xdr:to>
      <xdr:col>2</xdr:col>
      <xdr:colOff>9971</xdr:colOff>
      <xdr:row>22</xdr:row>
      <xdr:rowOff>57675</xdr:rowOff>
    </xdr:to>
    <xdr:cxnSp macro="">
      <xdr:nvCxnSpPr>
        <xdr:cNvPr id="6" name="Straight Arrow Connector 5">
          <a:extLst>
            <a:ext uri="{FF2B5EF4-FFF2-40B4-BE49-F238E27FC236}">
              <a16:creationId xmlns:a16="http://schemas.microsoft.com/office/drawing/2014/main" id="{0693D595-2773-7485-7F64-4D1B4946D7BD}"/>
            </a:ext>
          </a:extLst>
        </xdr:cNvPr>
        <xdr:cNvCxnSpPr>
          <a:endCxn id="15" idx="0"/>
        </xdr:cNvCxnSpPr>
      </xdr:nvCxnSpPr>
      <xdr:spPr>
        <a:xfrm>
          <a:off x="1248221" y="2971800"/>
          <a:ext cx="0" cy="514875"/>
        </a:xfrm>
        <a:prstGeom prst="straightConnector1">
          <a:avLst/>
        </a:prstGeom>
        <a:ln>
          <a:solidFill>
            <a:srgbClr val="003A6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190499</xdr:colOff>
      <xdr:row>22</xdr:row>
      <xdr:rowOff>47625</xdr:rowOff>
    </xdr:from>
    <xdr:to>
      <xdr:col>3</xdr:col>
      <xdr:colOff>439042</xdr:colOff>
      <xdr:row>38</xdr:row>
      <xdr:rowOff>66675</xdr:rowOff>
    </xdr:to>
    <xdr:grpSp>
      <xdr:nvGrpSpPr>
        <xdr:cNvPr id="13" name="Group 12">
          <a:extLst>
            <a:ext uri="{FF2B5EF4-FFF2-40B4-BE49-F238E27FC236}">
              <a16:creationId xmlns:a16="http://schemas.microsoft.com/office/drawing/2014/main" id="{D6B266D0-DE92-6B81-31F4-FF1A4B96A106}"/>
            </a:ext>
          </a:extLst>
        </xdr:cNvPr>
        <xdr:cNvGrpSpPr/>
      </xdr:nvGrpSpPr>
      <xdr:grpSpPr>
        <a:xfrm>
          <a:off x="190499" y="4333875"/>
          <a:ext cx="2020193" cy="2914650"/>
          <a:chOff x="471" y="1587387"/>
          <a:chExt cx="2064628" cy="2906863"/>
        </a:xfrm>
      </xdr:grpSpPr>
      <xdr:sp macro="" textlink="">
        <xdr:nvSpPr>
          <xdr:cNvPr id="14" name="Rectangle 13">
            <a:extLst>
              <a:ext uri="{FF2B5EF4-FFF2-40B4-BE49-F238E27FC236}">
                <a16:creationId xmlns:a16="http://schemas.microsoft.com/office/drawing/2014/main" id="{CF6A298C-9099-D71A-C08D-BCE701F2C722}"/>
              </a:ext>
            </a:extLst>
          </xdr:cNvPr>
          <xdr:cNvSpPr/>
        </xdr:nvSpPr>
        <xdr:spPr>
          <a:xfrm>
            <a:off x="471" y="1587387"/>
            <a:ext cx="2055118" cy="1027559"/>
          </a:xfrm>
          <a:prstGeom prst="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TextBox 14">
            <a:extLst>
              <a:ext uri="{FF2B5EF4-FFF2-40B4-BE49-F238E27FC236}">
                <a16:creationId xmlns:a16="http://schemas.microsoft.com/office/drawing/2014/main" id="{787FBBF5-EACB-13E3-2AB1-775EDE4A55C6}"/>
              </a:ext>
            </a:extLst>
          </xdr:cNvPr>
          <xdr:cNvSpPr txBox="1"/>
        </xdr:nvSpPr>
        <xdr:spPr>
          <a:xfrm>
            <a:off x="9981" y="1596912"/>
            <a:ext cx="2055118" cy="2897338"/>
          </a:xfrm>
          <a:prstGeom prst="rect">
            <a:avLst/>
          </a:prstGeom>
          <a:solidFill>
            <a:srgbClr val="45CFCC"/>
          </a:solidFill>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t" anchorCtr="0">
            <a:noAutofit/>
          </a:bodyPr>
          <a:lstStyle/>
          <a:p>
            <a:pPr marL="0" lvl="0" indent="0" algn="l" defTabSz="622300">
              <a:lnSpc>
                <a:spcPct val="90000"/>
              </a:lnSpc>
              <a:spcBef>
                <a:spcPct val="0"/>
              </a:spcBef>
              <a:spcAft>
                <a:spcPct val="35000"/>
              </a:spcAft>
              <a:buNone/>
            </a:pPr>
            <a:r>
              <a:rPr lang="en-US" sz="1400" kern="1200"/>
              <a:t>- Enter all the data from your facility in the "Final Casting", "Semi-Fabrication" tabs</a:t>
            </a:r>
          </a:p>
          <a:p>
            <a:pPr marL="0" lvl="0" indent="0" algn="l" defTabSz="622300">
              <a:lnSpc>
                <a:spcPct val="90000"/>
              </a:lnSpc>
              <a:spcBef>
                <a:spcPct val="0"/>
              </a:spcBef>
              <a:spcAft>
                <a:spcPct val="35000"/>
              </a:spcAft>
              <a:buNone/>
            </a:pPr>
            <a:r>
              <a:rPr lang="en-US" sz="1400" kern="1200"/>
              <a:t>- Get</a:t>
            </a:r>
            <a:r>
              <a:rPr lang="en-US" sz="1400" kern="1200" baseline="0"/>
              <a:t> the other relevant data from your suppliers and include it in Table 2a of the "Final Casting" tab</a:t>
            </a:r>
          </a:p>
          <a:p>
            <a:pPr marL="0" lvl="0" indent="0" algn="l" defTabSz="622300">
              <a:lnSpc>
                <a:spcPct val="90000"/>
              </a:lnSpc>
              <a:spcBef>
                <a:spcPct val="0"/>
              </a:spcBef>
              <a:spcAft>
                <a:spcPct val="35000"/>
              </a:spcAft>
              <a:buNone/>
            </a:pPr>
            <a:r>
              <a:rPr lang="en-US" sz="1400" kern="1200" baseline="0"/>
              <a:t>- Use the other tabs from "Bauxite" to "Smelter Casting Scrap" to get even more granular data from your suppliers</a:t>
            </a:r>
          </a:p>
          <a:p>
            <a:pPr marL="0" lvl="0" indent="0" algn="l" defTabSz="622300">
              <a:lnSpc>
                <a:spcPct val="90000"/>
              </a:lnSpc>
              <a:spcBef>
                <a:spcPct val="0"/>
              </a:spcBef>
              <a:spcAft>
                <a:spcPct val="35000"/>
              </a:spcAft>
              <a:buNone/>
            </a:pPr>
            <a:endParaRPr lang="en-US" sz="1400" kern="1200" baseline="0"/>
          </a:p>
          <a:p>
            <a:pPr marL="0" lvl="0" indent="0" algn="l" defTabSz="622300">
              <a:lnSpc>
                <a:spcPct val="90000"/>
              </a:lnSpc>
              <a:spcBef>
                <a:spcPct val="0"/>
              </a:spcBef>
              <a:spcAft>
                <a:spcPct val="35000"/>
              </a:spcAft>
              <a:buNone/>
            </a:pPr>
            <a:endParaRPr lang="en-US" sz="1400" kern="1200"/>
          </a:p>
        </xdr:txBody>
      </xdr:sp>
    </xdr:grpSp>
    <xdr:clientData/>
  </xdr:twoCellAnchor>
  <xdr:twoCellAnchor>
    <xdr:from>
      <xdr:col>4</xdr:col>
      <xdr:colOff>476249</xdr:colOff>
      <xdr:row>22</xdr:row>
      <xdr:rowOff>66675</xdr:rowOff>
    </xdr:from>
    <xdr:to>
      <xdr:col>8</xdr:col>
      <xdr:colOff>96141</xdr:colOff>
      <xdr:row>38</xdr:row>
      <xdr:rowOff>85725</xdr:rowOff>
    </xdr:to>
    <xdr:grpSp>
      <xdr:nvGrpSpPr>
        <xdr:cNvPr id="18" name="Group 17">
          <a:extLst>
            <a:ext uri="{FF2B5EF4-FFF2-40B4-BE49-F238E27FC236}">
              <a16:creationId xmlns:a16="http://schemas.microsoft.com/office/drawing/2014/main" id="{5D416719-7C92-4E71-8582-563233459ED5}"/>
            </a:ext>
          </a:extLst>
        </xdr:cNvPr>
        <xdr:cNvGrpSpPr/>
      </xdr:nvGrpSpPr>
      <xdr:grpSpPr>
        <a:xfrm>
          <a:off x="2838449" y="4352925"/>
          <a:ext cx="1982092" cy="2914650"/>
          <a:chOff x="471" y="1587387"/>
          <a:chExt cx="2064627" cy="2906863"/>
        </a:xfrm>
      </xdr:grpSpPr>
      <xdr:sp macro="" textlink="">
        <xdr:nvSpPr>
          <xdr:cNvPr id="19" name="Rectangle 18">
            <a:extLst>
              <a:ext uri="{FF2B5EF4-FFF2-40B4-BE49-F238E27FC236}">
                <a16:creationId xmlns:a16="http://schemas.microsoft.com/office/drawing/2014/main" id="{075D2EAF-D910-6E21-8ACC-D8B2CEC91957}"/>
              </a:ext>
            </a:extLst>
          </xdr:cNvPr>
          <xdr:cNvSpPr/>
        </xdr:nvSpPr>
        <xdr:spPr>
          <a:xfrm>
            <a:off x="471" y="1587387"/>
            <a:ext cx="2055118" cy="1027559"/>
          </a:xfrm>
          <a:prstGeom prst="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0" name="TextBox 19">
            <a:extLst>
              <a:ext uri="{FF2B5EF4-FFF2-40B4-BE49-F238E27FC236}">
                <a16:creationId xmlns:a16="http://schemas.microsoft.com/office/drawing/2014/main" id="{022A35B1-53FE-3C85-C8F5-AA46781CC35A}"/>
              </a:ext>
            </a:extLst>
          </xdr:cNvPr>
          <xdr:cNvSpPr txBox="1"/>
        </xdr:nvSpPr>
        <xdr:spPr>
          <a:xfrm>
            <a:off x="9981" y="1596912"/>
            <a:ext cx="2055117" cy="2897338"/>
          </a:xfrm>
          <a:prstGeom prst="rect">
            <a:avLst/>
          </a:prstGeom>
          <a:solidFill>
            <a:srgbClr val="45CFCC"/>
          </a:solidFill>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t" anchorCtr="0">
            <a:noAutofit/>
          </a:bodyPr>
          <a:lstStyle/>
          <a:p>
            <a:pPr marL="0" lvl="0" indent="0" algn="l" defTabSz="622300">
              <a:lnSpc>
                <a:spcPct val="90000"/>
              </a:lnSpc>
              <a:spcBef>
                <a:spcPct val="0"/>
              </a:spcBef>
              <a:spcAft>
                <a:spcPct val="35000"/>
              </a:spcAft>
              <a:buNone/>
            </a:pPr>
            <a:r>
              <a:rPr lang="en-US" sz="1400" kern="1200"/>
              <a:t>- Enter all the data from your facility in the "Semi-Fabrication" tab</a:t>
            </a:r>
          </a:p>
          <a:p>
            <a:pPr marL="0" lvl="0" indent="0" algn="l" defTabSz="622300">
              <a:lnSpc>
                <a:spcPct val="90000"/>
              </a:lnSpc>
              <a:spcBef>
                <a:spcPct val="0"/>
              </a:spcBef>
              <a:spcAft>
                <a:spcPct val="35000"/>
              </a:spcAft>
              <a:buNone/>
            </a:pPr>
            <a:r>
              <a:rPr lang="en-US" sz="1400" kern="1200"/>
              <a:t>- Get</a:t>
            </a:r>
            <a:r>
              <a:rPr lang="en-US" sz="1400" kern="1200" baseline="0"/>
              <a:t> the other relevant data from your suppliers and include it in Table 2a of the "Semi-Fabrication" tab</a:t>
            </a:r>
          </a:p>
          <a:p>
            <a:pPr marL="0" lvl="0" indent="0" algn="l" defTabSz="622300">
              <a:lnSpc>
                <a:spcPct val="90000"/>
              </a:lnSpc>
              <a:spcBef>
                <a:spcPct val="0"/>
              </a:spcBef>
              <a:spcAft>
                <a:spcPct val="35000"/>
              </a:spcAft>
              <a:buNone/>
            </a:pPr>
            <a:r>
              <a:rPr lang="en-US" sz="1400" kern="1200" baseline="0"/>
              <a:t>- Use the other tabs from "Bauxite" to "Final Casting" to get even more granular data from your suppliers</a:t>
            </a:r>
          </a:p>
          <a:p>
            <a:pPr marL="0" lvl="0" indent="0" algn="l" defTabSz="622300">
              <a:lnSpc>
                <a:spcPct val="90000"/>
              </a:lnSpc>
              <a:spcBef>
                <a:spcPct val="0"/>
              </a:spcBef>
              <a:spcAft>
                <a:spcPct val="35000"/>
              </a:spcAft>
              <a:buNone/>
            </a:pPr>
            <a:endParaRPr lang="en-US" sz="1400" kern="1200" baseline="0"/>
          </a:p>
          <a:p>
            <a:pPr marL="0" lvl="0" indent="0" algn="l" defTabSz="622300">
              <a:lnSpc>
                <a:spcPct val="90000"/>
              </a:lnSpc>
              <a:spcBef>
                <a:spcPct val="0"/>
              </a:spcBef>
              <a:spcAft>
                <a:spcPct val="35000"/>
              </a:spcAft>
              <a:buNone/>
            </a:pPr>
            <a:endParaRPr lang="en-US" sz="1400" kern="1200"/>
          </a:p>
        </xdr:txBody>
      </xdr:sp>
    </xdr:grpSp>
    <xdr:clientData/>
  </xdr:twoCellAnchor>
  <xdr:twoCellAnchor>
    <xdr:from>
      <xdr:col>6</xdr:col>
      <xdr:colOff>276225</xdr:colOff>
      <xdr:row>19</xdr:row>
      <xdr:rowOff>95250</xdr:rowOff>
    </xdr:from>
    <xdr:to>
      <xdr:col>6</xdr:col>
      <xdr:colOff>291023</xdr:colOff>
      <xdr:row>22</xdr:row>
      <xdr:rowOff>76725</xdr:rowOff>
    </xdr:to>
    <xdr:cxnSp macro="">
      <xdr:nvCxnSpPr>
        <xdr:cNvPr id="22" name="Straight Arrow Connector 21">
          <a:extLst>
            <a:ext uri="{FF2B5EF4-FFF2-40B4-BE49-F238E27FC236}">
              <a16:creationId xmlns:a16="http://schemas.microsoft.com/office/drawing/2014/main" id="{EB4DD2F2-48A9-41A7-B10C-D6657BA7B758}"/>
            </a:ext>
          </a:extLst>
        </xdr:cNvPr>
        <xdr:cNvCxnSpPr>
          <a:endCxn id="20" idx="0"/>
        </xdr:cNvCxnSpPr>
      </xdr:nvCxnSpPr>
      <xdr:spPr>
        <a:xfrm>
          <a:off x="3990975" y="2952750"/>
          <a:ext cx="14798" cy="552975"/>
        </a:xfrm>
        <a:prstGeom prst="straightConnector1">
          <a:avLst/>
        </a:prstGeom>
        <a:ln>
          <a:solidFill>
            <a:srgbClr val="003A6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161924</xdr:colOff>
      <xdr:row>22</xdr:row>
      <xdr:rowOff>47624</xdr:rowOff>
    </xdr:from>
    <xdr:to>
      <xdr:col>12</xdr:col>
      <xdr:colOff>410466</xdr:colOff>
      <xdr:row>40</xdr:row>
      <xdr:rowOff>133349</xdr:rowOff>
    </xdr:to>
    <xdr:grpSp>
      <xdr:nvGrpSpPr>
        <xdr:cNvPr id="26" name="Group 25">
          <a:extLst>
            <a:ext uri="{FF2B5EF4-FFF2-40B4-BE49-F238E27FC236}">
              <a16:creationId xmlns:a16="http://schemas.microsoft.com/office/drawing/2014/main" id="{D8822B6E-9BAD-4217-8757-9A3B2F133C75}"/>
            </a:ext>
          </a:extLst>
        </xdr:cNvPr>
        <xdr:cNvGrpSpPr/>
      </xdr:nvGrpSpPr>
      <xdr:grpSpPr>
        <a:xfrm>
          <a:off x="5476874" y="4333874"/>
          <a:ext cx="2029717" cy="3343275"/>
          <a:chOff x="471" y="1587387"/>
          <a:chExt cx="2064627" cy="2906863"/>
        </a:xfrm>
      </xdr:grpSpPr>
      <xdr:sp macro="" textlink="">
        <xdr:nvSpPr>
          <xdr:cNvPr id="27" name="Rectangle 26">
            <a:extLst>
              <a:ext uri="{FF2B5EF4-FFF2-40B4-BE49-F238E27FC236}">
                <a16:creationId xmlns:a16="http://schemas.microsoft.com/office/drawing/2014/main" id="{8E99D131-1876-9D7E-2A19-2C0E992328CB}"/>
              </a:ext>
            </a:extLst>
          </xdr:cNvPr>
          <xdr:cNvSpPr/>
        </xdr:nvSpPr>
        <xdr:spPr>
          <a:xfrm>
            <a:off x="471" y="1587387"/>
            <a:ext cx="2055118" cy="1027559"/>
          </a:xfrm>
          <a:prstGeom prst="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8" name="TextBox 27">
            <a:extLst>
              <a:ext uri="{FF2B5EF4-FFF2-40B4-BE49-F238E27FC236}">
                <a16:creationId xmlns:a16="http://schemas.microsoft.com/office/drawing/2014/main" id="{C61A2271-6450-5AE3-5BDE-F01F1A7CF35E}"/>
              </a:ext>
            </a:extLst>
          </xdr:cNvPr>
          <xdr:cNvSpPr txBox="1"/>
        </xdr:nvSpPr>
        <xdr:spPr>
          <a:xfrm>
            <a:off x="9981" y="1596912"/>
            <a:ext cx="2055117" cy="2897338"/>
          </a:xfrm>
          <a:prstGeom prst="rect">
            <a:avLst/>
          </a:prstGeom>
          <a:solidFill>
            <a:srgbClr val="45CFCC"/>
          </a:solidFill>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t" anchorCtr="0">
            <a:noAutofit/>
          </a:bodyPr>
          <a:lstStyle/>
          <a:p>
            <a:pPr marL="0" lvl="0" indent="0" algn="l" defTabSz="622300">
              <a:lnSpc>
                <a:spcPct val="90000"/>
              </a:lnSpc>
              <a:spcBef>
                <a:spcPct val="0"/>
              </a:spcBef>
              <a:spcAft>
                <a:spcPct val="35000"/>
              </a:spcAft>
              <a:buNone/>
            </a:pPr>
            <a:r>
              <a:rPr lang="en-US" sz="1400" kern="1200"/>
              <a:t>- Enter all the data from your facility in the "Mine to Smelter" and  the "Smelter Casting Scrap" tabs</a:t>
            </a:r>
          </a:p>
          <a:p>
            <a:pPr marL="0" lvl="0" indent="0" algn="l" defTabSz="622300">
              <a:lnSpc>
                <a:spcPct val="90000"/>
              </a:lnSpc>
              <a:spcBef>
                <a:spcPct val="0"/>
              </a:spcBef>
              <a:spcAft>
                <a:spcPct val="35000"/>
              </a:spcAft>
              <a:buNone/>
            </a:pPr>
            <a:r>
              <a:rPr lang="en-US" sz="1400" kern="1200"/>
              <a:t>- Get</a:t>
            </a:r>
            <a:r>
              <a:rPr lang="en-US" sz="1400" kern="1200" baseline="0"/>
              <a:t> the other relevant data from your suppliers and include it in Table 2 of the "Mine to Smelter" tab</a:t>
            </a:r>
          </a:p>
          <a:p>
            <a:pPr marL="0" lvl="0" indent="0" algn="l" defTabSz="622300">
              <a:lnSpc>
                <a:spcPct val="90000"/>
              </a:lnSpc>
              <a:spcBef>
                <a:spcPct val="0"/>
              </a:spcBef>
              <a:spcAft>
                <a:spcPct val="35000"/>
              </a:spcAft>
              <a:buNone/>
            </a:pPr>
            <a:r>
              <a:rPr lang="en-US" sz="1400" kern="1200" baseline="0"/>
              <a:t>- Use the other tabs from "Bauxite" to "Anode Production" to get even more granular data from your suppliers</a:t>
            </a:r>
          </a:p>
          <a:p>
            <a:pPr marL="0" lvl="0" indent="0" algn="l" defTabSz="622300">
              <a:lnSpc>
                <a:spcPct val="90000"/>
              </a:lnSpc>
              <a:spcBef>
                <a:spcPct val="0"/>
              </a:spcBef>
              <a:spcAft>
                <a:spcPct val="35000"/>
              </a:spcAft>
              <a:buNone/>
            </a:pPr>
            <a:r>
              <a:rPr lang="en-US" sz="1400" kern="1200" baseline="0"/>
              <a:t>- Share all the relevant information to downstream semis producers </a:t>
            </a:r>
          </a:p>
          <a:p>
            <a:pPr marL="0" lvl="0" indent="0" algn="l" defTabSz="622300">
              <a:lnSpc>
                <a:spcPct val="90000"/>
              </a:lnSpc>
              <a:spcBef>
                <a:spcPct val="0"/>
              </a:spcBef>
              <a:spcAft>
                <a:spcPct val="35000"/>
              </a:spcAft>
              <a:buNone/>
            </a:pPr>
            <a:endParaRPr lang="en-US" sz="1400" kern="1200" baseline="0"/>
          </a:p>
          <a:p>
            <a:pPr marL="0" lvl="0" indent="0" algn="l" defTabSz="622300">
              <a:lnSpc>
                <a:spcPct val="90000"/>
              </a:lnSpc>
              <a:spcBef>
                <a:spcPct val="0"/>
              </a:spcBef>
              <a:spcAft>
                <a:spcPct val="35000"/>
              </a:spcAft>
              <a:buNone/>
            </a:pPr>
            <a:endParaRPr lang="en-US" sz="1400" kern="1200"/>
          </a:p>
        </xdr:txBody>
      </xdr:sp>
    </xdr:grpSp>
    <xdr:clientData/>
  </xdr:twoCellAnchor>
  <xdr:twoCellAnchor>
    <xdr:from>
      <xdr:col>10</xdr:col>
      <xdr:colOff>600520</xdr:colOff>
      <xdr:row>19</xdr:row>
      <xdr:rowOff>133350</xdr:rowOff>
    </xdr:from>
    <xdr:to>
      <xdr:col>10</xdr:col>
      <xdr:colOff>600520</xdr:colOff>
      <xdr:row>22</xdr:row>
      <xdr:rowOff>55966</xdr:rowOff>
    </xdr:to>
    <xdr:cxnSp macro="">
      <xdr:nvCxnSpPr>
        <xdr:cNvPr id="29" name="Straight Arrow Connector 28">
          <a:extLst>
            <a:ext uri="{FF2B5EF4-FFF2-40B4-BE49-F238E27FC236}">
              <a16:creationId xmlns:a16="http://schemas.microsoft.com/office/drawing/2014/main" id="{32C6473B-CEB5-4389-B21C-0E2AD0FF33CD}"/>
            </a:ext>
          </a:extLst>
        </xdr:cNvPr>
        <xdr:cNvCxnSpPr>
          <a:endCxn id="28" idx="0"/>
        </xdr:cNvCxnSpPr>
      </xdr:nvCxnSpPr>
      <xdr:spPr>
        <a:xfrm>
          <a:off x="6791770" y="2990850"/>
          <a:ext cx="0" cy="494116"/>
        </a:xfrm>
        <a:prstGeom prst="straightConnector1">
          <a:avLst/>
        </a:prstGeom>
        <a:ln>
          <a:solidFill>
            <a:srgbClr val="003A6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523873</xdr:colOff>
      <xdr:row>22</xdr:row>
      <xdr:rowOff>28575</xdr:rowOff>
    </xdr:from>
    <xdr:to>
      <xdr:col>17</xdr:col>
      <xdr:colOff>143765</xdr:colOff>
      <xdr:row>41</xdr:row>
      <xdr:rowOff>114299</xdr:rowOff>
    </xdr:to>
    <xdr:grpSp>
      <xdr:nvGrpSpPr>
        <xdr:cNvPr id="50" name="Group 49">
          <a:extLst>
            <a:ext uri="{FF2B5EF4-FFF2-40B4-BE49-F238E27FC236}">
              <a16:creationId xmlns:a16="http://schemas.microsoft.com/office/drawing/2014/main" id="{022B4B0B-3DF7-4F33-87FB-A71E6F9FA164}"/>
            </a:ext>
          </a:extLst>
        </xdr:cNvPr>
        <xdr:cNvGrpSpPr/>
      </xdr:nvGrpSpPr>
      <xdr:grpSpPr>
        <a:xfrm>
          <a:off x="8210548" y="4314825"/>
          <a:ext cx="1982092" cy="3524249"/>
          <a:chOff x="471" y="1587387"/>
          <a:chExt cx="2064627" cy="3064416"/>
        </a:xfrm>
      </xdr:grpSpPr>
      <xdr:sp macro="" textlink="">
        <xdr:nvSpPr>
          <xdr:cNvPr id="51" name="Rectangle 50">
            <a:extLst>
              <a:ext uri="{FF2B5EF4-FFF2-40B4-BE49-F238E27FC236}">
                <a16:creationId xmlns:a16="http://schemas.microsoft.com/office/drawing/2014/main" id="{9C45C5BD-0CB3-3B6D-5FD3-10592E0C768C}"/>
              </a:ext>
            </a:extLst>
          </xdr:cNvPr>
          <xdr:cNvSpPr/>
        </xdr:nvSpPr>
        <xdr:spPr>
          <a:xfrm>
            <a:off x="471" y="1587387"/>
            <a:ext cx="2055118" cy="1027559"/>
          </a:xfrm>
          <a:prstGeom prst="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2" name="TextBox 51">
            <a:extLst>
              <a:ext uri="{FF2B5EF4-FFF2-40B4-BE49-F238E27FC236}">
                <a16:creationId xmlns:a16="http://schemas.microsoft.com/office/drawing/2014/main" id="{9DDC7C52-A82A-AC9B-2EB3-13EF3741F124}"/>
              </a:ext>
            </a:extLst>
          </xdr:cNvPr>
          <xdr:cNvSpPr txBox="1"/>
        </xdr:nvSpPr>
        <xdr:spPr>
          <a:xfrm>
            <a:off x="9981" y="1596912"/>
            <a:ext cx="2055117" cy="3054891"/>
          </a:xfrm>
          <a:prstGeom prst="rect">
            <a:avLst/>
          </a:prstGeom>
          <a:solidFill>
            <a:srgbClr val="45CFCC"/>
          </a:solidFill>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t" anchorCtr="0">
            <a:noAutofit/>
          </a:bodyPr>
          <a:lstStyle/>
          <a:p>
            <a:pPr marL="0" lvl="0" indent="0" algn="l" defTabSz="622300">
              <a:lnSpc>
                <a:spcPct val="90000"/>
              </a:lnSpc>
              <a:spcBef>
                <a:spcPct val="0"/>
              </a:spcBef>
              <a:spcAft>
                <a:spcPct val="35000"/>
              </a:spcAft>
              <a:buNone/>
            </a:pPr>
            <a:r>
              <a:rPr lang="en-US" sz="1400" kern="1200"/>
              <a:t>- Enter all the data from your facility in the "Mine to Smelter",</a:t>
            </a:r>
            <a:r>
              <a:rPr lang="en-US" sz="1400" kern="1200" baseline="0"/>
              <a:t> </a:t>
            </a:r>
            <a:r>
              <a:rPr lang="en-US" sz="1400" kern="1200"/>
              <a:t>"Smelter Casting Scrap" and "Final</a:t>
            </a:r>
            <a:r>
              <a:rPr lang="en-US" sz="1400" kern="1200" baseline="0"/>
              <a:t> Casting</a:t>
            </a:r>
            <a:r>
              <a:rPr lang="en-US" sz="1400" kern="1200"/>
              <a:t>" tabs</a:t>
            </a:r>
          </a:p>
          <a:p>
            <a:pPr marL="0" lvl="0" indent="0" algn="l" defTabSz="622300">
              <a:lnSpc>
                <a:spcPct val="90000"/>
              </a:lnSpc>
              <a:spcBef>
                <a:spcPct val="0"/>
              </a:spcBef>
              <a:spcAft>
                <a:spcPct val="35000"/>
              </a:spcAft>
              <a:buNone/>
            </a:pPr>
            <a:r>
              <a:rPr lang="en-US" sz="1400" kern="1200"/>
              <a:t>- Get</a:t>
            </a:r>
            <a:r>
              <a:rPr lang="en-US" sz="1400" kern="1200" baseline="0"/>
              <a:t> the other relevant data from your suppliers and include it in Table 2 of the "Mine to Smelter" tab</a:t>
            </a:r>
          </a:p>
          <a:p>
            <a:pPr marL="0" lvl="0" indent="0" algn="l" defTabSz="622300">
              <a:lnSpc>
                <a:spcPct val="90000"/>
              </a:lnSpc>
              <a:spcBef>
                <a:spcPct val="0"/>
              </a:spcBef>
              <a:spcAft>
                <a:spcPct val="35000"/>
              </a:spcAft>
              <a:buNone/>
            </a:pPr>
            <a:r>
              <a:rPr lang="en-US" sz="1400" kern="1200" baseline="0"/>
              <a:t>- Use the other tabs from "Bauxite" to "Anode Production" to get even more granular data from your suppliers</a:t>
            </a:r>
          </a:p>
          <a:p>
            <a:pPr marL="0" lvl="0" indent="0" algn="l" defTabSz="622300">
              <a:lnSpc>
                <a:spcPct val="90000"/>
              </a:lnSpc>
              <a:spcBef>
                <a:spcPct val="0"/>
              </a:spcBef>
              <a:spcAft>
                <a:spcPct val="35000"/>
              </a:spcAft>
              <a:buNone/>
            </a:pPr>
            <a:r>
              <a:rPr lang="en-US" sz="1400" kern="1200" baseline="0"/>
              <a:t>- Share all the relevant information to downstream semis producers </a:t>
            </a:r>
          </a:p>
          <a:p>
            <a:pPr marL="0" lvl="0" indent="0" algn="l" defTabSz="622300">
              <a:lnSpc>
                <a:spcPct val="90000"/>
              </a:lnSpc>
              <a:spcBef>
                <a:spcPct val="0"/>
              </a:spcBef>
              <a:spcAft>
                <a:spcPct val="35000"/>
              </a:spcAft>
              <a:buNone/>
            </a:pPr>
            <a:endParaRPr lang="en-US" sz="1400" kern="1200" baseline="0"/>
          </a:p>
          <a:p>
            <a:pPr marL="0" lvl="0" indent="0" algn="l" defTabSz="622300">
              <a:lnSpc>
                <a:spcPct val="90000"/>
              </a:lnSpc>
              <a:spcBef>
                <a:spcPct val="0"/>
              </a:spcBef>
              <a:spcAft>
                <a:spcPct val="35000"/>
              </a:spcAft>
              <a:buNone/>
            </a:pPr>
            <a:endParaRPr lang="en-US" sz="1400" kern="1200"/>
          </a:p>
        </xdr:txBody>
      </xdr:sp>
    </xdr:grpSp>
    <xdr:clientData/>
  </xdr:twoCellAnchor>
  <xdr:twoCellAnchor>
    <xdr:from>
      <xdr:col>15</xdr:col>
      <xdr:colOff>323850</xdr:colOff>
      <xdr:row>19</xdr:row>
      <xdr:rowOff>133350</xdr:rowOff>
    </xdr:from>
    <xdr:to>
      <xdr:col>15</xdr:col>
      <xdr:colOff>333819</xdr:colOff>
      <xdr:row>22</xdr:row>
      <xdr:rowOff>36917</xdr:rowOff>
    </xdr:to>
    <xdr:cxnSp macro="">
      <xdr:nvCxnSpPr>
        <xdr:cNvPr id="54" name="Straight Arrow Connector 53">
          <a:extLst>
            <a:ext uri="{FF2B5EF4-FFF2-40B4-BE49-F238E27FC236}">
              <a16:creationId xmlns:a16="http://schemas.microsoft.com/office/drawing/2014/main" id="{7A843C29-9324-4EB5-91B8-F9DEC3525E9D}"/>
            </a:ext>
          </a:extLst>
        </xdr:cNvPr>
        <xdr:cNvCxnSpPr>
          <a:endCxn id="52" idx="0"/>
        </xdr:cNvCxnSpPr>
      </xdr:nvCxnSpPr>
      <xdr:spPr>
        <a:xfrm>
          <a:off x="9610725" y="2990850"/>
          <a:ext cx="9969" cy="475067"/>
        </a:xfrm>
        <a:prstGeom prst="straightConnector1">
          <a:avLst/>
        </a:prstGeom>
        <a:ln>
          <a:solidFill>
            <a:srgbClr val="003A6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190296</xdr:colOff>
      <xdr:row>8</xdr:row>
      <xdr:rowOff>0</xdr:rowOff>
    </xdr:from>
    <xdr:to>
      <xdr:col>32</xdr:col>
      <xdr:colOff>247649</xdr:colOff>
      <xdr:row>41</xdr:row>
      <xdr:rowOff>46967</xdr:rowOff>
    </xdr:to>
    <xdr:pic>
      <xdr:nvPicPr>
        <xdr:cNvPr id="8" name="Picture 7">
          <a:extLst>
            <a:ext uri="{FF2B5EF4-FFF2-40B4-BE49-F238E27FC236}">
              <a16:creationId xmlns:a16="http://schemas.microsoft.com/office/drawing/2014/main" id="{C8431A34-E818-6CC3-9D04-09DAA4A7F2FF}"/>
            </a:ext>
          </a:extLst>
        </xdr:cNvPr>
        <xdr:cNvPicPr>
          <a:picLocks noChangeAspect="1"/>
        </xdr:cNvPicPr>
      </xdr:nvPicPr>
      <xdr:blipFill>
        <a:blip xmlns:r="http://schemas.openxmlformats.org/officeDocument/2006/relationships" r:embed="rId6"/>
        <a:stretch>
          <a:fillRect/>
        </a:stretch>
      </xdr:blipFill>
      <xdr:spPr>
        <a:xfrm>
          <a:off x="11334546" y="762000"/>
          <a:ext cx="8725103" cy="6330292"/>
        </a:xfrm>
        <a:prstGeom prst="rect">
          <a:avLst/>
        </a:prstGeom>
      </xdr:spPr>
    </xdr:pic>
    <xdr:clientData/>
  </xdr:twoCellAnchor>
  <xdr:twoCellAnchor editAs="oneCell">
    <xdr:from>
      <xdr:col>32</xdr:col>
      <xdr:colOff>560455</xdr:colOff>
      <xdr:row>5</xdr:row>
      <xdr:rowOff>123826</xdr:rowOff>
    </xdr:from>
    <xdr:to>
      <xdr:col>44</xdr:col>
      <xdr:colOff>447675</xdr:colOff>
      <xdr:row>51</xdr:row>
      <xdr:rowOff>144443</xdr:rowOff>
    </xdr:to>
    <xdr:pic>
      <xdr:nvPicPr>
        <xdr:cNvPr id="10" name="Picture 9">
          <a:extLst>
            <a:ext uri="{FF2B5EF4-FFF2-40B4-BE49-F238E27FC236}">
              <a16:creationId xmlns:a16="http://schemas.microsoft.com/office/drawing/2014/main" id="{AC87CAD7-F322-FD23-1B93-6632228F37E6}"/>
            </a:ext>
          </a:extLst>
        </xdr:cNvPr>
        <xdr:cNvPicPr>
          <a:picLocks noChangeAspect="1"/>
        </xdr:cNvPicPr>
      </xdr:nvPicPr>
      <xdr:blipFill>
        <a:blip xmlns:r="http://schemas.openxmlformats.org/officeDocument/2006/relationships" r:embed="rId7"/>
        <a:stretch>
          <a:fillRect/>
        </a:stretch>
      </xdr:blipFill>
      <xdr:spPr>
        <a:xfrm>
          <a:off x="20372455" y="314326"/>
          <a:ext cx="7316720" cy="8786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20</xdr:row>
      <xdr:rowOff>114300</xdr:rowOff>
    </xdr:from>
    <xdr:to>
      <xdr:col>4</xdr:col>
      <xdr:colOff>901700</xdr:colOff>
      <xdr:row>24</xdr:row>
      <xdr:rowOff>38100</xdr:rowOff>
    </xdr:to>
    <xdr:sp macro="" textlink="">
      <xdr:nvSpPr>
        <xdr:cNvPr id="3" name="Rectangle 2">
          <a:extLst>
            <a:ext uri="{FF2B5EF4-FFF2-40B4-BE49-F238E27FC236}">
              <a16:creationId xmlns:a16="http://schemas.microsoft.com/office/drawing/2014/main" id="{2A0FEE93-526E-EF1D-1513-57F413E5E8FD}"/>
            </a:ext>
          </a:extLst>
        </xdr:cNvPr>
        <xdr:cNvSpPr/>
      </xdr:nvSpPr>
      <xdr:spPr>
        <a:xfrm>
          <a:off x="285750" y="6715125"/>
          <a:ext cx="4083050" cy="6858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rPr>
            <a:t>*Site-specific values </a:t>
          </a:r>
          <a:r>
            <a:rPr lang="en-US" sz="1100">
              <a:solidFill>
                <a:schemeClr val="tx1"/>
              </a:solidFill>
              <a:effectLst/>
              <a:latin typeface="+mn-lt"/>
              <a:ea typeface="+mn-ea"/>
              <a:cs typeface="+mn-cs"/>
            </a:rPr>
            <a:t>can be calculated</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 using the method described in section 6.4.2.2 of the International Aluminium Institute’s Aluminium Carbon Footprint Good Practice Guidance. </a:t>
          </a:r>
        </a:p>
        <a:p>
          <a:pPr algn="l"/>
          <a:endParaRPr lang="en-US" sz="1100">
            <a:solidFill>
              <a:schemeClr val="tx1"/>
            </a:solidFill>
          </a:endParaRPr>
        </a:p>
      </xdr:txBody>
    </xdr:sp>
    <xdr:clientData/>
  </xdr:twoCellAnchor>
  <xdr:twoCellAnchor>
    <xdr:from>
      <xdr:col>8</xdr:col>
      <xdr:colOff>622300</xdr:colOff>
      <xdr:row>13</xdr:row>
      <xdr:rowOff>273050</xdr:rowOff>
    </xdr:from>
    <xdr:to>
      <xdr:col>11</xdr:col>
      <xdr:colOff>863600</xdr:colOff>
      <xdr:row>23</xdr:row>
      <xdr:rowOff>63500</xdr:rowOff>
    </xdr:to>
    <mc:AlternateContent xmlns:mc="http://schemas.openxmlformats.org/markup-compatibility/2006" xmlns:a14="http://schemas.microsoft.com/office/drawing/2010/main">
      <mc:Choice Requires="a14">
        <xdr:sp macro="" textlink="">
          <xdr:nvSpPr>
            <xdr:cNvPr id="6" name="Rectangle 5">
              <a:extLst>
                <a:ext uri="{FF2B5EF4-FFF2-40B4-BE49-F238E27FC236}">
                  <a16:creationId xmlns:a16="http://schemas.microsoft.com/office/drawing/2014/main" id="{A39769CA-FF3E-134A-B3DD-AC1D924579D3}"/>
                </a:ext>
              </a:extLst>
            </xdr:cNvPr>
            <xdr:cNvSpPr/>
          </xdr:nvSpPr>
          <xdr:spPr>
            <a:xfrm>
              <a:off x="9528175" y="3448050"/>
              <a:ext cx="3987800" cy="2790825"/>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This</a:t>
              </a:r>
              <a:r>
                <a:rPr lang="en-US" sz="1100" baseline="0">
                  <a:solidFill>
                    <a:schemeClr val="tx1"/>
                  </a:solidFill>
                </a:rPr>
                <a:t> guidance uses 'efficiency method' for calculating CO2 emissions from the combined heat and power plant, as recommended by GHG Protocl-CHP Guidance, 2006.</a:t>
              </a:r>
            </a:p>
            <a:p>
              <a:pPr algn="l"/>
              <a:endParaRPr lang="en-US" sz="1100" baseline="0">
                <a:solidFill>
                  <a:schemeClr val="tx1"/>
                </a:solidFill>
              </a:endParaRPr>
            </a:p>
            <a:p>
              <a:pPr algn="l"/>
              <a14:m>
                <m:oMath xmlns:m="http://schemas.openxmlformats.org/officeDocument/2006/math">
                  <m:sSub>
                    <m:sSubPr>
                      <m:ctrlPr>
                        <a:rPr lang="en-US" sz="1400" i="1">
                          <a:solidFill>
                            <a:schemeClr val="tx1"/>
                          </a:solidFill>
                          <a:effectLst/>
                          <a:latin typeface="Cambria Math" panose="02040503050406030204" pitchFamily="18" charset="0"/>
                          <a:ea typeface="+mn-ea"/>
                          <a:cs typeface="+mn-cs"/>
                        </a:rPr>
                      </m:ctrlPr>
                    </m:sSubPr>
                    <m:e>
                      <m:r>
                        <a:rPr lang="en-US" sz="1400" i="1">
                          <a:solidFill>
                            <a:schemeClr val="tx1"/>
                          </a:solidFill>
                          <a:effectLst/>
                          <a:latin typeface="Cambria Math" panose="02040503050406030204" pitchFamily="18" charset="0"/>
                          <a:ea typeface="+mn-ea"/>
                          <a:cs typeface="+mn-cs"/>
                        </a:rPr>
                        <m:t>𝐸</m:t>
                      </m:r>
                    </m:e>
                    <m:sub>
                      <m:r>
                        <a:rPr lang="en-US" sz="1400" i="1">
                          <a:solidFill>
                            <a:schemeClr val="tx1"/>
                          </a:solidFill>
                          <a:effectLst/>
                          <a:latin typeface="Cambria Math" panose="02040503050406030204" pitchFamily="18" charset="0"/>
                          <a:ea typeface="+mn-ea"/>
                          <a:cs typeface="+mn-cs"/>
                        </a:rPr>
                        <m:t>𝐻</m:t>
                      </m:r>
                    </m:sub>
                  </m:sSub>
                  <m:r>
                    <a:rPr lang="en-US" sz="1400" i="1">
                      <a:solidFill>
                        <a:schemeClr val="tx1"/>
                      </a:solidFill>
                      <a:effectLst/>
                      <a:latin typeface="Cambria Math" panose="02040503050406030204" pitchFamily="18" charset="0"/>
                      <a:ea typeface="+mn-ea"/>
                      <a:cs typeface="+mn-cs"/>
                    </a:rPr>
                    <m:t>= </m:t>
                  </m:r>
                  <m:f>
                    <m:fPr>
                      <m:ctrlPr>
                        <a:rPr lang="en-US" sz="1400" i="1">
                          <a:solidFill>
                            <a:schemeClr val="tx1"/>
                          </a:solidFill>
                          <a:effectLst/>
                          <a:latin typeface="Cambria Math" panose="02040503050406030204" pitchFamily="18" charset="0"/>
                          <a:ea typeface="+mn-ea"/>
                          <a:cs typeface="+mn-cs"/>
                        </a:rPr>
                      </m:ctrlPr>
                    </m:fPr>
                    <m:num>
                      <m:r>
                        <a:rPr lang="en-US" sz="1400" i="1">
                          <a:solidFill>
                            <a:schemeClr val="tx1"/>
                          </a:solidFill>
                          <a:effectLst/>
                          <a:latin typeface="Cambria Math" panose="02040503050406030204" pitchFamily="18" charset="0"/>
                          <a:ea typeface="+mn-ea"/>
                          <a:cs typeface="+mn-cs"/>
                        </a:rPr>
                        <m:t>𝐻</m:t>
                      </m:r>
                      <m:r>
                        <a:rPr lang="en-US" sz="1400" i="1">
                          <a:solidFill>
                            <a:schemeClr val="tx1"/>
                          </a:solidFill>
                          <a:effectLst/>
                          <a:latin typeface="Cambria Math" panose="02040503050406030204" pitchFamily="18" charset="0"/>
                          <a:ea typeface="+mn-ea"/>
                          <a:cs typeface="+mn-cs"/>
                        </a:rPr>
                        <m:t>/</m:t>
                      </m:r>
                      <m:sSub>
                        <m:sSubPr>
                          <m:ctrlPr>
                            <a:rPr lang="en-US" sz="1400" i="1">
                              <a:solidFill>
                                <a:schemeClr val="tx1"/>
                              </a:solidFill>
                              <a:effectLst/>
                              <a:latin typeface="Cambria Math" panose="02040503050406030204" pitchFamily="18" charset="0"/>
                              <a:ea typeface="+mn-ea"/>
                              <a:cs typeface="+mn-cs"/>
                            </a:rPr>
                          </m:ctrlPr>
                        </m:sSubPr>
                        <m:e>
                          <m:r>
                            <a:rPr lang="en-US" sz="1400" i="1">
                              <a:solidFill>
                                <a:schemeClr val="tx1"/>
                              </a:solidFill>
                              <a:effectLst/>
                              <a:latin typeface="Cambria Math" panose="02040503050406030204" pitchFamily="18" charset="0"/>
                              <a:ea typeface="+mn-ea"/>
                              <a:cs typeface="+mn-cs"/>
                            </a:rPr>
                            <m:t>𝑒</m:t>
                          </m:r>
                        </m:e>
                        <m:sub>
                          <m:r>
                            <a:rPr lang="en-US" sz="1400" i="1">
                              <a:solidFill>
                                <a:schemeClr val="tx1"/>
                              </a:solidFill>
                              <a:effectLst/>
                              <a:latin typeface="Cambria Math" panose="02040503050406030204" pitchFamily="18" charset="0"/>
                              <a:ea typeface="+mn-ea"/>
                              <a:cs typeface="+mn-cs"/>
                            </a:rPr>
                            <m:t>𝐻</m:t>
                          </m:r>
                        </m:sub>
                      </m:sSub>
                    </m:num>
                    <m:den>
                      <m:r>
                        <a:rPr lang="en-US" sz="1400" i="1">
                          <a:solidFill>
                            <a:schemeClr val="tx1"/>
                          </a:solidFill>
                          <a:effectLst/>
                          <a:latin typeface="Cambria Math" panose="02040503050406030204" pitchFamily="18" charset="0"/>
                          <a:ea typeface="+mn-ea"/>
                          <a:cs typeface="+mn-cs"/>
                        </a:rPr>
                        <m:t>𝐻</m:t>
                      </m:r>
                      <m:r>
                        <a:rPr lang="en-US" sz="1400" i="1">
                          <a:solidFill>
                            <a:schemeClr val="tx1"/>
                          </a:solidFill>
                          <a:effectLst/>
                          <a:latin typeface="Cambria Math" panose="02040503050406030204" pitchFamily="18" charset="0"/>
                          <a:ea typeface="+mn-ea"/>
                          <a:cs typeface="+mn-cs"/>
                        </a:rPr>
                        <m:t>/</m:t>
                      </m:r>
                      <m:sSub>
                        <m:sSubPr>
                          <m:ctrlPr>
                            <a:rPr lang="en-US" sz="1400" i="1">
                              <a:solidFill>
                                <a:schemeClr val="tx1"/>
                              </a:solidFill>
                              <a:effectLst/>
                              <a:latin typeface="Cambria Math" panose="02040503050406030204" pitchFamily="18" charset="0"/>
                              <a:ea typeface="+mn-ea"/>
                              <a:cs typeface="+mn-cs"/>
                            </a:rPr>
                          </m:ctrlPr>
                        </m:sSubPr>
                        <m:e>
                          <m:r>
                            <a:rPr lang="en-US" sz="1400" i="1">
                              <a:solidFill>
                                <a:schemeClr val="tx1"/>
                              </a:solidFill>
                              <a:effectLst/>
                              <a:latin typeface="Cambria Math" panose="02040503050406030204" pitchFamily="18" charset="0"/>
                              <a:ea typeface="+mn-ea"/>
                              <a:cs typeface="+mn-cs"/>
                            </a:rPr>
                            <m:t>𝑒</m:t>
                          </m:r>
                        </m:e>
                        <m:sub>
                          <m:r>
                            <a:rPr lang="en-US" sz="1400" i="1">
                              <a:solidFill>
                                <a:schemeClr val="tx1"/>
                              </a:solidFill>
                              <a:effectLst/>
                              <a:latin typeface="Cambria Math" panose="02040503050406030204" pitchFamily="18" charset="0"/>
                              <a:ea typeface="+mn-ea"/>
                              <a:cs typeface="+mn-cs"/>
                            </a:rPr>
                            <m:t>𝐻</m:t>
                          </m:r>
                        </m:sub>
                      </m:sSub>
                      <m:r>
                        <a:rPr lang="en-US" sz="1400" i="1">
                          <a:solidFill>
                            <a:schemeClr val="tx1"/>
                          </a:solidFill>
                          <a:effectLst/>
                          <a:latin typeface="Cambria Math" panose="02040503050406030204" pitchFamily="18" charset="0"/>
                          <a:ea typeface="+mn-ea"/>
                          <a:cs typeface="+mn-cs"/>
                        </a:rPr>
                        <m:t>+</m:t>
                      </m:r>
                      <m:r>
                        <a:rPr lang="en-US" sz="1400" i="1">
                          <a:solidFill>
                            <a:schemeClr val="tx1"/>
                          </a:solidFill>
                          <a:effectLst/>
                          <a:latin typeface="Cambria Math" panose="02040503050406030204" pitchFamily="18" charset="0"/>
                          <a:ea typeface="+mn-ea"/>
                          <a:cs typeface="+mn-cs"/>
                        </a:rPr>
                        <m:t>𝑃</m:t>
                      </m:r>
                      <m:r>
                        <a:rPr lang="en-US" sz="1400" i="1">
                          <a:solidFill>
                            <a:schemeClr val="tx1"/>
                          </a:solidFill>
                          <a:effectLst/>
                          <a:latin typeface="Cambria Math" panose="02040503050406030204" pitchFamily="18" charset="0"/>
                          <a:ea typeface="+mn-ea"/>
                          <a:cs typeface="+mn-cs"/>
                        </a:rPr>
                        <m:t>/</m:t>
                      </m:r>
                      <m:sSub>
                        <m:sSubPr>
                          <m:ctrlPr>
                            <a:rPr lang="en-US" sz="1400" i="1">
                              <a:solidFill>
                                <a:schemeClr val="tx1"/>
                              </a:solidFill>
                              <a:effectLst/>
                              <a:latin typeface="Cambria Math" panose="02040503050406030204" pitchFamily="18" charset="0"/>
                              <a:ea typeface="+mn-ea"/>
                              <a:cs typeface="+mn-cs"/>
                            </a:rPr>
                          </m:ctrlPr>
                        </m:sSubPr>
                        <m:e>
                          <m:r>
                            <a:rPr lang="en-US" sz="1400" i="1">
                              <a:solidFill>
                                <a:schemeClr val="tx1"/>
                              </a:solidFill>
                              <a:effectLst/>
                              <a:latin typeface="Cambria Math" panose="02040503050406030204" pitchFamily="18" charset="0"/>
                              <a:ea typeface="+mn-ea"/>
                              <a:cs typeface="+mn-cs"/>
                            </a:rPr>
                            <m:t>𝑒</m:t>
                          </m:r>
                        </m:e>
                        <m:sub>
                          <m:r>
                            <a:rPr lang="en-US" sz="1400" i="1">
                              <a:solidFill>
                                <a:schemeClr val="tx1"/>
                              </a:solidFill>
                              <a:effectLst/>
                              <a:latin typeface="Cambria Math" panose="02040503050406030204" pitchFamily="18" charset="0"/>
                              <a:ea typeface="+mn-ea"/>
                              <a:cs typeface="+mn-cs"/>
                            </a:rPr>
                            <m:t>𝑃</m:t>
                          </m:r>
                        </m:sub>
                      </m:sSub>
                      <m:r>
                        <a:rPr lang="en-US" sz="1400" i="1">
                          <a:solidFill>
                            <a:schemeClr val="tx1"/>
                          </a:solidFill>
                          <a:effectLst/>
                          <a:latin typeface="Cambria Math" panose="02040503050406030204" pitchFamily="18" charset="0"/>
                          <a:ea typeface="+mn-ea"/>
                          <a:cs typeface="+mn-cs"/>
                        </a:rPr>
                        <m:t> </m:t>
                      </m:r>
                    </m:den>
                  </m:f>
                  <m:r>
                    <a:rPr lang="en-US" sz="1400" i="1">
                      <a:solidFill>
                        <a:schemeClr val="tx1"/>
                      </a:solidFill>
                      <a:effectLst/>
                      <a:latin typeface="Cambria Math" panose="02040503050406030204" pitchFamily="18" charset="0"/>
                      <a:ea typeface="+mn-ea"/>
                      <a:cs typeface="+mn-cs"/>
                    </a:rPr>
                    <m:t>× </m:t>
                  </m:r>
                  <m:sSub>
                    <m:sSubPr>
                      <m:ctrlPr>
                        <a:rPr lang="en-US" sz="1400" i="1">
                          <a:solidFill>
                            <a:schemeClr val="tx1"/>
                          </a:solidFill>
                          <a:effectLst/>
                          <a:latin typeface="Cambria Math" panose="02040503050406030204" pitchFamily="18" charset="0"/>
                          <a:ea typeface="+mn-ea"/>
                          <a:cs typeface="+mn-cs"/>
                        </a:rPr>
                      </m:ctrlPr>
                    </m:sSubPr>
                    <m:e>
                      <m:r>
                        <a:rPr lang="en-US" sz="1400" i="1">
                          <a:solidFill>
                            <a:schemeClr val="tx1"/>
                          </a:solidFill>
                          <a:effectLst/>
                          <a:latin typeface="Cambria Math" panose="02040503050406030204" pitchFamily="18" charset="0"/>
                          <a:ea typeface="+mn-ea"/>
                          <a:cs typeface="+mn-cs"/>
                        </a:rPr>
                        <m:t>𝐸</m:t>
                      </m:r>
                    </m:e>
                    <m:sub>
                      <m:r>
                        <a:rPr lang="en-US" sz="1400" i="1">
                          <a:solidFill>
                            <a:schemeClr val="tx1"/>
                          </a:solidFill>
                          <a:effectLst/>
                          <a:latin typeface="Cambria Math" panose="02040503050406030204" pitchFamily="18" charset="0"/>
                          <a:ea typeface="+mn-ea"/>
                          <a:cs typeface="+mn-cs"/>
                        </a:rPr>
                        <m:t>𝑇</m:t>
                      </m:r>
                    </m:sub>
                  </m:sSub>
                  <m:r>
                    <a:rPr lang="en-US" sz="1400" i="1">
                      <a:solidFill>
                        <a:schemeClr val="tx1"/>
                      </a:solidFill>
                      <a:effectLst/>
                      <a:latin typeface="Cambria Math" panose="02040503050406030204" pitchFamily="18" charset="0"/>
                      <a:ea typeface="+mn-ea"/>
                      <a:cs typeface="+mn-cs"/>
                    </a:rPr>
                    <m:t>       </m:t>
                  </m:r>
                  <m:r>
                    <a:rPr lang="en-US" sz="1400" i="1">
                      <a:solidFill>
                        <a:schemeClr val="tx1"/>
                      </a:solidFill>
                      <a:effectLst/>
                      <a:latin typeface="Cambria Math" panose="02040503050406030204" pitchFamily="18" charset="0"/>
                      <a:ea typeface="+mn-ea"/>
                      <a:cs typeface="+mn-cs"/>
                    </a:rPr>
                    <m:t>𝑎𝑛𝑑</m:t>
                  </m:r>
                  <m:r>
                    <a:rPr lang="en-US" sz="1400" i="1">
                      <a:solidFill>
                        <a:schemeClr val="tx1"/>
                      </a:solidFill>
                      <a:effectLst/>
                      <a:latin typeface="Cambria Math" panose="02040503050406030204" pitchFamily="18" charset="0"/>
                      <a:ea typeface="+mn-ea"/>
                      <a:cs typeface="+mn-cs"/>
                    </a:rPr>
                    <m:t>     </m:t>
                  </m:r>
                  <m:sSub>
                    <m:sSubPr>
                      <m:ctrlPr>
                        <a:rPr lang="en-US" sz="1400" i="1">
                          <a:solidFill>
                            <a:schemeClr val="tx1"/>
                          </a:solidFill>
                          <a:effectLst/>
                          <a:latin typeface="Cambria Math" panose="02040503050406030204" pitchFamily="18" charset="0"/>
                          <a:ea typeface="+mn-ea"/>
                          <a:cs typeface="+mn-cs"/>
                        </a:rPr>
                      </m:ctrlPr>
                    </m:sSubPr>
                    <m:e>
                      <m:r>
                        <a:rPr lang="en-US" sz="1400" i="1">
                          <a:solidFill>
                            <a:schemeClr val="tx1"/>
                          </a:solidFill>
                          <a:effectLst/>
                          <a:latin typeface="Cambria Math" panose="02040503050406030204" pitchFamily="18" charset="0"/>
                          <a:ea typeface="+mn-ea"/>
                          <a:cs typeface="+mn-cs"/>
                        </a:rPr>
                        <m:t>𝐸</m:t>
                      </m:r>
                    </m:e>
                    <m:sub>
                      <m:r>
                        <a:rPr lang="en-US" sz="1400" i="1">
                          <a:solidFill>
                            <a:schemeClr val="tx1"/>
                          </a:solidFill>
                          <a:effectLst/>
                          <a:latin typeface="Cambria Math" panose="02040503050406030204" pitchFamily="18" charset="0"/>
                          <a:ea typeface="+mn-ea"/>
                          <a:cs typeface="+mn-cs"/>
                        </a:rPr>
                        <m:t>𝑃</m:t>
                      </m:r>
                    </m:sub>
                  </m:sSub>
                  <m:r>
                    <a:rPr lang="en-US" sz="1400" i="1">
                      <a:solidFill>
                        <a:schemeClr val="tx1"/>
                      </a:solidFill>
                      <a:effectLst/>
                      <a:latin typeface="Cambria Math" panose="02040503050406030204" pitchFamily="18" charset="0"/>
                      <a:ea typeface="+mn-ea"/>
                      <a:cs typeface="+mn-cs"/>
                    </a:rPr>
                    <m:t>= </m:t>
                  </m:r>
                  <m:sSub>
                    <m:sSubPr>
                      <m:ctrlPr>
                        <a:rPr lang="en-US" sz="1400" i="1">
                          <a:solidFill>
                            <a:schemeClr val="tx1"/>
                          </a:solidFill>
                          <a:effectLst/>
                          <a:latin typeface="Cambria Math" panose="02040503050406030204" pitchFamily="18" charset="0"/>
                          <a:ea typeface="+mn-ea"/>
                          <a:cs typeface="+mn-cs"/>
                        </a:rPr>
                      </m:ctrlPr>
                    </m:sSubPr>
                    <m:e>
                      <m:r>
                        <a:rPr lang="en-US" sz="1400" i="1">
                          <a:solidFill>
                            <a:schemeClr val="tx1"/>
                          </a:solidFill>
                          <a:effectLst/>
                          <a:latin typeface="Cambria Math" panose="02040503050406030204" pitchFamily="18" charset="0"/>
                          <a:ea typeface="+mn-ea"/>
                          <a:cs typeface="+mn-cs"/>
                        </a:rPr>
                        <m:t>𝐸</m:t>
                      </m:r>
                    </m:e>
                    <m:sub>
                      <m:r>
                        <a:rPr lang="en-US" sz="1400" i="1">
                          <a:solidFill>
                            <a:schemeClr val="tx1"/>
                          </a:solidFill>
                          <a:effectLst/>
                          <a:latin typeface="Cambria Math" panose="02040503050406030204" pitchFamily="18" charset="0"/>
                          <a:ea typeface="+mn-ea"/>
                          <a:cs typeface="+mn-cs"/>
                        </a:rPr>
                        <m:t>𝑇</m:t>
                      </m:r>
                    </m:sub>
                  </m:sSub>
                  <m:r>
                    <a:rPr lang="en-US" sz="1400" i="1">
                      <a:solidFill>
                        <a:schemeClr val="tx1"/>
                      </a:solidFill>
                      <a:effectLst/>
                      <a:latin typeface="Cambria Math" panose="02040503050406030204" pitchFamily="18" charset="0"/>
                      <a:ea typeface="+mn-ea"/>
                      <a:cs typeface="+mn-cs"/>
                    </a:rPr>
                    <m:t>−  </m:t>
                  </m:r>
                  <m:sSub>
                    <m:sSubPr>
                      <m:ctrlPr>
                        <a:rPr lang="en-US" sz="1400" i="1">
                          <a:solidFill>
                            <a:schemeClr val="tx1"/>
                          </a:solidFill>
                          <a:effectLst/>
                          <a:latin typeface="Cambria Math" panose="02040503050406030204" pitchFamily="18" charset="0"/>
                          <a:ea typeface="+mn-ea"/>
                          <a:cs typeface="+mn-cs"/>
                        </a:rPr>
                      </m:ctrlPr>
                    </m:sSubPr>
                    <m:e>
                      <m:r>
                        <a:rPr lang="en-US" sz="1400" i="1">
                          <a:solidFill>
                            <a:schemeClr val="tx1"/>
                          </a:solidFill>
                          <a:effectLst/>
                          <a:latin typeface="Cambria Math" panose="02040503050406030204" pitchFamily="18" charset="0"/>
                          <a:ea typeface="+mn-ea"/>
                          <a:cs typeface="+mn-cs"/>
                        </a:rPr>
                        <m:t>𝐸</m:t>
                      </m:r>
                    </m:e>
                    <m:sub>
                      <m:r>
                        <a:rPr lang="en-US" sz="1400" i="1">
                          <a:solidFill>
                            <a:schemeClr val="tx1"/>
                          </a:solidFill>
                          <a:effectLst/>
                          <a:latin typeface="Cambria Math" panose="02040503050406030204" pitchFamily="18" charset="0"/>
                          <a:ea typeface="+mn-ea"/>
                          <a:cs typeface="+mn-cs"/>
                        </a:rPr>
                        <m:t>𝐻</m:t>
                      </m:r>
                    </m:sub>
                  </m:sSub>
                </m:oMath>
              </a14:m>
              <a:r>
                <a:rPr lang="en-US" sz="1400">
                  <a:solidFill>
                    <a:schemeClr val="tx1"/>
                  </a:solidFill>
                  <a:effectLst/>
                </a:rPr>
                <a:t> </a:t>
              </a:r>
              <a:endParaRPr lang="en-US" sz="1400" baseline="0">
                <a:solidFill>
                  <a:schemeClr val="tx1"/>
                </a:solidFill>
              </a:endParaRPr>
            </a:p>
            <a:p>
              <a:pPr algn="l"/>
              <a:endParaRPr lang="en-US" sz="1100" baseline="0">
                <a:solidFill>
                  <a:schemeClr val="tx1"/>
                </a:solidFill>
              </a:endParaRPr>
            </a:p>
            <a:p>
              <a:pPr algn="l"/>
              <a:r>
                <a:rPr lang="en-US" sz="1100" baseline="0">
                  <a:solidFill>
                    <a:schemeClr val="tx1"/>
                  </a:solidFill>
                </a:rPr>
                <a:t>Where</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𝐸</m:t>
                      </m:r>
                    </m:e>
                    <m:sub>
                      <m:r>
                        <a:rPr lang="en-US" sz="1100" i="1">
                          <a:solidFill>
                            <a:schemeClr val="tx1"/>
                          </a:solidFill>
                          <a:effectLst/>
                          <a:latin typeface="Cambria Math" panose="02040503050406030204" pitchFamily="18" charset="0"/>
                          <a:ea typeface="+mn-ea"/>
                          <a:cs typeface="+mn-cs"/>
                        </a:rPr>
                        <m:t>𝑃</m:t>
                      </m:r>
                    </m:sub>
                  </m:sSub>
                </m:oMath>
              </a14:m>
              <a:r>
                <a:rPr lang="en-US" sz="1100">
                  <a:solidFill>
                    <a:schemeClr val="tx1"/>
                  </a:solidFill>
                  <a:effectLst/>
                  <a:latin typeface="+mn-lt"/>
                  <a:ea typeface="+mn-ea"/>
                  <a:cs typeface="+mn-cs"/>
                </a:rPr>
                <a:t> and </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𝐸</m:t>
                      </m:r>
                    </m:e>
                    <m:sub>
                      <m:r>
                        <a:rPr lang="en-US" sz="1100" i="1">
                          <a:solidFill>
                            <a:schemeClr val="tx1"/>
                          </a:solidFill>
                          <a:effectLst/>
                          <a:latin typeface="Cambria Math" panose="02040503050406030204" pitchFamily="18" charset="0"/>
                          <a:ea typeface="+mn-ea"/>
                          <a:cs typeface="+mn-cs"/>
                        </a:rPr>
                        <m:t>𝐻</m:t>
                      </m:r>
                    </m:sub>
                  </m:sSub>
                </m:oMath>
              </a14:m>
              <a:r>
                <a:rPr lang="en-US" sz="1100">
                  <a:solidFill>
                    <a:schemeClr val="tx1"/>
                  </a:solidFill>
                  <a:effectLst/>
                  <a:latin typeface="+mn-lt"/>
                  <a:ea typeface="+mn-ea"/>
                  <a:cs typeface="+mn-cs"/>
                </a:rPr>
                <a:t> are the emissions allocated to electricity and steam production respectively</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𝐸</m:t>
                      </m:r>
                    </m:e>
                    <m:sub>
                      <m:r>
                        <a:rPr lang="en-US" sz="1100" i="1">
                          <a:solidFill>
                            <a:schemeClr val="tx1"/>
                          </a:solidFill>
                          <a:effectLst/>
                          <a:latin typeface="Cambria Math" panose="02040503050406030204" pitchFamily="18" charset="0"/>
                          <a:ea typeface="+mn-ea"/>
                          <a:cs typeface="+mn-cs"/>
                        </a:rPr>
                        <m:t>𝑇</m:t>
                      </m:r>
                    </m:sub>
                  </m:sSub>
                </m:oMath>
              </a14:m>
              <a:r>
                <a:rPr lang="en-US" sz="1100">
                  <a:solidFill>
                    <a:schemeClr val="tx1"/>
                  </a:solidFill>
                  <a:effectLst/>
                  <a:latin typeface="+mn-lt"/>
                  <a:ea typeface="+mn-ea"/>
                  <a:cs typeface="+mn-cs"/>
                </a:rPr>
                <a:t> is the total emissions of the CHP plant</a:t>
              </a:r>
              <a:endParaRPr lang="en-US"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i="1">
                  <a:solidFill>
                    <a:schemeClr val="tx1"/>
                  </a:solidFill>
                  <a:effectLst/>
                  <a:latin typeface="+mn-lt"/>
                  <a:ea typeface="+mn-ea"/>
                  <a:cs typeface="+mn-cs"/>
                </a:rPr>
                <a:t>H</a:t>
              </a:r>
              <a:r>
                <a:rPr lang="en-US" sz="1100">
                  <a:solidFill>
                    <a:schemeClr val="tx1"/>
                  </a:solidFill>
                  <a:effectLst/>
                  <a:latin typeface="+mn-lt"/>
                  <a:ea typeface="+mn-ea"/>
                  <a:cs typeface="+mn-cs"/>
                </a:rPr>
                <a:t>  is the steam output (MWh)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i="1">
                  <a:solidFill>
                    <a:schemeClr val="tx1"/>
                  </a:solidFill>
                  <a:effectLst/>
                  <a:latin typeface="+mn-lt"/>
                  <a:ea typeface="+mn-ea"/>
                  <a:cs typeface="+mn-cs"/>
                </a:rPr>
                <a:t>P  </a:t>
              </a:r>
              <a:r>
                <a:rPr lang="en-US" sz="1100">
                  <a:solidFill>
                    <a:schemeClr val="tx1"/>
                  </a:solidFill>
                  <a:effectLst/>
                  <a:latin typeface="+mn-lt"/>
                  <a:ea typeface="+mn-ea"/>
                  <a:cs typeface="+mn-cs"/>
                </a:rPr>
                <a:t>is the generated electricity output (MWh)</a:t>
              </a:r>
              <a:endParaRPr lang="en-US"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𝑒</m:t>
                      </m:r>
                    </m:e>
                    <m:sub>
                      <m:r>
                        <a:rPr lang="en-US" sz="1100" i="1">
                          <a:solidFill>
                            <a:schemeClr val="tx1"/>
                          </a:solidFill>
                          <a:effectLst/>
                          <a:latin typeface="Cambria Math" panose="02040503050406030204" pitchFamily="18" charset="0"/>
                          <a:ea typeface="+mn-ea"/>
                          <a:cs typeface="+mn-cs"/>
                        </a:rPr>
                        <m:t>𝐻</m:t>
                      </m:r>
                    </m:sub>
                  </m:sSub>
                </m:oMath>
              </a14:m>
              <a:r>
                <a:rPr lang="en-US" sz="1100">
                  <a:solidFill>
                    <a:schemeClr val="tx1"/>
                  </a:solidFill>
                  <a:effectLst/>
                  <a:latin typeface="+mn-lt"/>
                  <a:ea typeface="+mn-ea"/>
                  <a:cs typeface="+mn-cs"/>
                </a:rPr>
                <a:t>, </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𝑒</m:t>
                      </m:r>
                    </m:e>
                    <m:sub>
                      <m:r>
                        <a:rPr lang="en-US" sz="1100" i="1">
                          <a:solidFill>
                            <a:schemeClr val="tx1"/>
                          </a:solidFill>
                          <a:effectLst/>
                          <a:latin typeface="Cambria Math" panose="02040503050406030204" pitchFamily="18" charset="0"/>
                          <a:ea typeface="+mn-ea"/>
                          <a:cs typeface="+mn-cs"/>
                        </a:rPr>
                        <m:t>𝑝</m:t>
                      </m:r>
                    </m:sub>
                  </m:sSub>
                </m:oMath>
              </a14:m>
              <a:r>
                <a:rPr lang="en-US" sz="1100">
                  <a:solidFill>
                    <a:schemeClr val="tx1"/>
                  </a:solidFill>
                  <a:effectLst/>
                  <a:latin typeface="+mn-lt"/>
                  <a:ea typeface="+mn-ea"/>
                  <a:cs typeface="+mn-cs"/>
                </a:rPr>
                <a:t> are the assumed efficiency values of typical steam and power production</a:t>
              </a:r>
              <a:r>
                <a:rPr lang="en-US" sz="1100" i="1">
                  <a:solidFill>
                    <a:schemeClr val="tx1"/>
                  </a:solidFill>
                  <a:effectLst/>
                  <a:latin typeface="+mn-lt"/>
                  <a:ea typeface="+mn-ea"/>
                  <a:cs typeface="+mn-cs"/>
                </a:rPr>
                <a:t>. </a:t>
              </a:r>
              <a:r>
                <a:rPr lang="en-US" sz="1100">
                  <a:solidFill>
                    <a:schemeClr val="tx1"/>
                  </a:solidFill>
                  <a:effectLst/>
                  <a:latin typeface="+mn-lt"/>
                  <a:ea typeface="+mn-ea"/>
                  <a:cs typeface="+mn-cs"/>
                </a:rPr>
                <a:t>Standard value for</a:t>
              </a:r>
              <a:r>
                <a:rPr lang="en-US" sz="1100" i="1">
                  <a:solidFill>
                    <a:schemeClr val="tx1"/>
                  </a:solidFill>
                  <a:effectLst/>
                  <a:latin typeface="+mn-lt"/>
                  <a:ea typeface="+mn-ea"/>
                  <a:cs typeface="+mn-cs"/>
                </a:rPr>
                <a:t> </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𝑒</m:t>
                      </m:r>
                    </m:e>
                    <m:sub>
                      <m:r>
                        <a:rPr lang="en-US" sz="1100" i="1">
                          <a:solidFill>
                            <a:schemeClr val="tx1"/>
                          </a:solidFill>
                          <a:effectLst/>
                          <a:latin typeface="Cambria Math" panose="02040503050406030204" pitchFamily="18" charset="0"/>
                          <a:ea typeface="+mn-ea"/>
                          <a:cs typeface="+mn-cs"/>
                        </a:rPr>
                        <m:t>𝐻</m:t>
                      </m:r>
                    </m:sub>
                  </m:sSub>
                </m:oMath>
              </a14:m>
              <a:r>
                <a:rPr lang="en-US" sz="1100" i="1">
                  <a:solidFill>
                    <a:schemeClr val="tx1"/>
                  </a:solidFill>
                  <a:effectLst/>
                  <a:latin typeface="+mn-lt"/>
                  <a:ea typeface="+mn-ea"/>
                  <a:cs typeface="+mn-cs"/>
                </a:rPr>
                <a:t>= 0.8 and </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𝑒</m:t>
                      </m:r>
                    </m:e>
                    <m:sub>
                      <m:r>
                        <a:rPr lang="en-US" sz="1100" i="1">
                          <a:solidFill>
                            <a:schemeClr val="tx1"/>
                          </a:solidFill>
                          <a:effectLst/>
                          <a:latin typeface="Cambria Math" panose="02040503050406030204" pitchFamily="18" charset="0"/>
                          <a:ea typeface="+mn-ea"/>
                          <a:cs typeface="+mn-cs"/>
                        </a:rPr>
                        <m:t>𝑃</m:t>
                      </m:r>
                    </m:sub>
                  </m:sSub>
                  <m:r>
                    <a:rPr lang="en-US" sz="1100" i="1">
                      <a:solidFill>
                        <a:schemeClr val="tx1"/>
                      </a:solidFill>
                      <a:effectLst/>
                      <a:latin typeface="Cambria Math" panose="02040503050406030204" pitchFamily="18" charset="0"/>
                      <a:ea typeface="+mn-ea"/>
                      <a:cs typeface="+mn-cs"/>
                    </a:rPr>
                    <m:t>=0.35</m:t>
                  </m:r>
                </m:oMath>
              </a14:m>
              <a:r>
                <a:rPr lang="en-US" sz="1100" i="1">
                  <a:solidFill>
                    <a:schemeClr val="tx1"/>
                  </a:solidFill>
                  <a:effectLst/>
                  <a:latin typeface="+mn-lt"/>
                  <a:ea typeface="+mn-ea"/>
                  <a:cs typeface="+mn-cs"/>
                </a:rPr>
                <a:t> </a:t>
              </a:r>
              <a:r>
                <a:rPr lang="en-US" sz="1100">
                  <a:solidFill>
                    <a:schemeClr val="tx1"/>
                  </a:solidFill>
                  <a:effectLst/>
                  <a:latin typeface="+mn-lt"/>
                  <a:ea typeface="+mn-ea"/>
                  <a:cs typeface="+mn-cs"/>
                </a:rPr>
                <a:t>(U.S. EPA, 2004)</a:t>
              </a:r>
            </a:p>
          </xdr:txBody>
        </xdr:sp>
      </mc:Choice>
      <mc:Fallback xmlns="">
        <xdr:sp macro="" textlink="">
          <xdr:nvSpPr>
            <xdr:cNvPr id="6" name="Rectangle 5">
              <a:extLst>
                <a:ext uri="{FF2B5EF4-FFF2-40B4-BE49-F238E27FC236}">
                  <a16:creationId xmlns:a16="http://schemas.microsoft.com/office/drawing/2014/main" id="{A39769CA-FF3E-134A-B3DD-AC1D924579D3}"/>
                </a:ext>
              </a:extLst>
            </xdr:cNvPr>
            <xdr:cNvSpPr/>
          </xdr:nvSpPr>
          <xdr:spPr>
            <a:xfrm>
              <a:off x="9528175" y="3448050"/>
              <a:ext cx="3987800" cy="2790825"/>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This</a:t>
              </a:r>
              <a:r>
                <a:rPr lang="en-US" sz="1100" baseline="0">
                  <a:solidFill>
                    <a:schemeClr val="tx1"/>
                  </a:solidFill>
                </a:rPr>
                <a:t> guidance uses 'efficiency method' for calculating CO2 emissions from the combined heat and power plant, as recommended by GHG Protocl-CHP Guidance, 2006.</a:t>
              </a:r>
            </a:p>
            <a:p>
              <a:pPr algn="l"/>
              <a:endParaRPr lang="en-US" sz="1100" baseline="0">
                <a:solidFill>
                  <a:schemeClr val="tx1"/>
                </a:solidFill>
              </a:endParaRPr>
            </a:p>
            <a:p>
              <a:pPr algn="l"/>
              <a:r>
                <a:rPr lang="en-US" sz="1400" i="0">
                  <a:solidFill>
                    <a:schemeClr val="tx1"/>
                  </a:solidFill>
                  <a:effectLst/>
                  <a:latin typeface="+mn-lt"/>
                  <a:ea typeface="+mn-ea"/>
                  <a:cs typeface="+mn-cs"/>
                </a:rPr>
                <a:t>𝐸_𝐻=  (𝐻/𝑒_𝐻)/(𝐻/𝑒_𝐻+𝑃/𝑒_𝑃  )× 𝐸_𝑇        𝑎𝑛𝑑     𝐸_𝑃= 𝐸_𝑇−  𝐸_𝐻</a:t>
              </a:r>
              <a:r>
                <a:rPr lang="en-US" sz="1400">
                  <a:solidFill>
                    <a:schemeClr val="tx1"/>
                  </a:solidFill>
                  <a:effectLst/>
                </a:rPr>
                <a:t> </a:t>
              </a:r>
              <a:endParaRPr lang="en-US" sz="1400" baseline="0">
                <a:solidFill>
                  <a:schemeClr val="tx1"/>
                </a:solidFill>
              </a:endParaRPr>
            </a:p>
            <a:p>
              <a:pPr algn="l"/>
              <a:endParaRPr lang="en-US" sz="1100" baseline="0">
                <a:solidFill>
                  <a:schemeClr val="tx1"/>
                </a:solidFill>
              </a:endParaRPr>
            </a:p>
            <a:p>
              <a:pPr algn="l"/>
              <a:r>
                <a:rPr lang="en-US" sz="1100" baseline="0">
                  <a:solidFill>
                    <a:schemeClr val="tx1"/>
                  </a:solidFill>
                </a:rPr>
                <a:t>Where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𝐸_𝑃</a:t>
              </a:r>
              <a:r>
                <a:rPr lang="en-US" sz="1100">
                  <a:solidFill>
                    <a:schemeClr val="tx1"/>
                  </a:solidFill>
                  <a:effectLst/>
                  <a:latin typeface="+mn-lt"/>
                  <a:ea typeface="+mn-ea"/>
                  <a:cs typeface="+mn-cs"/>
                </a:rPr>
                <a:t> and </a:t>
              </a:r>
              <a:r>
                <a:rPr lang="en-US" sz="1100" i="0">
                  <a:solidFill>
                    <a:schemeClr val="tx1"/>
                  </a:solidFill>
                  <a:effectLst/>
                  <a:latin typeface="+mn-lt"/>
                  <a:ea typeface="+mn-ea"/>
                  <a:cs typeface="+mn-cs"/>
                </a:rPr>
                <a:t>𝐸_𝐻</a:t>
              </a:r>
              <a:r>
                <a:rPr lang="en-US" sz="1100">
                  <a:solidFill>
                    <a:schemeClr val="tx1"/>
                  </a:solidFill>
                  <a:effectLst/>
                  <a:latin typeface="+mn-lt"/>
                  <a:ea typeface="+mn-ea"/>
                  <a:cs typeface="+mn-cs"/>
                </a:rPr>
                <a:t> are the emissions allocated to electricity and steam production respectively</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𝐸_𝑇</a:t>
              </a:r>
              <a:r>
                <a:rPr lang="en-US" sz="1100">
                  <a:solidFill>
                    <a:schemeClr val="tx1"/>
                  </a:solidFill>
                  <a:effectLst/>
                  <a:latin typeface="+mn-lt"/>
                  <a:ea typeface="+mn-ea"/>
                  <a:cs typeface="+mn-cs"/>
                </a:rPr>
                <a:t> is the total emissions of the CHP plant</a:t>
              </a:r>
              <a:endParaRPr lang="en-US"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i="1">
                  <a:solidFill>
                    <a:schemeClr val="tx1"/>
                  </a:solidFill>
                  <a:effectLst/>
                  <a:latin typeface="+mn-lt"/>
                  <a:ea typeface="+mn-ea"/>
                  <a:cs typeface="+mn-cs"/>
                </a:rPr>
                <a:t>H</a:t>
              </a:r>
              <a:r>
                <a:rPr lang="en-US" sz="1100">
                  <a:solidFill>
                    <a:schemeClr val="tx1"/>
                  </a:solidFill>
                  <a:effectLst/>
                  <a:latin typeface="+mn-lt"/>
                  <a:ea typeface="+mn-ea"/>
                  <a:cs typeface="+mn-cs"/>
                </a:rPr>
                <a:t>  is the steam output (MWh)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i="1">
                  <a:solidFill>
                    <a:schemeClr val="tx1"/>
                  </a:solidFill>
                  <a:effectLst/>
                  <a:latin typeface="+mn-lt"/>
                  <a:ea typeface="+mn-ea"/>
                  <a:cs typeface="+mn-cs"/>
                </a:rPr>
                <a:t>P  </a:t>
              </a:r>
              <a:r>
                <a:rPr lang="en-US" sz="1100">
                  <a:solidFill>
                    <a:schemeClr val="tx1"/>
                  </a:solidFill>
                  <a:effectLst/>
                  <a:latin typeface="+mn-lt"/>
                  <a:ea typeface="+mn-ea"/>
                  <a:cs typeface="+mn-cs"/>
                </a:rPr>
                <a:t>is the generated electricity output (MWh)</a:t>
              </a:r>
              <a:endParaRPr lang="en-US"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𝑒_𝐻</a:t>
              </a:r>
              <a:r>
                <a:rPr lang="en-US" sz="1100">
                  <a:solidFill>
                    <a:schemeClr val="tx1"/>
                  </a:solidFill>
                  <a:effectLst/>
                  <a:latin typeface="+mn-lt"/>
                  <a:ea typeface="+mn-ea"/>
                  <a:cs typeface="+mn-cs"/>
                </a:rPr>
                <a:t>, </a:t>
              </a:r>
              <a:r>
                <a:rPr lang="en-US" sz="1100" i="0">
                  <a:solidFill>
                    <a:schemeClr val="tx1"/>
                  </a:solidFill>
                  <a:effectLst/>
                  <a:latin typeface="+mn-lt"/>
                  <a:ea typeface="+mn-ea"/>
                  <a:cs typeface="+mn-cs"/>
                </a:rPr>
                <a:t>𝑒_𝑝</a:t>
              </a:r>
              <a:r>
                <a:rPr lang="en-US" sz="1100">
                  <a:solidFill>
                    <a:schemeClr val="tx1"/>
                  </a:solidFill>
                  <a:effectLst/>
                  <a:latin typeface="+mn-lt"/>
                  <a:ea typeface="+mn-ea"/>
                  <a:cs typeface="+mn-cs"/>
                </a:rPr>
                <a:t> are the assumed efficiency values of typical steam and power production</a:t>
              </a:r>
              <a:r>
                <a:rPr lang="en-US" sz="1100" i="1">
                  <a:solidFill>
                    <a:schemeClr val="tx1"/>
                  </a:solidFill>
                  <a:effectLst/>
                  <a:latin typeface="+mn-lt"/>
                  <a:ea typeface="+mn-ea"/>
                  <a:cs typeface="+mn-cs"/>
                </a:rPr>
                <a:t>. </a:t>
              </a:r>
              <a:r>
                <a:rPr lang="en-US" sz="1100">
                  <a:solidFill>
                    <a:schemeClr val="tx1"/>
                  </a:solidFill>
                  <a:effectLst/>
                  <a:latin typeface="+mn-lt"/>
                  <a:ea typeface="+mn-ea"/>
                  <a:cs typeface="+mn-cs"/>
                </a:rPr>
                <a:t>Standard value for</a:t>
              </a:r>
              <a:r>
                <a:rPr lang="en-US" sz="1100" i="1">
                  <a:solidFill>
                    <a:schemeClr val="tx1"/>
                  </a:solidFill>
                  <a:effectLst/>
                  <a:latin typeface="+mn-lt"/>
                  <a:ea typeface="+mn-ea"/>
                  <a:cs typeface="+mn-cs"/>
                </a:rPr>
                <a:t> </a:t>
              </a:r>
              <a:r>
                <a:rPr lang="en-US" sz="1100" i="0">
                  <a:solidFill>
                    <a:schemeClr val="tx1"/>
                  </a:solidFill>
                  <a:effectLst/>
                  <a:latin typeface="+mn-lt"/>
                  <a:ea typeface="+mn-ea"/>
                  <a:cs typeface="+mn-cs"/>
                </a:rPr>
                <a:t>𝑒_𝐻</a:t>
              </a:r>
              <a:r>
                <a:rPr lang="en-US" sz="1100" i="1">
                  <a:solidFill>
                    <a:schemeClr val="tx1"/>
                  </a:solidFill>
                  <a:effectLst/>
                  <a:latin typeface="+mn-lt"/>
                  <a:ea typeface="+mn-ea"/>
                  <a:cs typeface="+mn-cs"/>
                </a:rPr>
                <a:t>= 0.8 and </a:t>
              </a:r>
              <a:r>
                <a:rPr lang="en-US" sz="1100" i="0">
                  <a:solidFill>
                    <a:schemeClr val="tx1"/>
                  </a:solidFill>
                  <a:effectLst/>
                  <a:latin typeface="+mn-lt"/>
                  <a:ea typeface="+mn-ea"/>
                  <a:cs typeface="+mn-cs"/>
                </a:rPr>
                <a:t>𝑒_𝑃=0.35</a:t>
              </a:r>
              <a:r>
                <a:rPr lang="en-US" sz="1100" i="1">
                  <a:solidFill>
                    <a:schemeClr val="tx1"/>
                  </a:solidFill>
                  <a:effectLst/>
                  <a:latin typeface="+mn-lt"/>
                  <a:ea typeface="+mn-ea"/>
                  <a:cs typeface="+mn-cs"/>
                </a:rPr>
                <a:t> </a:t>
              </a:r>
              <a:r>
                <a:rPr lang="en-US" sz="1100">
                  <a:solidFill>
                    <a:schemeClr val="tx1"/>
                  </a:solidFill>
                  <a:effectLst/>
                  <a:latin typeface="+mn-lt"/>
                  <a:ea typeface="+mn-ea"/>
                  <a:cs typeface="+mn-cs"/>
                </a:rPr>
                <a:t>(U.S. EPA, 2004)</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HorizonZero/Shared%20Documents/4.%20Work/Steel/Emissions%20Reporting%20Guidance/H0%20Emissions%20Reporting%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y total emission"/>
      <sheetName val="Asset 1"/>
      <sheetName val="Asset 2"/>
      <sheetName val="Asset 3"/>
      <sheetName val="Asset 4"/>
      <sheetName val="Asset 5"/>
      <sheetName val="Emissions Facto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persons/person.xml><?xml version="1.0" encoding="utf-8"?>
<personList xmlns="http://schemas.microsoft.com/office/spreadsheetml/2018/threadedcomments" xmlns:x="http://schemas.openxmlformats.org/spreadsheetml/2006/main">
  <person displayName="Wenjuan Liu" id="{D2D71CE5-E148-324C-B900-A6F43C1C986B}" userId="S::wliu@rmi.org::27287cea-4a01-445d-96af-90abf5fcf01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41" dT="2022-07-06T23:05:22.96" personId="{D2D71CE5-E148-324C-B900-A6F43C1C986B}" id="{D41CF21C-46BE-2E46-97F3-27C2304125C9}">
    <text>Calcination process emissions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A6" dT="2022-07-01T21:40:11.09" personId="{D2D71CE5-E148-324C-B900-A6F43C1C986B}" id="{A85F47DB-EBB1-3943-A169-2017A2B1EEA6}">
    <text>Note to remember include alumina refinery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https://www.epa.gov/cmop/coal-mine-methane-units-converter" TargetMode="Externa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9.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https://github.com/RMI/aluminum-guidance/blob/main/specs/aluminum_technical_specification.md" TargetMode="External"/><Relationship Id="rId1" Type="http://schemas.openxmlformats.org/officeDocument/2006/relationships/hyperlink" Target="https://github.com/RMI/aluminum-guidance/blob/main/specs/aluminum_schema.json"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6D2A-07CF-C64C-905F-0AE854AAFCC4}">
  <dimension ref="A1:P121"/>
  <sheetViews>
    <sheetView showGridLines="0" topLeftCell="A3" zoomScale="90" zoomScaleNormal="90" workbookViewId="0">
      <selection activeCell="C33" sqref="C33:C37"/>
    </sheetView>
  </sheetViews>
  <sheetFormatPr defaultColWidth="11" defaultRowHeight="14.85"/>
  <cols>
    <col min="1" max="1" width="3.85546875" customWidth="1"/>
    <col min="2" max="2" width="36.28515625" customWidth="1"/>
    <col min="3" max="3" width="24.28515625" bestFit="1" customWidth="1"/>
    <col min="4" max="4" width="16.28515625" customWidth="1"/>
    <col min="5" max="5" width="16.85546875" customWidth="1"/>
    <col min="6" max="7" width="15.85546875" customWidth="1"/>
    <col min="8" max="8" width="34.140625" customWidth="1"/>
    <col min="9" max="9" width="15.85546875" customWidth="1"/>
    <col min="10" max="10" width="15.85546875" style="28" customWidth="1"/>
    <col min="11" max="11" width="15.85546875" customWidth="1"/>
    <col min="12" max="12" width="30.28515625" customWidth="1"/>
    <col min="13" max="13" width="15.85546875" customWidth="1"/>
    <col min="14" max="14" width="15.85546875" style="28" customWidth="1"/>
    <col min="15" max="16" width="15.85546875" customWidth="1"/>
    <col min="17" max="17" width="14.140625" bestFit="1" customWidth="1"/>
  </cols>
  <sheetData>
    <row r="1" spans="1:16" ht="18.600000000000001">
      <c r="A1" s="67" t="s">
        <v>0</v>
      </c>
      <c r="H1" s="81" t="s">
        <v>1</v>
      </c>
      <c r="I1" s="79"/>
    </row>
    <row r="2" spans="1:16" s="69" customFormat="1" ht="19.350000000000001" thickBot="1">
      <c r="B2" s="68" t="s">
        <v>2</v>
      </c>
      <c r="H2" s="86" t="s">
        <v>3</v>
      </c>
      <c r="I2" s="99"/>
      <c r="J2" s="66"/>
      <c r="N2" s="66"/>
    </row>
    <row r="3" spans="1:16" s="69" customFormat="1" ht="19.350000000000001" thickBot="1">
      <c r="B3" s="217" t="s">
        <v>4</v>
      </c>
      <c r="C3" s="216">
        <v>2000</v>
      </c>
      <c r="H3" s="86" t="s">
        <v>5</v>
      </c>
      <c r="I3" s="199"/>
      <c r="J3" s="66"/>
      <c r="N3" s="66"/>
    </row>
    <row r="4" spans="1:16" s="70" customFormat="1" ht="18.600000000000001">
      <c r="H4" s="86" t="s">
        <v>6</v>
      </c>
      <c r="I4" s="200"/>
    </row>
    <row r="5" spans="1:16" s="70" customFormat="1" ht="19.350000000000001" thickBot="1">
      <c r="A5" s="218"/>
      <c r="B5" s="218"/>
      <c r="C5" s="218"/>
      <c r="D5" s="218"/>
      <c r="E5" s="218"/>
      <c r="F5" s="218"/>
      <c r="G5" s="218"/>
      <c r="H5" s="219"/>
      <c r="I5" s="220"/>
      <c r="J5" s="218"/>
      <c r="K5" s="218"/>
      <c r="L5" s="218"/>
      <c r="M5" s="218"/>
      <c r="N5" s="218"/>
      <c r="O5" s="218"/>
      <c r="P5" s="218"/>
    </row>
    <row r="6" spans="1:16" s="70" customFormat="1" ht="29.25" customHeight="1" thickTop="1">
      <c r="B6" s="68" t="s">
        <v>7</v>
      </c>
      <c r="H6" s="86"/>
      <c r="I6" s="205"/>
    </row>
    <row r="7" spans="1:16" s="70" customFormat="1" ht="18.600000000000001">
      <c r="B7" s="37"/>
      <c r="C7"/>
      <c r="D7"/>
      <c r="H7" s="86"/>
      <c r="I7" s="205"/>
    </row>
    <row r="8" spans="1:16" s="70" customFormat="1" ht="19.350000000000001" thickBot="1">
      <c r="B8" s="221" t="s">
        <v>8</v>
      </c>
      <c r="C8" s="222" t="s">
        <v>9</v>
      </c>
      <c r="D8" s="222"/>
      <c r="H8" s="212" t="s">
        <v>10</v>
      </c>
      <c r="I8" s="213" t="s">
        <v>11</v>
      </c>
    </row>
    <row r="9" spans="1:16" s="70" customFormat="1" ht="19.350000000000001" thickBot="1">
      <c r="B9" s="223"/>
      <c r="C9" s="210" t="s">
        <v>12</v>
      </c>
      <c r="D9" s="210" t="s">
        <v>13</v>
      </c>
      <c r="H9" s="214" t="s">
        <v>14</v>
      </c>
      <c r="I9" s="207" t="e">
        <f>SUM(P20:P52,H56:H59,P93:P114,P65:P84)/C3</f>
        <v>#VALUE!</v>
      </c>
    </row>
    <row r="10" spans="1:16" s="70" customFormat="1" ht="18.600000000000001">
      <c r="B10" s="214" t="s">
        <v>15</v>
      </c>
      <c r="C10" s="206">
        <v>1</v>
      </c>
      <c r="D10" s="206">
        <v>0</v>
      </c>
      <c r="H10" s="214" t="s">
        <v>16</v>
      </c>
      <c r="I10" s="208" t="e">
        <f>(SUM($P$20:$P$52,$H$56:$H$59)*C$10+SUM($P$65:$P$84)*C$11+SUM($P$93:$P$114)*C$12)/C3*C12</f>
        <v>#VALUE!</v>
      </c>
    </row>
    <row r="11" spans="1:16" s="70" customFormat="1" ht="18.600000000000001">
      <c r="B11" s="214" t="s">
        <v>17</v>
      </c>
      <c r="C11" s="206">
        <f>SUM(G66:G67)/SUM(G65:G67)</f>
        <v>5.5306427503736919E-2</v>
      </c>
      <c r="D11" s="206">
        <f>G65/SUM(G65:G67)</f>
        <v>0.94469357249626307</v>
      </c>
      <c r="H11" s="214" t="s">
        <v>18</v>
      </c>
      <c r="I11" s="208" t="e">
        <f>(SUM($P$20:$P$52,$H$56:$H$59)*D$10+SUM($P$65:$P$84)*D$11+SUM($P$93:$P$114)*D$12)/$C$3*D12</f>
        <v>#VALUE!</v>
      </c>
    </row>
    <row r="12" spans="1:16" s="70" customFormat="1" ht="19.350000000000001" thickBot="1">
      <c r="B12" s="215" t="s">
        <v>19</v>
      </c>
      <c r="C12" s="209">
        <f>((1-C89)*G93+G95)/(SUM(G94:G95)+G93)</f>
        <v>0.38109154929577466</v>
      </c>
      <c r="D12" s="209">
        <f>(C89*G93+G94)/(SUM(G94:G95)+G93)</f>
        <v>0.6189084507042254</v>
      </c>
      <c r="H12" s="215" t="s">
        <v>20</v>
      </c>
      <c r="I12" s="211"/>
    </row>
    <row r="13" spans="1:16" s="70" customFormat="1" ht="19.350000000000001" thickBot="1">
      <c r="A13" s="218"/>
      <c r="B13" s="218"/>
      <c r="C13" s="218"/>
      <c r="D13" s="218"/>
      <c r="E13" s="218"/>
      <c r="F13" s="218"/>
      <c r="G13" s="218"/>
      <c r="H13" s="219"/>
      <c r="I13" s="220"/>
      <c r="J13" s="218"/>
      <c r="K13" s="218"/>
      <c r="L13" s="218"/>
      <c r="M13" s="218"/>
      <c r="N13" s="218"/>
      <c r="O13" s="218"/>
      <c r="P13" s="218"/>
    </row>
    <row r="14" spans="1:16" s="70" customFormat="1" ht="30" customHeight="1" thickTop="1">
      <c r="B14" s="68" t="s">
        <v>21</v>
      </c>
      <c r="H14" s="86"/>
      <c r="I14" s="205"/>
    </row>
    <row r="15" spans="1:16" s="70" customFormat="1" ht="18.600000000000001">
      <c r="B15" s="68"/>
      <c r="H15" s="86"/>
      <c r="I15" s="205"/>
    </row>
    <row r="16" spans="1:16" s="70" customFormat="1" ht="18.600000000000001">
      <c r="B16" s="68" t="s">
        <v>22</v>
      </c>
      <c r="C16" s="133"/>
    </row>
    <row r="17" spans="2:16" s="69" customFormat="1" ht="18.600000000000001">
      <c r="C17" s="12"/>
      <c r="J17" s="66"/>
      <c r="N17" s="66"/>
    </row>
    <row r="18" spans="2:16" ht="16.5" customHeight="1">
      <c r="B18" s="543" t="s">
        <v>23</v>
      </c>
      <c r="C18" s="543"/>
      <c r="D18" s="543"/>
      <c r="E18" s="523" t="s">
        <v>24</v>
      </c>
      <c r="F18" s="523"/>
      <c r="G18" s="523"/>
      <c r="H18" s="526" t="s">
        <v>25</v>
      </c>
      <c r="I18" s="523"/>
      <c r="J18" s="527"/>
      <c r="K18" s="523"/>
      <c r="L18" s="526" t="s">
        <v>26</v>
      </c>
      <c r="M18" s="523"/>
      <c r="N18" s="523"/>
      <c r="O18" s="523"/>
      <c r="P18" s="528" t="s">
        <v>27</v>
      </c>
    </row>
    <row r="19" spans="2:16" ht="44.25">
      <c r="B19" s="127" t="s">
        <v>28</v>
      </c>
      <c r="C19" s="128" t="s">
        <v>29</v>
      </c>
      <c r="D19" s="128" t="s">
        <v>30</v>
      </c>
      <c r="E19" s="126" t="s">
        <v>31</v>
      </c>
      <c r="F19" s="126" t="s">
        <v>32</v>
      </c>
      <c r="G19" s="126" t="s">
        <v>33</v>
      </c>
      <c r="H19" s="126" t="s">
        <v>34</v>
      </c>
      <c r="I19" s="125" t="s">
        <v>35</v>
      </c>
      <c r="J19" s="187" t="s">
        <v>36</v>
      </c>
      <c r="K19" s="126" t="s">
        <v>37</v>
      </c>
      <c r="L19" s="126" t="s">
        <v>38</v>
      </c>
      <c r="M19" s="126" t="s">
        <v>39</v>
      </c>
      <c r="N19" s="126" t="s">
        <v>40</v>
      </c>
      <c r="O19" s="125" t="s">
        <v>41</v>
      </c>
      <c r="P19" s="529"/>
    </row>
    <row r="20" spans="2:16" ht="16.5" customHeight="1">
      <c r="B20" s="50" t="s">
        <v>42</v>
      </c>
      <c r="C20" s="518" t="s">
        <v>43</v>
      </c>
      <c r="D20" s="27" t="s">
        <v>44</v>
      </c>
      <c r="E20" s="30"/>
      <c r="F20" s="30"/>
      <c r="G20" s="188">
        <f t="shared" ref="G20:G41" si="0">E20-F20</f>
        <v>0</v>
      </c>
      <c r="H20" s="31" t="s">
        <v>45</v>
      </c>
      <c r="I20" s="32"/>
      <c r="J20" s="191">
        <f>IF(H20="Default",INDEX('Default EF'!$E$13:$L$50,MATCH(B20,'Default EF'!$E$13:$E$50,0),3),I20)</f>
        <v>2.6868254999999999</v>
      </c>
      <c r="K20" s="188">
        <f>G20*J20</f>
        <v>0</v>
      </c>
      <c r="L20" s="31" t="s">
        <v>45</v>
      </c>
      <c r="M20" s="32"/>
      <c r="N20" s="191" t="str">
        <f>IF(L20="Default",INDEX('Default EF'!$E$13:$L$50,MATCH(B20,'Default EF'!$E$13:$E$50,0),5),M20)</f>
        <v>IPCC, 2019 with IPCC, AR5 100yr GWP</v>
      </c>
      <c r="O20" s="188" t="e">
        <f t="shared" ref="O20:O40" si="1">N20*G20</f>
        <v>#VALUE!</v>
      </c>
      <c r="P20" s="188" t="e">
        <f t="shared" ref="P20:P40" si="2">K20+O20</f>
        <v>#VALUE!</v>
      </c>
    </row>
    <row r="21" spans="2:16">
      <c r="B21" s="42" t="s">
        <v>46</v>
      </c>
      <c r="C21" s="519"/>
      <c r="D21" s="27" t="s">
        <v>44</v>
      </c>
      <c r="E21" s="30"/>
      <c r="F21" s="30"/>
      <c r="G21" s="188">
        <f t="shared" si="0"/>
        <v>0</v>
      </c>
      <c r="H21" s="31" t="s">
        <v>45</v>
      </c>
      <c r="I21" s="32"/>
      <c r="J21" s="191">
        <f>IF(H21="Default",INDEX('Default EF'!$E$13:$L$50,MATCH(B21,'Default EF'!$E$13:$E$50,0),3),I21)</f>
        <v>2.6426992500000002</v>
      </c>
      <c r="K21" s="188">
        <f t="shared" ref="K21:K46" si="3">G21*J21</f>
        <v>0</v>
      </c>
      <c r="L21" s="31" t="s">
        <v>45</v>
      </c>
      <c r="M21" s="32"/>
      <c r="N21" s="191" t="str">
        <f>IF(L21="Default",INDEX('Default EF'!$E$13:$L$50,MATCH(B21,'Default EF'!$E$13:$E$50,0),5),M21)</f>
        <v>IPCC, 2006 with IPCC, AR5 100yr GWP</v>
      </c>
      <c r="O21" s="188" t="e">
        <f t="shared" si="1"/>
        <v>#VALUE!</v>
      </c>
      <c r="P21" s="188" t="e">
        <f t="shared" si="2"/>
        <v>#VALUE!</v>
      </c>
    </row>
    <row r="22" spans="2:16">
      <c r="B22" s="42" t="s">
        <v>47</v>
      </c>
      <c r="C22" s="519"/>
      <c r="D22" s="27" t="s">
        <v>44</v>
      </c>
      <c r="E22" s="30"/>
      <c r="F22" s="30"/>
      <c r="G22" s="188">
        <f t="shared" si="0"/>
        <v>0</v>
      </c>
      <c r="H22" s="31" t="s">
        <v>45</v>
      </c>
      <c r="I22" s="32"/>
      <c r="J22" s="191">
        <f>IF(H22="Default",INDEX('Default EF'!$E$13:$L$50,MATCH(B22,'Default EF'!$E$13:$E$50,0),3),I22)</f>
        <v>2.4581595000000003</v>
      </c>
      <c r="K22" s="188">
        <f t="shared" si="3"/>
        <v>0</v>
      </c>
      <c r="L22" s="31" t="s">
        <v>45</v>
      </c>
      <c r="M22" s="32"/>
      <c r="N22" s="191" t="str">
        <f>IF(L22="Default",INDEX('Default EF'!$E$13:$L$50,MATCH(B22,'Default EF'!$E$13:$E$50,0),5),M22)</f>
        <v>IPCC, 2006 with IPCC, AR5 100yr GWP</v>
      </c>
      <c r="O22" s="188" t="e">
        <f t="shared" si="1"/>
        <v>#VALUE!</v>
      </c>
      <c r="P22" s="188" t="e">
        <f t="shared" si="2"/>
        <v>#VALUE!</v>
      </c>
    </row>
    <row r="23" spans="2:16">
      <c r="B23" s="42" t="s">
        <v>48</v>
      </c>
      <c r="C23" s="519"/>
      <c r="D23" s="27" t="s">
        <v>44</v>
      </c>
      <c r="E23" s="30"/>
      <c r="F23" s="30"/>
      <c r="G23" s="188">
        <f t="shared" ref="G23:G24" si="4">E23-F23</f>
        <v>0</v>
      </c>
      <c r="H23" s="31" t="s">
        <v>45</v>
      </c>
      <c r="I23" s="32"/>
      <c r="J23" s="191">
        <f>IF(H23="Default",INDEX('Default EF'!$E$13:$L$50,MATCH(B23,'Default EF'!$E$13:$E$50,0),3),I23)</f>
        <v>1.8290947499999997</v>
      </c>
      <c r="K23" s="188">
        <f t="shared" ref="K23:K24" si="5">G23*J23</f>
        <v>0</v>
      </c>
      <c r="L23" s="31" t="s">
        <v>45</v>
      </c>
      <c r="M23" s="32"/>
      <c r="N23" s="191" t="str">
        <f>IF(L23="Default",INDEX('Default EF'!$E$13:$L$50,MATCH(B23,'Default EF'!$E$13:$E$50,0),5),M23)</f>
        <v>IPCC, 2006 with IPCC, AR5 100yr GWP</v>
      </c>
      <c r="O23" s="188" t="e">
        <f t="shared" si="1"/>
        <v>#VALUE!</v>
      </c>
      <c r="P23" s="188" t="e">
        <f t="shared" ref="P23:P24" si="6">K23+O23</f>
        <v>#VALUE!</v>
      </c>
    </row>
    <row r="24" spans="2:16">
      <c r="B24" s="166" t="s">
        <v>49</v>
      </c>
      <c r="C24" s="520"/>
      <c r="D24" s="27" t="s">
        <v>44</v>
      </c>
      <c r="E24" s="30"/>
      <c r="F24" s="30"/>
      <c r="G24" s="188">
        <f t="shared" si="4"/>
        <v>0</v>
      </c>
      <c r="H24" s="31" t="s">
        <v>45</v>
      </c>
      <c r="I24" s="32"/>
      <c r="J24" s="191">
        <f>IF(H24="Default",INDEX('Default EF'!$E$13:$L$50,MATCH(B24,'Default EF'!$E$13:$E$50,0),3),I24)</f>
        <v>1.2099622500000002</v>
      </c>
      <c r="K24" s="188">
        <f t="shared" si="5"/>
        <v>0</v>
      </c>
      <c r="L24" s="31" t="s">
        <v>45</v>
      </c>
      <c r="M24" s="32"/>
      <c r="N24" s="191" t="str">
        <f>IF(L24="Default",INDEX('Default EF'!$E$13:$L$50,MATCH(B24,'Default EF'!$E$13:$E$50,0),5),M24)</f>
        <v>IPCC, 2006 with IPCC, AR5 100yr GWP</v>
      </c>
      <c r="O24" s="188" t="e">
        <f t="shared" si="1"/>
        <v>#VALUE!</v>
      </c>
      <c r="P24" s="188" t="e">
        <f t="shared" si="6"/>
        <v>#VALUE!</v>
      </c>
    </row>
    <row r="25" spans="2:16">
      <c r="B25" s="50" t="s">
        <v>50</v>
      </c>
      <c r="C25" s="521" t="s">
        <v>51</v>
      </c>
      <c r="D25" s="27" t="s">
        <v>44</v>
      </c>
      <c r="E25" s="30"/>
      <c r="F25" s="30"/>
      <c r="G25" s="188">
        <f>E25-F25</f>
        <v>0</v>
      </c>
      <c r="H25" s="31" t="s">
        <v>45</v>
      </c>
      <c r="I25" s="32"/>
      <c r="J25" s="191">
        <f>IF(H25="Default",INDEX('Default EF'!$E$13:$L$50,MATCH(B25,'Default EF'!$E$13:$E$50,0),3),I25)</f>
        <v>2.9487799999999998E-3</v>
      </c>
      <c r="K25" s="188">
        <f t="shared" si="3"/>
        <v>0</v>
      </c>
      <c r="L25" s="31" t="s">
        <v>45</v>
      </c>
      <c r="M25" s="32"/>
      <c r="N25" s="191" t="str">
        <f>IF(L25="Default",INDEX('Default EF'!$E$13:$L$50,MATCH(B25,'Default EF'!$E$13:$E$50,0),5),M25)</f>
        <v>IPCC, 2006 with IPCC, AR5 100yr GWP</v>
      </c>
      <c r="O25" s="188" t="e">
        <f t="shared" si="1"/>
        <v>#VALUE!</v>
      </c>
      <c r="P25" s="188" t="e">
        <f t="shared" si="2"/>
        <v>#VALUE!</v>
      </c>
    </row>
    <row r="26" spans="2:16">
      <c r="B26" s="167" t="s">
        <v>52</v>
      </c>
      <c r="C26" s="521"/>
      <c r="D26" s="27" t="s">
        <v>44</v>
      </c>
      <c r="E26" s="30"/>
      <c r="F26" s="30"/>
      <c r="G26" s="188">
        <f t="shared" si="0"/>
        <v>0</v>
      </c>
      <c r="H26" s="31" t="s">
        <v>45</v>
      </c>
      <c r="I26" s="32"/>
      <c r="J26" s="191">
        <f>IF(H26="Default",INDEX('Default EF'!$E$13:$L$50,MATCH(B26,'Default EF'!$E$13:$E$50,0),3),I26)</f>
        <v>2.6854800000000001E-3</v>
      </c>
      <c r="K26" s="188">
        <f t="shared" si="3"/>
        <v>0</v>
      </c>
      <c r="L26" s="31" t="s">
        <v>45</v>
      </c>
      <c r="M26" s="32"/>
      <c r="N26" s="191" t="str">
        <f>IF(L26="Default",INDEX('Default EF'!$E$13:$L$50,MATCH(B26,'Default EF'!$E$13:$E$50,0),5),M26)</f>
        <v>IPCC, 2006 with IPCC, AR5 100yr GWP</v>
      </c>
      <c r="O26" s="188" t="e">
        <f t="shared" si="1"/>
        <v>#VALUE!</v>
      </c>
      <c r="P26" s="188" t="e">
        <f t="shared" si="2"/>
        <v>#VALUE!</v>
      </c>
    </row>
    <row r="27" spans="2:16">
      <c r="B27" s="42" t="s">
        <v>53</v>
      </c>
      <c r="C27" s="521"/>
      <c r="D27" s="27" t="s">
        <v>44</v>
      </c>
      <c r="E27" s="30"/>
      <c r="F27" s="30"/>
      <c r="G27" s="188">
        <f t="shared" si="0"/>
        <v>0</v>
      </c>
      <c r="H27" s="31" t="s">
        <v>45</v>
      </c>
      <c r="I27" s="32"/>
      <c r="J27" s="191">
        <f>IF(H27="Default",INDEX('Default EF'!$E$13:$L$50,MATCH(B27,'Default EF'!$E$13:$E$50,0),3),I27)</f>
        <v>1.6159529430000001E-3</v>
      </c>
      <c r="K27" s="188">
        <f t="shared" si="3"/>
        <v>0</v>
      </c>
      <c r="L27" s="31" t="s">
        <v>45</v>
      </c>
      <c r="M27" s="32"/>
      <c r="N27" s="191" t="str">
        <f>IF(L27="Default",INDEX('Default EF'!$E$13:$L$50,MATCH(B27,'Default EF'!$E$13:$E$50,0),5),M27)</f>
        <v>IPCC, 2006 with IPCC, AR5 100yr GWP</v>
      </c>
      <c r="O27" s="188" t="e">
        <f t="shared" si="1"/>
        <v>#VALUE!</v>
      </c>
      <c r="P27" s="188" t="e">
        <f t="shared" si="2"/>
        <v>#VALUE!</v>
      </c>
    </row>
    <row r="28" spans="2:16">
      <c r="B28" s="166" t="s">
        <v>54</v>
      </c>
      <c r="C28" s="518"/>
      <c r="D28" s="27" t="s">
        <v>44</v>
      </c>
      <c r="E28" s="30"/>
      <c r="F28" s="30"/>
      <c r="G28" s="188">
        <f t="shared" si="0"/>
        <v>0</v>
      </c>
      <c r="H28" s="31" t="s">
        <v>45</v>
      </c>
      <c r="I28" s="32"/>
      <c r="J28" s="191">
        <f>IF(H28="Default",INDEX('Default EF'!$E$13:$L$50,MATCH(B28,'Default EF'!$E$13:$E$50,0),3),I28)</f>
        <v>2.2102717812691286E-3</v>
      </c>
      <c r="K28" s="188">
        <f t="shared" si="3"/>
        <v>0</v>
      </c>
      <c r="L28" s="31" t="s">
        <v>45</v>
      </c>
      <c r="M28" s="32"/>
      <c r="N28" s="191" t="str">
        <f>IF(L28="Default",INDEX('Default EF'!$E$13:$L$50,MATCH(B28,'Default EF'!$E$13:$E$50,0),5),M28)</f>
        <v>IPCC, 2006 with IPCC, AR5 100yr GWP</v>
      </c>
      <c r="O28" s="188" t="e">
        <f t="shared" si="1"/>
        <v>#VALUE!</v>
      </c>
      <c r="P28" s="188" t="e">
        <f>K28+O28</f>
        <v>#VALUE!</v>
      </c>
    </row>
    <row r="29" spans="2:16" ht="15" customHeight="1">
      <c r="B29" s="51" t="s">
        <v>55</v>
      </c>
      <c r="C29" s="532" t="s">
        <v>56</v>
      </c>
      <c r="D29" s="27" t="s">
        <v>44</v>
      </c>
      <c r="E29" s="30"/>
      <c r="F29" s="30"/>
      <c r="G29" s="188">
        <f t="shared" ref="G29:G37" si="7">E29-F29</f>
        <v>0</v>
      </c>
      <c r="H29" s="31" t="s">
        <v>45</v>
      </c>
      <c r="I29" s="32"/>
      <c r="J29" s="192">
        <f>IF(H29="Default",INDEX('Default EF'!$E$13:$L$50,MATCH(B29,'Default EF'!$E$13:$E$50,0),3),I29)</f>
        <v>0</v>
      </c>
      <c r="K29" s="188">
        <f>G29*J29</f>
        <v>0</v>
      </c>
      <c r="L29" s="31" t="s">
        <v>45</v>
      </c>
      <c r="M29" s="32"/>
      <c r="N29" s="191" t="str">
        <f>IF(L29="Default",INDEX('Default EF'!$E$13:$L$50,MATCH(B29,'Default EF'!$E$13:$E$50,0),5),M29)</f>
        <v>no carbon content</v>
      </c>
      <c r="O29" s="188" t="e">
        <f t="shared" si="1"/>
        <v>#VALUE!</v>
      </c>
      <c r="P29" s="188" t="e">
        <f t="shared" ref="P29:P37" si="8">K29+O29</f>
        <v>#VALUE!</v>
      </c>
    </row>
    <row r="30" spans="2:16" ht="15" customHeight="1">
      <c r="B30" s="52" t="s">
        <v>57</v>
      </c>
      <c r="C30" s="533"/>
      <c r="D30" s="27" t="s">
        <v>44</v>
      </c>
      <c r="E30" s="30"/>
      <c r="F30" s="30"/>
      <c r="G30" s="188">
        <f t="shared" si="7"/>
        <v>0</v>
      </c>
      <c r="H30" s="31" t="s">
        <v>45</v>
      </c>
      <c r="I30" s="32"/>
      <c r="J30" s="192">
        <f>IF(H30="Default",INDEX('Default EF'!$E$13:$L$50,MATCH(B30,'Default EF'!$E$13:$E$50,0),3),I30)</f>
        <v>0</v>
      </c>
      <c r="K30" s="188">
        <f>G30*J30</f>
        <v>0</v>
      </c>
      <c r="L30" s="31" t="s">
        <v>45</v>
      </c>
      <c r="M30" s="32"/>
      <c r="N30" s="191" t="str">
        <f>IF(L30="Default",INDEX('Default EF'!$E$13:$L$50,MATCH(B30,'Default EF'!$E$13:$E$50,0),5),M30)</f>
        <v>no carbon content</v>
      </c>
      <c r="O30" s="188" t="e">
        <f t="shared" si="1"/>
        <v>#VALUE!</v>
      </c>
      <c r="P30" s="188" t="e">
        <f t="shared" si="8"/>
        <v>#VALUE!</v>
      </c>
    </row>
    <row r="31" spans="2:16">
      <c r="B31" s="52" t="s">
        <v>58</v>
      </c>
      <c r="C31" s="533"/>
      <c r="D31" s="27" t="s">
        <v>44</v>
      </c>
      <c r="E31" s="30">
        <v>1928</v>
      </c>
      <c r="F31" s="30"/>
      <c r="G31" s="188">
        <f t="shared" si="7"/>
        <v>1928</v>
      </c>
      <c r="H31" s="160" t="s">
        <v>45</v>
      </c>
      <c r="I31" s="161"/>
      <c r="J31" s="192">
        <f>IF(H31="Default",INDEX('Default EF'!$E$13:$L$50,MATCH(B31,'Default EF'!$E$13:$E$50,0),3),I31)</f>
        <v>0</v>
      </c>
      <c r="K31" s="193">
        <f t="shared" ref="K31:K32" si="9">G31*J31</f>
        <v>0</v>
      </c>
      <c r="L31" s="160" t="s">
        <v>45</v>
      </c>
      <c r="M31" s="161"/>
      <c r="N31" s="191" t="str">
        <f>IF(L31="Default",INDEX('Default EF'!$E$13:$L$50,MATCH(B31,'Default EF'!$E$13:$E$50,0),5),M31)</f>
        <v>no carbon content</v>
      </c>
      <c r="O31" s="188" t="e">
        <f t="shared" si="1"/>
        <v>#VALUE!</v>
      </c>
      <c r="P31" s="193" t="e">
        <f t="shared" si="8"/>
        <v>#VALUE!</v>
      </c>
    </row>
    <row r="32" spans="2:16">
      <c r="B32" s="42" t="s">
        <v>59</v>
      </c>
      <c r="C32" s="534"/>
      <c r="D32" s="27" t="s">
        <v>44</v>
      </c>
      <c r="E32" s="30"/>
      <c r="F32" s="30"/>
      <c r="G32" s="189">
        <f t="shared" si="7"/>
        <v>0</v>
      </c>
      <c r="H32" s="122" t="s">
        <v>45</v>
      </c>
      <c r="I32" s="172"/>
      <c r="J32" s="192">
        <f>IF(H32="Default",INDEX('Default EF'!$E$13:$L$50,MATCH(B32,'Default EF'!$E$13:$E$50,0),3),I32)</f>
        <v>0</v>
      </c>
      <c r="K32" s="194">
        <f t="shared" si="9"/>
        <v>0</v>
      </c>
      <c r="L32" s="122" t="s">
        <v>45</v>
      </c>
      <c r="M32" s="172"/>
      <c r="N32" s="191" t="str">
        <f>IF(L32="Default",INDEX('Default EF'!$E$13:$L$50,MATCH(B32,'Default EF'!$E$13:$E$50,0),5),M32)</f>
        <v>no carbon content</v>
      </c>
      <c r="O32" s="188" t="e">
        <f t="shared" si="1"/>
        <v>#VALUE!</v>
      </c>
      <c r="P32" s="194" t="e">
        <f t="shared" ref="P32" si="10">K32+O32</f>
        <v>#VALUE!</v>
      </c>
    </row>
    <row r="33" spans="2:16" ht="15" customHeight="1">
      <c r="B33" s="51" t="s">
        <v>60</v>
      </c>
      <c r="C33" s="532" t="s">
        <v>61</v>
      </c>
      <c r="D33" s="27" t="s">
        <v>44</v>
      </c>
      <c r="E33" s="30"/>
      <c r="F33" s="30"/>
      <c r="G33" s="188">
        <f>E33-F33</f>
        <v>0</v>
      </c>
      <c r="H33" s="512" t="s">
        <v>62</v>
      </c>
      <c r="I33" s="513"/>
      <c r="J33" s="513"/>
      <c r="K33" s="514"/>
      <c r="L33" s="162" t="s">
        <v>45</v>
      </c>
      <c r="M33" s="163"/>
      <c r="N33" s="191" t="str">
        <f>IF(L33="Default",INDEX('Default EF'!$E$13:$L$50,MATCH(B33,'Default EF'!$E$13:$E$50,0),5),M33)</f>
        <v>na</v>
      </c>
      <c r="O33" s="188" t="e">
        <f t="shared" si="1"/>
        <v>#VALUE!</v>
      </c>
      <c r="P33" s="195" t="e">
        <f>K33+O33</f>
        <v>#VALUE!</v>
      </c>
    </row>
    <row r="34" spans="2:16">
      <c r="B34" s="52" t="s">
        <v>63</v>
      </c>
      <c r="C34" s="533"/>
      <c r="D34" s="27" t="s">
        <v>44</v>
      </c>
      <c r="E34" s="30"/>
      <c r="F34" s="30"/>
      <c r="G34" s="188">
        <f>E34-F34</f>
        <v>0</v>
      </c>
      <c r="H34" s="512"/>
      <c r="I34" s="513"/>
      <c r="J34" s="513"/>
      <c r="K34" s="514"/>
      <c r="L34" s="31" t="s">
        <v>45</v>
      </c>
      <c r="M34" s="32"/>
      <c r="N34" s="191" t="str">
        <f>IF(L34="Default",INDEX('Default EF'!$E$13:$L$50,MATCH(B34,'Default EF'!$E$13:$E$50,0),5),M34)</f>
        <v>na</v>
      </c>
      <c r="O34" s="188" t="e">
        <f t="shared" si="1"/>
        <v>#VALUE!</v>
      </c>
      <c r="P34" s="188" t="e">
        <f>K34+O34</f>
        <v>#VALUE!</v>
      </c>
    </row>
    <row r="35" spans="2:16" ht="15" customHeight="1">
      <c r="B35" s="52" t="s">
        <v>64</v>
      </c>
      <c r="C35" s="533"/>
      <c r="D35" s="27" t="s">
        <v>44</v>
      </c>
      <c r="E35" s="30">
        <v>460</v>
      </c>
      <c r="F35" s="30"/>
      <c r="G35" s="188">
        <f t="shared" si="7"/>
        <v>460</v>
      </c>
      <c r="H35" s="512"/>
      <c r="I35" s="513"/>
      <c r="J35" s="513"/>
      <c r="K35" s="514"/>
      <c r="L35" s="31" t="s">
        <v>45</v>
      </c>
      <c r="M35" s="32"/>
      <c r="N35" s="191" t="str">
        <f>IF(L35="Default",INDEX('Default EF'!$E$13:$L$50,MATCH(B35,'Default EF'!$E$13:$E$50,0),5),M35)</f>
        <v>na</v>
      </c>
      <c r="O35" s="188" t="e">
        <f t="shared" si="1"/>
        <v>#VALUE!</v>
      </c>
      <c r="P35" s="188" t="e">
        <f t="shared" si="8"/>
        <v>#VALUE!</v>
      </c>
    </row>
    <row r="36" spans="2:16" ht="15.95" customHeight="1">
      <c r="B36" s="52" t="s">
        <v>65</v>
      </c>
      <c r="C36" s="533"/>
      <c r="D36" s="27" t="s">
        <v>44</v>
      </c>
      <c r="E36" s="30"/>
      <c r="F36" s="30"/>
      <c r="G36" s="188">
        <f t="shared" si="7"/>
        <v>0</v>
      </c>
      <c r="H36" s="512"/>
      <c r="I36" s="513"/>
      <c r="J36" s="513"/>
      <c r="K36" s="514"/>
      <c r="L36" s="31" t="s">
        <v>45</v>
      </c>
      <c r="M36" s="32"/>
      <c r="N36" s="191" t="str">
        <f>IF(L36="Default",INDEX('Default EF'!$E$13:$L$50,MATCH(B36,'Default EF'!$E$13:$E$50,0),5),M36)</f>
        <v>na</v>
      </c>
      <c r="O36" s="188" t="e">
        <f t="shared" si="1"/>
        <v>#VALUE!</v>
      </c>
      <c r="P36" s="188" t="e">
        <f t="shared" si="8"/>
        <v>#VALUE!</v>
      </c>
    </row>
    <row r="37" spans="2:16">
      <c r="B37" s="53" t="s">
        <v>66</v>
      </c>
      <c r="C37" s="534"/>
      <c r="D37" s="27" t="s">
        <v>44</v>
      </c>
      <c r="E37" s="30"/>
      <c r="F37" s="30"/>
      <c r="G37" s="188">
        <f t="shared" si="7"/>
        <v>0</v>
      </c>
      <c r="H37" s="515"/>
      <c r="I37" s="516"/>
      <c r="J37" s="516"/>
      <c r="K37" s="517"/>
      <c r="L37" s="31" t="s">
        <v>45</v>
      </c>
      <c r="M37" s="32"/>
      <c r="N37" s="191" t="str">
        <f>IF(L37="Default",INDEX('Default EF'!$E$13:$L$50,MATCH(B37,'Default EF'!$E$13:$E$50,0),5),M37)</f>
        <v>na</v>
      </c>
      <c r="O37" s="188" t="e">
        <f t="shared" si="1"/>
        <v>#VALUE!</v>
      </c>
      <c r="P37" s="188" t="e">
        <f t="shared" si="8"/>
        <v>#VALUE!</v>
      </c>
    </row>
    <row r="38" spans="2:16">
      <c r="B38" s="51" t="s">
        <v>67</v>
      </c>
      <c r="C38" s="532" t="s">
        <v>68</v>
      </c>
      <c r="D38" s="27" t="s">
        <v>44</v>
      </c>
      <c r="E38" s="30"/>
      <c r="F38" s="30"/>
      <c r="G38" s="188">
        <f t="shared" si="0"/>
        <v>0</v>
      </c>
      <c r="H38" s="31" t="s">
        <v>45</v>
      </c>
      <c r="I38" s="32"/>
      <c r="J38" s="192">
        <f>IF(H38="Default",INDEX('Default EF'!$E$13:$L$50,MATCH(B38,'Default EF'!$E$13:$E$50,0),3),I38)</f>
        <v>0</v>
      </c>
      <c r="K38" s="188">
        <f t="shared" si="3"/>
        <v>0</v>
      </c>
      <c r="L38" s="31" t="s">
        <v>45</v>
      </c>
      <c r="M38" s="32"/>
      <c r="N38" s="191" t="str">
        <f>IF(L38="Default",INDEX('Default EF'!$E$13:$L$50,MATCH(B38,'Default EF'!$E$13:$E$50,0),5),M38)</f>
        <v>no carbon content</v>
      </c>
      <c r="O38" s="188" t="e">
        <f t="shared" si="1"/>
        <v>#VALUE!</v>
      </c>
      <c r="P38" s="188" t="e">
        <f t="shared" si="2"/>
        <v>#VALUE!</v>
      </c>
    </row>
    <row r="39" spans="2:16">
      <c r="B39" s="52" t="s">
        <v>69</v>
      </c>
      <c r="C39" s="533"/>
      <c r="D39" s="27" t="s">
        <v>44</v>
      </c>
      <c r="E39" s="30"/>
      <c r="F39" s="30"/>
      <c r="G39" s="188">
        <f t="shared" si="0"/>
        <v>0</v>
      </c>
      <c r="H39" s="31" t="s">
        <v>45</v>
      </c>
      <c r="I39" s="32"/>
      <c r="J39" s="191">
        <f>IF(H39="Default",INDEX('Default EF'!$E$13:$L$50,MATCH(B39,'Default EF'!$E$13:$E$50,0),3),I39)</f>
        <v>0.39290472000000004</v>
      </c>
      <c r="K39" s="188">
        <f t="shared" si="3"/>
        <v>0</v>
      </c>
      <c r="L39" s="31" t="s">
        <v>45</v>
      </c>
      <c r="M39" s="32"/>
      <c r="N39" s="191" t="str">
        <f>IF(L39="Default",INDEX('Default EF'!$E$13:$L$50,MATCH(B39,'Default EF'!$E$13:$E$50,0),5),M39)</f>
        <v>IAI-GHG Protocol Al sector tool, 2015 </v>
      </c>
      <c r="O39" s="188" t="e">
        <f t="shared" si="1"/>
        <v>#VALUE!</v>
      </c>
      <c r="P39" s="188" t="e">
        <f t="shared" si="2"/>
        <v>#VALUE!</v>
      </c>
    </row>
    <row r="40" spans="2:16">
      <c r="B40" s="52" t="s">
        <v>70</v>
      </c>
      <c r="C40" s="533"/>
      <c r="D40" s="27" t="s">
        <v>44</v>
      </c>
      <c r="E40" s="30">
        <v>17</v>
      </c>
      <c r="F40" s="30"/>
      <c r="G40" s="188">
        <f t="shared" si="0"/>
        <v>17</v>
      </c>
      <c r="H40" s="31" t="s">
        <v>45</v>
      </c>
      <c r="I40" s="32"/>
      <c r="J40" s="192">
        <f>IF(H40="Default",INDEX('Default EF'!$E$13:$L$50,MATCH(B40,'Default EF'!$E$13:$E$50,0),3),I40)</f>
        <v>0</v>
      </c>
      <c r="K40" s="188">
        <f t="shared" si="3"/>
        <v>0</v>
      </c>
      <c r="L40" s="31" t="s">
        <v>45</v>
      </c>
      <c r="M40" s="32"/>
      <c r="N40" s="191" t="str">
        <f>IF(L40="Default",INDEX('Default EF'!$E$13:$L$50,MATCH(B40,'Default EF'!$E$13:$E$50,0),5),M40)</f>
        <v>no carbon content</v>
      </c>
      <c r="O40" s="188" t="e">
        <f t="shared" si="1"/>
        <v>#VALUE!</v>
      </c>
      <c r="P40" s="188" t="e">
        <f t="shared" si="2"/>
        <v>#VALUE!</v>
      </c>
    </row>
    <row r="41" spans="2:16">
      <c r="B41" s="53" t="s">
        <v>71</v>
      </c>
      <c r="C41" s="534"/>
      <c r="D41" s="27" t="s">
        <v>44</v>
      </c>
      <c r="E41" s="30"/>
      <c r="F41" s="30"/>
      <c r="G41" s="188">
        <f t="shared" si="0"/>
        <v>0</v>
      </c>
      <c r="H41" s="31" t="s">
        <v>45</v>
      </c>
      <c r="I41" s="32"/>
      <c r="J41" s="191">
        <f>IF(H41="Default",INDEX('Default EF'!$E$13:$L$50,MATCH(B41,'Default EF'!$E$13:$E$50,0),3),I41)</f>
        <v>0.77573496000000008</v>
      </c>
      <c r="K41" s="188">
        <f t="shared" si="3"/>
        <v>0</v>
      </c>
      <c r="L41" s="31" t="s">
        <v>45</v>
      </c>
      <c r="M41" s="32"/>
      <c r="N41" s="191" t="str">
        <f>IF(L41="Default",INDEX('Default EF'!$E$13:$L$50,MATCH(B41,'Default EF'!$E$13:$E$50,0),5),M41)</f>
        <v>IAI-GHG Protocol Al sector tool, 2015 </v>
      </c>
      <c r="O41" s="188" t="e">
        <f t="shared" ref="O41" si="11">N41*G41</f>
        <v>#VALUE!</v>
      </c>
      <c r="P41" s="188" t="e">
        <f t="shared" ref="P41" si="12">K41+O41</f>
        <v>#VALUE!</v>
      </c>
    </row>
    <row r="42" spans="2:16">
      <c r="B42" s="51" t="s">
        <v>72</v>
      </c>
      <c r="C42" s="551" t="s">
        <v>73</v>
      </c>
      <c r="D42" s="28" t="s">
        <v>74</v>
      </c>
      <c r="E42" s="537" t="s">
        <v>75</v>
      </c>
      <c r="F42" s="538"/>
      <c r="G42" s="30"/>
      <c r="H42" s="31" t="s">
        <v>45</v>
      </c>
      <c r="I42" s="32"/>
      <c r="J42" s="191">
        <f>IF(H42="Default",INDEX('Default EF'!$E$13:$L$50,MATCH(B42,'Default EF'!$E$13:$E$50,0),3),I42)</f>
        <v>0.22163856000000001</v>
      </c>
      <c r="K42" s="188">
        <f t="shared" si="3"/>
        <v>0</v>
      </c>
      <c r="L42" s="509" t="s">
        <v>76</v>
      </c>
      <c r="M42" s="510"/>
      <c r="N42" s="510"/>
      <c r="O42" s="511"/>
      <c r="P42" s="188">
        <f t="shared" ref="P42:P46" si="13">K42+O42</f>
        <v>0</v>
      </c>
    </row>
    <row r="43" spans="2:16">
      <c r="B43" s="52" t="s">
        <v>77</v>
      </c>
      <c r="C43" s="530"/>
      <c r="D43" s="27" t="s">
        <v>78</v>
      </c>
      <c r="E43" s="539"/>
      <c r="F43" s="540"/>
      <c r="G43" s="30">
        <v>446</v>
      </c>
      <c r="H43" s="31" t="s">
        <v>45</v>
      </c>
      <c r="I43" s="32"/>
      <c r="J43" s="191">
        <f>IF(H43="Default",INDEX('Default EF'!$E$13:$L$50,MATCH(B43,'Default EF'!$E$13:$E$50,0),3),I43)</f>
        <v>0.23171304000000001</v>
      </c>
      <c r="K43" s="188">
        <f t="shared" si="3"/>
        <v>103.34401584</v>
      </c>
      <c r="L43" s="512"/>
      <c r="M43" s="513"/>
      <c r="N43" s="513"/>
      <c r="O43" s="514"/>
      <c r="P43" s="188">
        <f t="shared" si="13"/>
        <v>103.34401584</v>
      </c>
    </row>
    <row r="44" spans="2:16">
      <c r="B44" s="52" t="s">
        <v>79</v>
      </c>
      <c r="C44" s="530"/>
      <c r="D44" s="27" t="s">
        <v>78</v>
      </c>
      <c r="E44" s="539"/>
      <c r="F44" s="540"/>
      <c r="G44" s="30">
        <v>446</v>
      </c>
      <c r="H44" s="31" t="s">
        <v>45</v>
      </c>
      <c r="I44" s="32"/>
      <c r="J44" s="191">
        <f>IF(H44="Default",INDEX('Default EF'!$E$13:$L$50,MATCH(B44,'Default EF'!$E$13:$E$50,0),3),I44)</f>
        <v>3.60666384</v>
      </c>
      <c r="K44" s="188">
        <f t="shared" si="3"/>
        <v>1608.57207264</v>
      </c>
      <c r="L44" s="512"/>
      <c r="M44" s="513"/>
      <c r="N44" s="513"/>
      <c r="O44" s="514"/>
      <c r="P44" s="188">
        <f t="shared" si="13"/>
        <v>1608.57207264</v>
      </c>
    </row>
    <row r="45" spans="2:16">
      <c r="B45" s="52" t="s">
        <v>80</v>
      </c>
      <c r="C45" s="530"/>
      <c r="D45" s="27" t="s">
        <v>81</v>
      </c>
      <c r="E45" s="539"/>
      <c r="F45" s="540"/>
      <c r="G45" s="30"/>
      <c r="H45" s="31" t="s">
        <v>45</v>
      </c>
      <c r="I45" s="32"/>
      <c r="J45" s="191">
        <f>IF(H45="Default",INDEX('Default EF'!$E$13:$L$50,MATCH(B45,'Default EF'!$E$13:$E$50,0),3),I45)</f>
        <v>3.5159935199999999</v>
      </c>
      <c r="K45" s="188">
        <f t="shared" si="3"/>
        <v>0</v>
      </c>
      <c r="L45" s="512"/>
      <c r="M45" s="513"/>
      <c r="N45" s="513"/>
      <c r="O45" s="514"/>
      <c r="P45" s="188">
        <f t="shared" si="13"/>
        <v>0</v>
      </c>
    </row>
    <row r="46" spans="2:16">
      <c r="B46" s="53" t="s">
        <v>82</v>
      </c>
      <c r="C46" s="531"/>
      <c r="D46" s="27" t="s">
        <v>83</v>
      </c>
      <c r="E46" s="541"/>
      <c r="F46" s="542"/>
      <c r="G46" s="30">
        <v>1000</v>
      </c>
      <c r="H46" s="31" t="s">
        <v>45</v>
      </c>
      <c r="I46" s="32"/>
      <c r="J46" s="191">
        <f>IF(H46="Default",INDEX('Default EF'!$E$13:$L$50,MATCH(B46,'Default EF'!$E$13:$E$50,0),3),I46)</f>
        <v>0.1</v>
      </c>
      <c r="K46" s="188">
        <f t="shared" si="3"/>
        <v>100</v>
      </c>
      <c r="L46" s="515"/>
      <c r="M46" s="516"/>
      <c r="N46" s="516"/>
      <c r="O46" s="517"/>
      <c r="P46" s="188">
        <f t="shared" si="13"/>
        <v>100</v>
      </c>
    </row>
    <row r="47" spans="2:16" s="44" customFormat="1" ht="30.95" customHeight="1">
      <c r="B47" s="43" t="s">
        <v>84</v>
      </c>
      <c r="C47" s="530" t="s">
        <v>85</v>
      </c>
      <c r="D47" s="40" t="s">
        <v>86</v>
      </c>
      <c r="E47" s="59">
        <v>300</v>
      </c>
      <c r="F47" s="59">
        <v>150</v>
      </c>
      <c r="G47" s="190">
        <f t="shared" ref="G47" si="14">E47-F47</f>
        <v>150</v>
      </c>
      <c r="H47" s="509" t="s">
        <v>76</v>
      </c>
      <c r="I47" s="510"/>
      <c r="J47" s="510"/>
      <c r="K47" s="511"/>
      <c r="L47" s="60" t="s">
        <v>87</v>
      </c>
      <c r="M47" s="58">
        <v>0.5</v>
      </c>
      <c r="N47" s="196">
        <f>M47</f>
        <v>0.5</v>
      </c>
      <c r="O47" s="190">
        <f>M47*G47</f>
        <v>75</v>
      </c>
      <c r="P47" s="190">
        <f>K47+O47</f>
        <v>75</v>
      </c>
    </row>
    <row r="48" spans="2:16">
      <c r="B48" s="544" t="s">
        <v>88</v>
      </c>
      <c r="C48" s="530"/>
      <c r="D48" s="551" t="s">
        <v>86</v>
      </c>
      <c r="E48" s="549">
        <v>1000</v>
      </c>
      <c r="F48" s="549">
        <v>0</v>
      </c>
      <c r="G48" s="524">
        <f>E48-F48</f>
        <v>1000</v>
      </c>
      <c r="H48" s="512"/>
      <c r="I48" s="513"/>
      <c r="J48" s="513"/>
      <c r="K48" s="514"/>
      <c r="L48" s="58" t="s">
        <v>89</v>
      </c>
      <c r="M48" s="554">
        <v>0.12</v>
      </c>
      <c r="N48" s="556">
        <f>M48</f>
        <v>0.12</v>
      </c>
      <c r="O48" s="524">
        <f>M48*G48</f>
        <v>120</v>
      </c>
      <c r="P48" s="524">
        <f>K49+O48</f>
        <v>120</v>
      </c>
    </row>
    <row r="49" spans="2:16">
      <c r="B49" s="545"/>
      <c r="C49" s="531"/>
      <c r="D49" s="531"/>
      <c r="E49" s="550"/>
      <c r="F49" s="550"/>
      <c r="G49" s="525"/>
      <c r="H49" s="515"/>
      <c r="I49" s="516"/>
      <c r="J49" s="516"/>
      <c r="K49" s="517"/>
      <c r="L49" s="58" t="s">
        <v>90</v>
      </c>
      <c r="M49" s="555"/>
      <c r="N49" s="556"/>
      <c r="O49" s="525"/>
      <c r="P49" s="525"/>
    </row>
    <row r="50" spans="2:16" s="44" customFormat="1" ht="27.95" customHeight="1">
      <c r="B50" s="43" t="s">
        <v>91</v>
      </c>
      <c r="C50" s="553" t="s">
        <v>92</v>
      </c>
      <c r="D50" s="40" t="s">
        <v>86</v>
      </c>
      <c r="E50" s="59"/>
      <c r="F50" s="59"/>
      <c r="G50" s="190">
        <f t="shared" ref="G50:G52" si="15">E50-F50</f>
        <v>0</v>
      </c>
      <c r="H50" s="60" t="s">
        <v>87</v>
      </c>
      <c r="I50" s="32"/>
      <c r="J50" s="196">
        <f>I50</f>
        <v>0</v>
      </c>
      <c r="K50" s="188">
        <f>G50*J50</f>
        <v>0</v>
      </c>
      <c r="L50" s="552" t="s">
        <v>76</v>
      </c>
      <c r="M50" s="552"/>
      <c r="N50" s="552"/>
      <c r="O50" s="552"/>
      <c r="P50" s="190">
        <f>K50+O50</f>
        <v>0</v>
      </c>
    </row>
    <row r="51" spans="2:16" s="44" customFormat="1" ht="27.95" customHeight="1">
      <c r="B51" s="43" t="s">
        <v>93</v>
      </c>
      <c r="C51" s="553"/>
      <c r="D51" s="40" t="s">
        <v>86</v>
      </c>
      <c r="E51" s="59"/>
      <c r="F51" s="59"/>
      <c r="G51" s="190">
        <f t="shared" si="15"/>
        <v>0</v>
      </c>
      <c r="H51" s="60" t="s">
        <v>87</v>
      </c>
      <c r="I51" s="32"/>
      <c r="J51" s="196">
        <f>I51</f>
        <v>0</v>
      </c>
      <c r="K51" s="188">
        <f t="shared" ref="K51:K52" si="16">G51*J51</f>
        <v>0</v>
      </c>
      <c r="L51" s="552" t="s">
        <v>76</v>
      </c>
      <c r="M51" s="552"/>
      <c r="N51" s="552"/>
      <c r="O51" s="552"/>
      <c r="P51" s="190">
        <f>K51+O51</f>
        <v>0</v>
      </c>
    </row>
    <row r="52" spans="2:16" s="44" customFormat="1" ht="26.25" customHeight="1">
      <c r="B52" s="43" t="s">
        <v>94</v>
      </c>
      <c r="C52" s="553"/>
      <c r="D52" s="40" t="s">
        <v>86</v>
      </c>
      <c r="E52" s="59"/>
      <c r="F52" s="59"/>
      <c r="G52" s="190">
        <f t="shared" si="15"/>
        <v>0</v>
      </c>
      <c r="H52" s="60" t="s">
        <v>87</v>
      </c>
      <c r="I52" s="32"/>
      <c r="J52" s="196">
        <f>I52</f>
        <v>0</v>
      </c>
      <c r="K52" s="188">
        <f t="shared" si="16"/>
        <v>0</v>
      </c>
      <c r="L52" s="552" t="s">
        <v>76</v>
      </c>
      <c r="M52" s="552"/>
      <c r="N52" s="552"/>
      <c r="O52" s="552"/>
      <c r="P52" s="190">
        <f>K52+O52</f>
        <v>0</v>
      </c>
    </row>
    <row r="53" spans="2:16" s="44" customFormat="1">
      <c r="C53" s="119"/>
      <c r="D53" s="38"/>
      <c r="E53" s="72"/>
      <c r="F53" s="72"/>
      <c r="G53" s="72"/>
      <c r="H53" s="120"/>
      <c r="I53"/>
      <c r="J53" s="38"/>
      <c r="K53" s="12"/>
      <c r="L53" s="38"/>
      <c r="M53" s="38"/>
      <c r="N53" s="38"/>
      <c r="O53" s="38"/>
      <c r="P53" s="72"/>
    </row>
    <row r="54" spans="2:16" s="44" customFormat="1" ht="26.25" customHeight="1">
      <c r="B54" s="132" t="s">
        <v>95</v>
      </c>
      <c r="C54" s="119"/>
      <c r="D54" s="38"/>
      <c r="E54" s="72"/>
      <c r="F54" s="72"/>
      <c r="G54" s="72"/>
      <c r="H54" s="120"/>
      <c r="I54"/>
      <c r="J54" s="38"/>
      <c r="K54" s="12"/>
      <c r="L54" s="38"/>
      <c r="M54" s="38"/>
      <c r="N54" s="38"/>
      <c r="O54" s="38"/>
      <c r="P54" s="72"/>
    </row>
    <row r="55" spans="2:16" s="44" customFormat="1" ht="29.45">
      <c r="B55" s="129" t="s">
        <v>96</v>
      </c>
      <c r="C55" s="129" t="s">
        <v>30</v>
      </c>
      <c r="D55" s="129" t="s">
        <v>97</v>
      </c>
      <c r="E55" s="129" t="s">
        <v>98</v>
      </c>
      <c r="F55" s="130" t="s">
        <v>99</v>
      </c>
      <c r="G55" s="131" t="s">
        <v>100</v>
      </c>
      <c r="H55" s="131" t="s">
        <v>27</v>
      </c>
      <c r="J55" s="38"/>
      <c r="K55" s="72"/>
      <c r="L55" s="38"/>
      <c r="M55" s="38"/>
      <c r="N55" s="38"/>
      <c r="O55" s="38"/>
      <c r="P55" s="72"/>
    </row>
    <row r="56" spans="2:16" s="44" customFormat="1" ht="15.95">
      <c r="B56" s="121" t="s">
        <v>101</v>
      </c>
      <c r="C56" s="121" t="s">
        <v>102</v>
      </c>
      <c r="D56" s="123">
        <v>100</v>
      </c>
      <c r="E56" s="122" t="s">
        <v>45</v>
      </c>
      <c r="F56" s="124"/>
      <c r="G56" s="197">
        <f>IF(E56="Default",INDEX('Default EF'!$E$3:$I$7,MATCH(B56,'Default EF'!$E$3:$E$7,0),3),F56)</f>
        <v>3.0960000000000001</v>
      </c>
      <c r="H56" s="198">
        <f>G56*D56</f>
        <v>309.60000000000002</v>
      </c>
      <c r="I56"/>
      <c r="J56" s="38"/>
      <c r="K56" s="12"/>
      <c r="L56" s="38"/>
      <c r="M56" s="38"/>
      <c r="N56" s="38"/>
      <c r="O56" s="38"/>
      <c r="P56" s="72"/>
    </row>
    <row r="57" spans="2:16" s="44" customFormat="1" ht="15.95">
      <c r="B57" s="121" t="s">
        <v>103</v>
      </c>
      <c r="C57" s="121" t="s">
        <v>102</v>
      </c>
      <c r="D57" s="123"/>
      <c r="E57" s="122" t="s">
        <v>45</v>
      </c>
      <c r="F57" s="124"/>
      <c r="G57" s="197">
        <f>IF(E57="Default",INDEX('Default EF'!$E$3:$I$7,MATCH(B57,'Default EF'!$E$3:$E$7,0),3),F57)</f>
        <v>15.048</v>
      </c>
      <c r="H57" s="198">
        <f t="shared" ref="H57:H59" si="17">G57*D57</f>
        <v>0</v>
      </c>
      <c r="I57"/>
      <c r="J57" s="38"/>
      <c r="K57" s="12"/>
      <c r="L57" s="38"/>
      <c r="M57" s="38"/>
      <c r="N57" s="38"/>
      <c r="O57" s="38"/>
      <c r="P57" s="72"/>
    </row>
    <row r="58" spans="2:16" s="44" customFormat="1" ht="15.95">
      <c r="B58" s="121" t="s">
        <v>104</v>
      </c>
      <c r="C58" s="121" t="s">
        <v>102</v>
      </c>
      <c r="D58" s="123"/>
      <c r="E58" s="122" t="s">
        <v>45</v>
      </c>
      <c r="F58" s="124"/>
      <c r="G58" s="197">
        <f>IF(E58="Default",INDEX('Default EF'!$E$3:$I$7,MATCH(B58,'Default EF'!$E$3:$E$7,0),3),F58)</f>
        <v>5.7480000000000002</v>
      </c>
      <c r="H58" s="198">
        <f t="shared" si="17"/>
        <v>0</v>
      </c>
      <c r="I58"/>
      <c r="J58" s="38"/>
      <c r="K58" s="12"/>
      <c r="L58" s="38"/>
      <c r="M58" s="38"/>
      <c r="N58" s="38"/>
      <c r="O58" s="38"/>
      <c r="P58" s="72"/>
    </row>
    <row r="59" spans="2:16" s="44" customFormat="1" ht="15.95">
      <c r="B59" s="121" t="s">
        <v>105</v>
      </c>
      <c r="C59" s="121" t="s">
        <v>102</v>
      </c>
      <c r="D59" s="123"/>
      <c r="E59" s="122" t="s">
        <v>45</v>
      </c>
      <c r="F59" s="124"/>
      <c r="G59" s="197">
        <f>IF(E59="Default",INDEX('Default EF'!$E$3:$I$7,MATCH(B59,'Default EF'!$E$3:$E$7,0),3),F59)</f>
        <v>2.9849999999999999</v>
      </c>
      <c r="H59" s="198">
        <f t="shared" si="17"/>
        <v>0</v>
      </c>
      <c r="I59"/>
      <c r="J59" s="38"/>
      <c r="K59" s="12"/>
      <c r="L59" s="38"/>
      <c r="M59" s="38"/>
      <c r="N59" s="38"/>
      <c r="O59" s="38"/>
      <c r="P59" s="72"/>
    </row>
    <row r="60" spans="2:16" ht="18.600000000000001">
      <c r="I60" s="69"/>
    </row>
    <row r="61" spans="2:16" s="69" customFormat="1" ht="18.600000000000001">
      <c r="B61" s="68" t="s">
        <v>106</v>
      </c>
      <c r="J61" s="66"/>
      <c r="N61" s="66"/>
    </row>
    <row r="62" spans="2:16" s="69" customFormat="1" ht="18.600000000000001">
      <c r="B62" s="68"/>
      <c r="J62" s="66"/>
      <c r="N62" s="66"/>
    </row>
    <row r="63" spans="2:16">
      <c r="B63" s="522" t="s">
        <v>23</v>
      </c>
      <c r="C63" s="522"/>
      <c r="D63" s="522"/>
      <c r="E63" s="523" t="s">
        <v>24</v>
      </c>
      <c r="F63" s="523"/>
      <c r="G63" s="523"/>
      <c r="H63" s="526" t="s">
        <v>107</v>
      </c>
      <c r="I63" s="523"/>
      <c r="J63" s="527"/>
      <c r="K63" s="523"/>
      <c r="L63" s="526" t="s">
        <v>108</v>
      </c>
      <c r="M63" s="523"/>
      <c r="N63" s="523"/>
      <c r="O63" s="523"/>
      <c r="P63" s="528" t="s">
        <v>27</v>
      </c>
    </row>
    <row r="64" spans="2:16" ht="44.25">
      <c r="B64" s="127" t="s">
        <v>28</v>
      </c>
      <c r="C64" s="128" t="s">
        <v>29</v>
      </c>
      <c r="D64" s="128" t="s">
        <v>30</v>
      </c>
      <c r="E64" s="126" t="s">
        <v>31</v>
      </c>
      <c r="F64" s="126" t="s">
        <v>32</v>
      </c>
      <c r="G64" s="126" t="s">
        <v>33</v>
      </c>
      <c r="H64" s="126" t="s">
        <v>34</v>
      </c>
      <c r="I64" s="125" t="s">
        <v>35</v>
      </c>
      <c r="J64" s="187" t="s">
        <v>36</v>
      </c>
      <c r="K64" s="126" t="s">
        <v>37</v>
      </c>
      <c r="L64" s="126" t="s">
        <v>38</v>
      </c>
      <c r="M64" s="126" t="s">
        <v>39</v>
      </c>
      <c r="N64" s="126" t="s">
        <v>40</v>
      </c>
      <c r="O64" s="125" t="s">
        <v>41</v>
      </c>
      <c r="P64" s="529"/>
    </row>
    <row r="65" spans="2:16" ht="15" customHeight="1">
      <c r="B65" s="50" t="s">
        <v>109</v>
      </c>
      <c r="C65" s="518" t="s">
        <v>110</v>
      </c>
      <c r="D65" s="27" t="s">
        <v>44</v>
      </c>
      <c r="E65" s="30">
        <f>263+376+309</f>
        <v>948</v>
      </c>
      <c r="F65" s="30"/>
      <c r="G65" s="188">
        <f>E65-F65</f>
        <v>948</v>
      </c>
      <c r="H65" s="31" t="s">
        <v>45</v>
      </c>
      <c r="I65" s="32"/>
      <c r="J65" s="192">
        <f>IF(H65="Default",INDEX('Default EF'!$E$13:$L$50,MATCH(B65,'Default EF'!$E$13:$E$50,0),3),I65)</f>
        <v>0</v>
      </c>
      <c r="K65" s="188">
        <f t="shared" ref="K65" si="18">G65*J65</f>
        <v>0</v>
      </c>
      <c r="L65" s="31" t="s">
        <v>45</v>
      </c>
      <c r="M65" s="32"/>
      <c r="N65" s="201" t="str">
        <f>IF(L65="Default",INDEX('Default EF'!$E$13:$L$50,MATCH(B65,'Default EF'!$E$13:$E$50,0),5),M65)</f>
        <v>no carbon content</v>
      </c>
      <c r="O65" s="188" t="e">
        <f>N65*G65</f>
        <v>#VALUE!</v>
      </c>
      <c r="P65" s="188" t="e">
        <f t="shared" ref="P65" si="19">K65+O65</f>
        <v>#VALUE!</v>
      </c>
    </row>
    <row r="66" spans="2:16">
      <c r="B66" s="42" t="s">
        <v>111</v>
      </c>
      <c r="C66" s="519"/>
      <c r="D66" s="27" t="s">
        <v>44</v>
      </c>
      <c r="E66" s="30"/>
      <c r="F66" s="30"/>
      <c r="G66" s="188">
        <f>E66-F66</f>
        <v>0</v>
      </c>
      <c r="H66" s="31" t="s">
        <v>45</v>
      </c>
      <c r="I66" s="32"/>
      <c r="J66" s="192">
        <f>IF(H66="Default",INDEX('Default EF'!$E$13:$L$50,MATCH(B66,'Default EF'!$E$13:$E$50,0),3),I66)</f>
        <v>0</v>
      </c>
      <c r="K66" s="188">
        <f t="shared" ref="K66:K68" si="20">G66*J66</f>
        <v>0</v>
      </c>
      <c r="L66" s="31" t="s">
        <v>45</v>
      </c>
      <c r="M66" s="32"/>
      <c r="N66" s="202" t="str">
        <f>IF(L66="Default",INDEX('Default EF'!$E$13:$L$50,MATCH(B66,'Default EF'!$E$13:$E$50,0),5),M66)</f>
        <v>no carbon content</v>
      </c>
      <c r="O66" s="188" t="e">
        <f t="shared" ref="O66:O79" si="21">N66*G66</f>
        <v>#VALUE!</v>
      </c>
      <c r="P66" s="188" t="e">
        <f t="shared" ref="P66:P67" si="22">K66+O66</f>
        <v>#VALUE!</v>
      </c>
    </row>
    <row r="67" spans="2:16">
      <c r="B67" s="42" t="s">
        <v>59</v>
      </c>
      <c r="C67" s="519"/>
      <c r="D67" s="27" t="s">
        <v>44</v>
      </c>
      <c r="E67" s="30">
        <v>55.5</v>
      </c>
      <c r="F67" s="30"/>
      <c r="G67" s="188">
        <f>E67-F67</f>
        <v>55.5</v>
      </c>
      <c r="H67" s="31" t="s">
        <v>45</v>
      </c>
      <c r="I67" s="32"/>
      <c r="J67" s="192">
        <f>IF(H67="Default",INDEX('Default EF'!$E$13:$L$50,MATCH(B67,'Default EF'!$E$13:$E$50,0),3),I67)</f>
        <v>0</v>
      </c>
      <c r="K67" s="188">
        <f t="shared" si="20"/>
        <v>0</v>
      </c>
      <c r="L67" s="31" t="s">
        <v>45</v>
      </c>
      <c r="M67" s="32"/>
      <c r="N67" s="202" t="str">
        <f>IF(L67="Default",INDEX('Default EF'!$E$13:$L$50,MATCH(B67,'Default EF'!$E$13:$E$50,0),5),M67)</f>
        <v>no carbon content</v>
      </c>
      <c r="O67" s="188" t="e">
        <f>N67*G67</f>
        <v>#VALUE!</v>
      </c>
      <c r="P67" s="188" t="e">
        <f t="shared" si="22"/>
        <v>#VALUE!</v>
      </c>
    </row>
    <row r="68" spans="2:16" s="65" customFormat="1">
      <c r="B68" s="168" t="s">
        <v>112</v>
      </c>
      <c r="C68" s="520"/>
      <c r="D68" s="61" t="s">
        <v>44</v>
      </c>
      <c r="E68" s="62"/>
      <c r="F68" s="62"/>
      <c r="G68" s="204">
        <f>E68-F68</f>
        <v>0</v>
      </c>
      <c r="H68" s="63" t="s">
        <v>113</v>
      </c>
      <c r="I68" s="64"/>
      <c r="J68" s="192">
        <f>IF(H68="Default",INDEX('Default EF'!$E$13:$L$50,MATCH(B68,'Default EF'!$E$13:$E$50,0),3),I68)</f>
        <v>0</v>
      </c>
      <c r="K68" s="204">
        <f t="shared" si="20"/>
        <v>0</v>
      </c>
      <c r="L68" s="63" t="s">
        <v>113</v>
      </c>
      <c r="M68" s="64"/>
      <c r="N68" s="203" t="str">
        <f>IF(M68="","",M68)</f>
        <v/>
      </c>
      <c r="O68" s="188" t="e">
        <f>N68*G68</f>
        <v>#VALUE!</v>
      </c>
      <c r="P68" s="204">
        <f>IFERROR(0,K68+O68)</f>
        <v>0</v>
      </c>
    </row>
    <row r="69" spans="2:16" ht="16.5" customHeight="1">
      <c r="B69" s="42" t="s">
        <v>42</v>
      </c>
      <c r="C69" s="518" t="s">
        <v>43</v>
      </c>
      <c r="D69" s="27" t="s">
        <v>44</v>
      </c>
      <c r="E69" s="30"/>
      <c r="F69" s="30"/>
      <c r="G69" s="188">
        <f t="shared" ref="G69:G77" si="23">E69-F69</f>
        <v>0</v>
      </c>
      <c r="H69" s="31" t="s">
        <v>45</v>
      </c>
      <c r="I69" s="32"/>
      <c r="J69" s="191">
        <f>IF(H69="Default",INDEX('Default EF'!$E$13:$L$50,MATCH(B69,'Default EF'!$E$13:$E$50,0),3),I69)</f>
        <v>2.6868254999999999</v>
      </c>
      <c r="K69" s="188">
        <f>G69*J69</f>
        <v>0</v>
      </c>
      <c r="L69" s="31" t="s">
        <v>45</v>
      </c>
      <c r="M69" s="32"/>
      <c r="N69" s="202" t="str">
        <f>IF(L69="Default",INDEX('Default EF'!$E$13:$L$50,MATCH(B69,'Default EF'!$E$13:$E$50,0),5),M69)</f>
        <v>IPCC, 2019 with IPCC, AR5 100yr GWP</v>
      </c>
      <c r="O69" s="188" t="e">
        <f>N69*G69</f>
        <v>#VALUE!</v>
      </c>
      <c r="P69" s="188" t="e">
        <f t="shared" ref="P69:P76" si="24">K69+O69</f>
        <v>#VALUE!</v>
      </c>
    </row>
    <row r="70" spans="2:16">
      <c r="B70" s="42" t="s">
        <v>46</v>
      </c>
      <c r="C70" s="519"/>
      <c r="D70" s="27" t="s">
        <v>44</v>
      </c>
      <c r="E70" s="30"/>
      <c r="F70" s="30"/>
      <c r="G70" s="188">
        <f t="shared" si="23"/>
        <v>0</v>
      </c>
      <c r="H70" s="31" t="s">
        <v>45</v>
      </c>
      <c r="I70" s="32"/>
      <c r="J70" s="191">
        <f>IF(H70="Default",INDEX('Default EF'!$E$13:$L$50,MATCH(B70,'Default EF'!$E$13:$E$50,0),3),I70)</f>
        <v>2.6426992500000002</v>
      </c>
      <c r="K70" s="188">
        <f t="shared" ref="K70:K77" si="25">G70*J70</f>
        <v>0</v>
      </c>
      <c r="L70" s="31" t="s">
        <v>45</v>
      </c>
      <c r="M70" s="32"/>
      <c r="N70" s="202" t="str">
        <f>IF(L70="Default",INDEX('Default EF'!$E$13:$L$50,MATCH(B70,'Default EF'!$E$13:$E$50,0),5),M70)</f>
        <v>IPCC, 2006 with IPCC, AR5 100yr GWP</v>
      </c>
      <c r="O70" s="188" t="e">
        <f t="shared" si="21"/>
        <v>#VALUE!</v>
      </c>
      <c r="P70" s="188" t="e">
        <f t="shared" si="24"/>
        <v>#VALUE!</v>
      </c>
    </row>
    <row r="71" spans="2:16">
      <c r="B71" s="42" t="s">
        <v>47</v>
      </c>
      <c r="C71" s="519"/>
      <c r="D71" s="27" t="s">
        <v>44</v>
      </c>
      <c r="E71" s="30"/>
      <c r="F71" s="30"/>
      <c r="G71" s="188">
        <f t="shared" si="23"/>
        <v>0</v>
      </c>
      <c r="H71" s="31" t="s">
        <v>45</v>
      </c>
      <c r="I71" s="32"/>
      <c r="J71" s="191">
        <f>IF(H71="Default",INDEX('Default EF'!$E$13:$L$50,MATCH(B71,'Default EF'!$E$13:$E$50,0),3),I71)</f>
        <v>2.4581595000000003</v>
      </c>
      <c r="K71" s="188">
        <f t="shared" si="25"/>
        <v>0</v>
      </c>
      <c r="L71" s="31" t="s">
        <v>45</v>
      </c>
      <c r="M71" s="32"/>
      <c r="N71" s="202" t="str">
        <f>IF(L71="Default",INDEX('Default EF'!$E$13:$L$50,MATCH(B71,'Default EF'!$E$13:$E$50,0),5),M71)</f>
        <v>IPCC, 2006 with IPCC, AR5 100yr GWP</v>
      </c>
      <c r="O71" s="188" t="e">
        <f t="shared" si="21"/>
        <v>#VALUE!</v>
      </c>
      <c r="P71" s="188" t="e">
        <f t="shared" si="24"/>
        <v>#VALUE!</v>
      </c>
    </row>
    <row r="72" spans="2:16">
      <c r="B72" s="42" t="s">
        <v>48</v>
      </c>
      <c r="C72" s="519"/>
      <c r="D72" s="27" t="s">
        <v>44</v>
      </c>
      <c r="E72" s="30"/>
      <c r="F72" s="30"/>
      <c r="G72" s="188">
        <f t="shared" si="23"/>
        <v>0</v>
      </c>
      <c r="H72" s="31" t="s">
        <v>45</v>
      </c>
      <c r="I72" s="32"/>
      <c r="J72" s="191">
        <f>IF(H72="Default",INDEX('Default EF'!$E$13:$L$50,MATCH(B72,'Default EF'!$E$13:$E$50,0),3),I72)</f>
        <v>1.8290947499999997</v>
      </c>
      <c r="K72" s="188">
        <f t="shared" si="25"/>
        <v>0</v>
      </c>
      <c r="L72" s="31" t="s">
        <v>45</v>
      </c>
      <c r="M72" s="32"/>
      <c r="N72" s="202" t="str">
        <f>IF(L72="Default",INDEX('Default EF'!$E$13:$L$50,MATCH(B72,'Default EF'!$E$13:$E$50,0),5),M72)</f>
        <v>IPCC, 2006 with IPCC, AR5 100yr GWP</v>
      </c>
      <c r="O72" s="188" t="e">
        <f t="shared" si="21"/>
        <v>#VALUE!</v>
      </c>
      <c r="P72" s="188" t="e">
        <f t="shared" si="24"/>
        <v>#VALUE!</v>
      </c>
    </row>
    <row r="73" spans="2:16">
      <c r="B73" s="166" t="s">
        <v>49</v>
      </c>
      <c r="C73" s="520"/>
      <c r="D73" s="27" t="s">
        <v>44</v>
      </c>
      <c r="E73" s="30"/>
      <c r="F73" s="30"/>
      <c r="G73" s="188">
        <f t="shared" si="23"/>
        <v>0</v>
      </c>
      <c r="H73" s="31" t="s">
        <v>45</v>
      </c>
      <c r="I73" s="32"/>
      <c r="J73" s="191">
        <f>IF(H73="Default",INDEX('Default EF'!$E$13:$L$50,MATCH(B73,'Default EF'!$E$13:$E$50,0),3),I73)</f>
        <v>1.2099622500000002</v>
      </c>
      <c r="K73" s="188">
        <f>G73*J73</f>
        <v>0</v>
      </c>
      <c r="L73" s="31" t="s">
        <v>45</v>
      </c>
      <c r="M73" s="32"/>
      <c r="N73" s="202" t="str">
        <f>IF(L73="Default",INDEX('Default EF'!$E$13:$L$50,MATCH(B73,'Default EF'!$E$13:$E$50,0),5),M73)</f>
        <v>IPCC, 2006 with IPCC, AR5 100yr GWP</v>
      </c>
      <c r="O73" s="188" t="e">
        <f t="shared" si="21"/>
        <v>#VALUE!</v>
      </c>
      <c r="P73" s="188" t="e">
        <f t="shared" si="24"/>
        <v>#VALUE!</v>
      </c>
    </row>
    <row r="74" spans="2:16">
      <c r="B74" s="50" t="s">
        <v>50</v>
      </c>
      <c r="C74" s="521" t="s">
        <v>51</v>
      </c>
      <c r="D74" s="27" t="s">
        <v>44</v>
      </c>
      <c r="E74" s="30"/>
      <c r="F74" s="30"/>
      <c r="G74" s="188">
        <f t="shared" si="23"/>
        <v>0</v>
      </c>
      <c r="H74" s="31" t="s">
        <v>45</v>
      </c>
      <c r="I74" s="32"/>
      <c r="J74" s="191">
        <f>IF(H74="Default",INDEX('Default EF'!$E$13:$L$50,MATCH(B74,'Default EF'!$E$13:$E$50,0),3),I74)</f>
        <v>2.9487799999999998E-3</v>
      </c>
      <c r="K74" s="188">
        <f t="shared" si="25"/>
        <v>0</v>
      </c>
      <c r="L74" s="31" t="s">
        <v>45</v>
      </c>
      <c r="M74" s="32"/>
      <c r="N74" s="202" t="str">
        <f>IF(L74="Default",INDEX('Default EF'!$E$13:$L$50,MATCH(B74,'Default EF'!$E$13:$E$50,0),5),M74)</f>
        <v>IPCC, 2006 with IPCC, AR5 100yr GWP</v>
      </c>
      <c r="O74" s="188" t="e">
        <f t="shared" si="21"/>
        <v>#VALUE!</v>
      </c>
      <c r="P74" s="188" t="e">
        <f t="shared" si="24"/>
        <v>#VALUE!</v>
      </c>
    </row>
    <row r="75" spans="2:16">
      <c r="B75" s="167" t="s">
        <v>52</v>
      </c>
      <c r="C75" s="521"/>
      <c r="D75" s="27" t="s">
        <v>44</v>
      </c>
      <c r="E75" s="30"/>
      <c r="F75" s="30"/>
      <c r="G75" s="188">
        <f t="shared" si="23"/>
        <v>0</v>
      </c>
      <c r="H75" s="31" t="s">
        <v>45</v>
      </c>
      <c r="I75" s="32"/>
      <c r="J75" s="191">
        <f>IF(H75="Default",INDEX('Default EF'!$E$13:$L$50,MATCH(B75,'Default EF'!$E$13:$E$50,0),3),I75)</f>
        <v>2.6854800000000001E-3</v>
      </c>
      <c r="K75" s="188">
        <f t="shared" si="25"/>
        <v>0</v>
      </c>
      <c r="L75" s="31" t="s">
        <v>45</v>
      </c>
      <c r="M75" s="32"/>
      <c r="N75" s="202" t="str">
        <f>IF(L75="Default",INDEX('Default EF'!$E$13:$L$50,MATCH(B75,'Default EF'!$E$13:$E$50,0),5),M75)</f>
        <v>IPCC, 2006 with IPCC, AR5 100yr GWP</v>
      </c>
      <c r="O75" s="188" t="e">
        <f t="shared" si="21"/>
        <v>#VALUE!</v>
      </c>
      <c r="P75" s="188" t="e">
        <f t="shared" si="24"/>
        <v>#VALUE!</v>
      </c>
    </row>
    <row r="76" spans="2:16">
      <c r="B76" s="42" t="s">
        <v>53</v>
      </c>
      <c r="C76" s="521"/>
      <c r="D76" s="27" t="s">
        <v>44</v>
      </c>
      <c r="E76" s="30"/>
      <c r="F76" s="30"/>
      <c r="G76" s="188">
        <f t="shared" si="23"/>
        <v>0</v>
      </c>
      <c r="H76" s="31" t="s">
        <v>45</v>
      </c>
      <c r="I76" s="32"/>
      <c r="J76" s="191">
        <f>IF(H76="Default",INDEX('Default EF'!$E$13:$L$50,MATCH(B76,'Default EF'!$E$13:$E$50,0),3),I76)</f>
        <v>1.6159529430000001E-3</v>
      </c>
      <c r="K76" s="188">
        <f t="shared" si="25"/>
        <v>0</v>
      </c>
      <c r="L76" s="31" t="s">
        <v>45</v>
      </c>
      <c r="M76" s="32"/>
      <c r="N76" s="202" t="str">
        <f>IF(L76="Default",INDEX('Default EF'!$E$13:$L$50,MATCH(B76,'Default EF'!$E$13:$E$50,0),5),M76)</f>
        <v>IPCC, 2006 with IPCC, AR5 100yr GWP</v>
      </c>
      <c r="O76" s="188" t="e">
        <f t="shared" si="21"/>
        <v>#VALUE!</v>
      </c>
      <c r="P76" s="188" t="e">
        <f t="shared" si="24"/>
        <v>#VALUE!</v>
      </c>
    </row>
    <row r="77" spans="2:16">
      <c r="B77" s="166" t="s">
        <v>54</v>
      </c>
      <c r="C77" s="518"/>
      <c r="D77" s="27" t="s">
        <v>44</v>
      </c>
      <c r="E77" s="30"/>
      <c r="F77" s="30"/>
      <c r="G77" s="188">
        <f t="shared" si="23"/>
        <v>0</v>
      </c>
      <c r="H77" s="31" t="s">
        <v>45</v>
      </c>
      <c r="I77" s="32"/>
      <c r="J77" s="191">
        <f>IF(H77="Default",INDEX('Default EF'!$E$13:$L$50,MATCH(B77,'Default EF'!$E$13:$E$50,0),3),I77)</f>
        <v>2.2102717812691286E-3</v>
      </c>
      <c r="K77" s="188">
        <f t="shared" si="25"/>
        <v>0</v>
      </c>
      <c r="L77" s="31" t="s">
        <v>45</v>
      </c>
      <c r="M77" s="32"/>
      <c r="N77" s="202" t="str">
        <f>IF(L77="Default",INDEX('Default EF'!$E$13:$L$50,MATCH(B77,'Default EF'!$E$13:$E$50,0),5),M77)</f>
        <v>IPCC, 2006 with IPCC, AR5 100yr GWP</v>
      </c>
      <c r="O77" s="188" t="e">
        <f t="shared" si="21"/>
        <v>#VALUE!</v>
      </c>
      <c r="P77" s="188" t="e">
        <f>K77+O77</f>
        <v>#VALUE!</v>
      </c>
    </row>
    <row r="78" spans="2:16">
      <c r="B78" s="29" t="s">
        <v>114</v>
      </c>
      <c r="C78" s="39" t="s">
        <v>115</v>
      </c>
      <c r="D78" s="27" t="s">
        <v>44</v>
      </c>
      <c r="E78" s="535" t="s">
        <v>75</v>
      </c>
      <c r="F78" s="536"/>
      <c r="G78" s="30"/>
      <c r="H78" s="31" t="s">
        <v>45</v>
      </c>
      <c r="I78" s="32"/>
      <c r="J78" s="191">
        <f>IF(H78="Default",INDEX('Default EF'!$E$13:$L$50,MATCH(B78,'Default EF'!$E$13:$E$50,0),3),I78)</f>
        <v>0.48</v>
      </c>
      <c r="K78" s="188">
        <f t="shared" ref="K78" si="26">G78*J78</f>
        <v>0</v>
      </c>
      <c r="L78" s="546" t="s">
        <v>76</v>
      </c>
      <c r="M78" s="547"/>
      <c r="N78" s="547"/>
      <c r="O78" s="547"/>
      <c r="P78" s="548"/>
    </row>
    <row r="79" spans="2:16" s="44" customFormat="1" ht="30.95" customHeight="1">
      <c r="B79" s="43" t="s">
        <v>84</v>
      </c>
      <c r="C79" s="530" t="s">
        <v>85</v>
      </c>
      <c r="D79" s="40" t="s">
        <v>86</v>
      </c>
      <c r="E79" s="59">
        <v>300</v>
      </c>
      <c r="F79" s="59">
        <v>150</v>
      </c>
      <c r="G79" s="190">
        <f t="shared" ref="G79" si="27">E79-F79</f>
        <v>150</v>
      </c>
      <c r="H79" s="509" t="s">
        <v>76</v>
      </c>
      <c r="I79" s="510"/>
      <c r="J79" s="510"/>
      <c r="K79" s="511"/>
      <c r="L79" s="60" t="s">
        <v>87</v>
      </c>
      <c r="M79" s="58">
        <v>0.5</v>
      </c>
      <c r="N79" s="196">
        <f>M79</f>
        <v>0.5</v>
      </c>
      <c r="O79" s="188">
        <f t="shared" si="21"/>
        <v>75</v>
      </c>
      <c r="P79" s="190">
        <f>K79+O79</f>
        <v>75</v>
      </c>
    </row>
    <row r="80" spans="2:16">
      <c r="B80" s="544" t="s">
        <v>88</v>
      </c>
      <c r="C80" s="530"/>
      <c r="D80" s="551" t="s">
        <v>86</v>
      </c>
      <c r="E80" s="549">
        <v>1000</v>
      </c>
      <c r="F80" s="549">
        <v>0</v>
      </c>
      <c r="G80" s="524">
        <f>E80-F80</f>
        <v>1000</v>
      </c>
      <c r="H80" s="512"/>
      <c r="I80" s="513"/>
      <c r="J80" s="513"/>
      <c r="K80" s="514"/>
      <c r="L80" s="58" t="s">
        <v>89</v>
      </c>
      <c r="M80" s="554">
        <v>0.12</v>
      </c>
      <c r="N80" s="556">
        <f>M80</f>
        <v>0.12</v>
      </c>
      <c r="O80" s="524">
        <f>N80*G80</f>
        <v>120</v>
      </c>
      <c r="P80" s="524">
        <f>K81+O80</f>
        <v>120</v>
      </c>
    </row>
    <row r="81" spans="2:16">
      <c r="B81" s="545"/>
      <c r="C81" s="531"/>
      <c r="D81" s="531"/>
      <c r="E81" s="550"/>
      <c r="F81" s="550"/>
      <c r="G81" s="525"/>
      <c r="H81" s="515"/>
      <c r="I81" s="516"/>
      <c r="J81" s="516"/>
      <c r="K81" s="517"/>
      <c r="L81" s="58" t="s">
        <v>90</v>
      </c>
      <c r="M81" s="555"/>
      <c r="N81" s="556"/>
      <c r="O81" s="525"/>
      <c r="P81" s="525"/>
    </row>
    <row r="82" spans="2:16" s="44" customFormat="1" ht="27.95" customHeight="1">
      <c r="B82" s="43" t="s">
        <v>91</v>
      </c>
      <c r="C82" s="553" t="s">
        <v>92</v>
      </c>
      <c r="D82" s="40" t="s">
        <v>86</v>
      </c>
      <c r="E82" s="59"/>
      <c r="F82" s="59"/>
      <c r="G82" s="190">
        <f t="shared" ref="G82:G84" si="28">E82-F82</f>
        <v>0</v>
      </c>
      <c r="H82" s="60" t="s">
        <v>87</v>
      </c>
      <c r="I82" s="32"/>
      <c r="J82" s="196">
        <f>I82</f>
        <v>0</v>
      </c>
      <c r="K82" s="188">
        <f t="shared" ref="K82:K84" si="29">G82*J82</f>
        <v>0</v>
      </c>
      <c r="L82" s="552" t="s">
        <v>76</v>
      </c>
      <c r="M82" s="552"/>
      <c r="N82" s="552"/>
      <c r="O82" s="552"/>
      <c r="P82" s="190">
        <f>K82+O82</f>
        <v>0</v>
      </c>
    </row>
    <row r="83" spans="2:16" s="44" customFormat="1" ht="27.95" customHeight="1">
      <c r="B83" s="43" t="s">
        <v>93</v>
      </c>
      <c r="C83" s="553"/>
      <c r="D83" s="40" t="s">
        <v>86</v>
      </c>
      <c r="E83" s="59"/>
      <c r="F83" s="59"/>
      <c r="G83" s="190">
        <f t="shared" si="28"/>
        <v>0</v>
      </c>
      <c r="H83" s="60" t="s">
        <v>87</v>
      </c>
      <c r="I83" s="32"/>
      <c r="J83" s="196">
        <f>I83</f>
        <v>0</v>
      </c>
      <c r="K83" s="188">
        <f t="shared" si="29"/>
        <v>0</v>
      </c>
      <c r="L83" s="552" t="s">
        <v>76</v>
      </c>
      <c r="M83" s="552"/>
      <c r="N83" s="552"/>
      <c r="O83" s="552"/>
      <c r="P83" s="190">
        <f>K83+O83</f>
        <v>0</v>
      </c>
    </row>
    <row r="84" spans="2:16" s="44" customFormat="1" ht="26.25" customHeight="1">
      <c r="B84" s="43" t="s">
        <v>94</v>
      </c>
      <c r="C84" s="553"/>
      <c r="D84" s="40" t="s">
        <v>86</v>
      </c>
      <c r="E84" s="59"/>
      <c r="F84" s="59"/>
      <c r="G84" s="190">
        <f t="shared" si="28"/>
        <v>0</v>
      </c>
      <c r="H84" s="60" t="s">
        <v>87</v>
      </c>
      <c r="I84" s="32"/>
      <c r="J84" s="196">
        <f>I84</f>
        <v>0</v>
      </c>
      <c r="K84" s="188">
        <f t="shared" si="29"/>
        <v>0</v>
      </c>
      <c r="L84" s="552" t="s">
        <v>76</v>
      </c>
      <c r="M84" s="552"/>
      <c r="N84" s="552"/>
      <c r="O84" s="552"/>
      <c r="P84" s="190">
        <f>K84+O84</f>
        <v>0</v>
      </c>
    </row>
    <row r="85" spans="2:16">
      <c r="C85" s="38"/>
      <c r="D85" s="28"/>
      <c r="E85" s="12"/>
      <c r="F85" s="12"/>
      <c r="G85" s="12"/>
      <c r="H85" s="28"/>
      <c r="K85" s="12"/>
      <c r="O85" s="12"/>
      <c r="P85" s="12"/>
    </row>
    <row r="86" spans="2:16" s="69" customFormat="1" ht="18.600000000000001">
      <c r="B86" s="68" t="s">
        <v>116</v>
      </c>
      <c r="C86" s="66"/>
      <c r="H86" s="66"/>
      <c r="J86" s="66"/>
      <c r="K86" s="71"/>
      <c r="N86" s="66"/>
      <c r="O86" s="71"/>
      <c r="P86" s="71"/>
    </row>
    <row r="87" spans="2:16" s="69" customFormat="1" ht="19.350000000000001" thickBot="1">
      <c r="B87" s="68"/>
      <c r="H87" s="66"/>
      <c r="J87" s="66"/>
      <c r="K87" s="71"/>
      <c r="N87" s="66"/>
      <c r="O87" s="71"/>
      <c r="P87" s="71"/>
    </row>
    <row r="88" spans="2:16" s="44" customFormat="1" ht="15.6" thickBot="1">
      <c r="B88" s="75" t="s">
        <v>117</v>
      </c>
      <c r="C88" s="76" t="s">
        <v>118</v>
      </c>
      <c r="H88" s="38"/>
      <c r="J88" s="38"/>
      <c r="K88" s="72"/>
      <c r="N88" s="38"/>
      <c r="O88" s="72"/>
      <c r="P88" s="72"/>
    </row>
    <row r="89" spans="2:16" s="69" customFormat="1" ht="19.350000000000001" thickBot="1">
      <c r="B89" s="73" t="s">
        <v>119</v>
      </c>
      <c r="C89" s="74">
        <v>0.95</v>
      </c>
      <c r="H89" s="66"/>
      <c r="J89" s="66"/>
      <c r="K89" s="71"/>
      <c r="N89" s="66"/>
      <c r="O89" s="71"/>
      <c r="P89" s="71"/>
    </row>
    <row r="90" spans="2:16" s="69" customFormat="1" ht="18.600000000000001">
      <c r="B90" s="44"/>
      <c r="C90" s="12"/>
      <c r="H90" s="66"/>
      <c r="J90" s="66"/>
      <c r="K90" s="71"/>
      <c r="N90" s="66"/>
      <c r="O90" s="71"/>
      <c r="P90" s="71"/>
    </row>
    <row r="91" spans="2:16">
      <c r="B91" s="522" t="s">
        <v>23</v>
      </c>
      <c r="C91" s="522"/>
      <c r="D91" s="522"/>
      <c r="E91" s="523" t="s">
        <v>24</v>
      </c>
      <c r="F91" s="523"/>
      <c r="G91" s="523"/>
      <c r="H91" s="526" t="s">
        <v>107</v>
      </c>
      <c r="I91" s="523"/>
      <c r="J91" s="527"/>
      <c r="K91" s="523"/>
      <c r="L91" s="526" t="s">
        <v>108</v>
      </c>
      <c r="M91" s="523"/>
      <c r="N91" s="523"/>
      <c r="O91" s="523"/>
      <c r="P91" s="528" t="s">
        <v>27</v>
      </c>
    </row>
    <row r="92" spans="2:16" ht="29.45">
      <c r="B92" s="127" t="s">
        <v>28</v>
      </c>
      <c r="C92" s="128" t="s">
        <v>29</v>
      </c>
      <c r="D92" s="128" t="s">
        <v>30</v>
      </c>
      <c r="E92" s="126" t="s">
        <v>31</v>
      </c>
      <c r="F92" s="126" t="s">
        <v>32</v>
      </c>
      <c r="G92" s="126" t="s">
        <v>33</v>
      </c>
      <c r="H92" s="126" t="s">
        <v>34</v>
      </c>
      <c r="I92" s="125" t="s">
        <v>35</v>
      </c>
      <c r="J92" s="187" t="s">
        <v>36</v>
      </c>
      <c r="K92" s="126" t="s">
        <v>37</v>
      </c>
      <c r="L92" s="126" t="s">
        <v>38</v>
      </c>
      <c r="M92" s="126" t="s">
        <v>39</v>
      </c>
      <c r="N92" s="126" t="s">
        <v>40</v>
      </c>
      <c r="O92" s="125" t="s">
        <v>41</v>
      </c>
      <c r="P92" s="529"/>
    </row>
    <row r="93" spans="2:16">
      <c r="B93" s="50" t="s">
        <v>112</v>
      </c>
      <c r="C93" s="518" t="s">
        <v>110</v>
      </c>
      <c r="D93" s="27" t="s">
        <v>44</v>
      </c>
      <c r="E93" s="30">
        <v>23</v>
      </c>
      <c r="F93" s="30"/>
      <c r="G93" s="188">
        <f>E93-F93</f>
        <v>23</v>
      </c>
      <c r="H93" s="31" t="s">
        <v>45</v>
      </c>
      <c r="I93" s="32"/>
      <c r="J93" s="201">
        <f>IF(H93="Default",INDEX('Default EF'!$E$13:$L$50,MATCH(B93,'Default EF'!$E$13:$E$50,0),3),I93)</f>
        <v>0</v>
      </c>
      <c r="K93" s="188">
        <f t="shared" ref="K93" si="30">G93*J93</f>
        <v>0</v>
      </c>
      <c r="L93" s="31" t="s">
        <v>45</v>
      </c>
      <c r="M93" s="32"/>
      <c r="N93" s="202" t="e">
        <f>(1-C89)*N95+0.527*C89</f>
        <v>#VALUE!</v>
      </c>
      <c r="O93" s="188" t="e">
        <f>N93*G93</f>
        <v>#VALUE!</v>
      </c>
      <c r="P93" s="188" t="e">
        <f>K93+O93</f>
        <v>#VALUE!</v>
      </c>
    </row>
    <row r="94" spans="2:16" ht="16.5" customHeight="1">
      <c r="B94" s="42" t="s">
        <v>109</v>
      </c>
      <c r="C94" s="519"/>
      <c r="D94" s="27" t="s">
        <v>44</v>
      </c>
      <c r="E94" s="30">
        <f>275+233+349</f>
        <v>857</v>
      </c>
      <c r="F94" s="30"/>
      <c r="G94" s="188">
        <f>E94-F94</f>
        <v>857</v>
      </c>
      <c r="H94" s="31" t="s">
        <v>45</v>
      </c>
      <c r="I94" s="32"/>
      <c r="J94" s="201">
        <f>IF(H94="Default",INDEX('Default EF'!$E$13:$L$50,MATCH(B94,'Default EF'!$E$13:$E$50,0),3),I94)</f>
        <v>0</v>
      </c>
      <c r="K94" s="188">
        <f t="shared" ref="K94:K95" si="31">G94*J94</f>
        <v>0</v>
      </c>
      <c r="L94" s="31" t="s">
        <v>45</v>
      </c>
      <c r="M94" s="32"/>
      <c r="N94" s="201" t="str">
        <f>IF(L94="Default",INDEX('Default EF'!$E$13:$L$50,MATCH(B94,'Default EF'!$E$13:$E$50,0),5),M94)</f>
        <v>no carbon content</v>
      </c>
      <c r="O94" s="188" t="e">
        <f t="shared" ref="O94:O104" si="32">N94*G94</f>
        <v>#VALUE!</v>
      </c>
      <c r="P94" s="188" t="e">
        <f>K94+O94</f>
        <v>#VALUE!</v>
      </c>
    </row>
    <row r="95" spans="2:16">
      <c r="B95" s="166" t="s">
        <v>59</v>
      </c>
      <c r="C95" s="520"/>
      <c r="D95" s="27" t="s">
        <v>44</v>
      </c>
      <c r="E95" s="30">
        <v>540</v>
      </c>
      <c r="F95" s="30"/>
      <c r="G95" s="188">
        <f>E95-F95</f>
        <v>540</v>
      </c>
      <c r="H95" s="31" t="s">
        <v>45</v>
      </c>
      <c r="I95" s="32"/>
      <c r="J95" s="201">
        <f>IF(H95="Default",INDEX('Default EF'!$E$13:$L$50,MATCH(B95,'Default EF'!$E$13:$E$50,0),3),I95)</f>
        <v>0</v>
      </c>
      <c r="K95" s="188">
        <f t="shared" si="31"/>
        <v>0</v>
      </c>
      <c r="L95" s="31" t="s">
        <v>45</v>
      </c>
      <c r="M95" s="32"/>
      <c r="N95" s="202" t="str">
        <f>IF(L95="Default",INDEX('Default EF'!$E$13:$L$50,MATCH(B95,'Default EF'!$E$13:$E$50,0),5),M95)</f>
        <v>no carbon content</v>
      </c>
      <c r="O95" s="188" t="e">
        <f t="shared" si="32"/>
        <v>#VALUE!</v>
      </c>
      <c r="P95" s="188" t="e">
        <f t="shared" ref="P95:P103" si="33">K95+O95</f>
        <v>#VALUE!</v>
      </c>
    </row>
    <row r="96" spans="2:16" ht="16.5" customHeight="1">
      <c r="B96" s="42" t="s">
        <v>42</v>
      </c>
      <c r="C96" s="518" t="s">
        <v>43</v>
      </c>
      <c r="D96" s="27" t="s">
        <v>44</v>
      </c>
      <c r="E96" s="30"/>
      <c r="F96" s="30"/>
      <c r="G96" s="188">
        <f t="shared" ref="G96:G104" si="34">E96-F96</f>
        <v>0</v>
      </c>
      <c r="H96" s="31" t="s">
        <v>45</v>
      </c>
      <c r="I96" s="32"/>
      <c r="J96" s="191">
        <f>IF(H96="Default",INDEX('Default EF'!$E$13:$L$50,MATCH(B96,'Default EF'!$E$13:$E$50,0),3),I96)</f>
        <v>2.6868254999999999</v>
      </c>
      <c r="K96" s="188">
        <f>G96*J96</f>
        <v>0</v>
      </c>
      <c r="L96" s="31" t="s">
        <v>45</v>
      </c>
      <c r="M96" s="32"/>
      <c r="N96" s="202" t="str">
        <f>IF(L96="Default",INDEX('Default EF'!$E$13:$L$50,MATCH(B96,'Default EF'!$E$13:$E$50,0),5),M96)</f>
        <v>IPCC, 2019 with IPCC, AR5 100yr GWP</v>
      </c>
      <c r="O96" s="188" t="e">
        <f t="shared" si="32"/>
        <v>#VALUE!</v>
      </c>
      <c r="P96" s="188" t="e">
        <f t="shared" si="33"/>
        <v>#VALUE!</v>
      </c>
    </row>
    <row r="97" spans="2:16">
      <c r="B97" s="42" t="s">
        <v>46</v>
      </c>
      <c r="C97" s="519"/>
      <c r="D97" s="27" t="s">
        <v>44</v>
      </c>
      <c r="E97" s="30"/>
      <c r="F97" s="30"/>
      <c r="G97" s="188">
        <f t="shared" si="34"/>
        <v>0</v>
      </c>
      <c r="H97" s="31" t="s">
        <v>45</v>
      </c>
      <c r="I97" s="32"/>
      <c r="J97" s="191">
        <f>IF(H97="Default",INDEX('Default EF'!$E$13:$L$50,MATCH(B97,'Default EF'!$E$13:$E$50,0),3),I97)</f>
        <v>2.6426992500000002</v>
      </c>
      <c r="K97" s="188">
        <f t="shared" ref="K97:K104" si="35">G97*J97</f>
        <v>0</v>
      </c>
      <c r="L97" s="31" t="s">
        <v>45</v>
      </c>
      <c r="M97" s="32"/>
      <c r="N97" s="202" t="str">
        <f>IF(L97="Default",INDEX('Default EF'!$E$13:$L$50,MATCH(B97,'Default EF'!$E$13:$E$50,0),5),M97)</f>
        <v>IPCC, 2006 with IPCC, AR5 100yr GWP</v>
      </c>
      <c r="O97" s="188" t="e">
        <f t="shared" si="32"/>
        <v>#VALUE!</v>
      </c>
      <c r="P97" s="188" t="e">
        <f t="shared" si="33"/>
        <v>#VALUE!</v>
      </c>
    </row>
    <row r="98" spans="2:16">
      <c r="B98" s="42" t="s">
        <v>47</v>
      </c>
      <c r="C98" s="519"/>
      <c r="D98" s="27" t="s">
        <v>44</v>
      </c>
      <c r="E98" s="30"/>
      <c r="F98" s="30"/>
      <c r="G98" s="188">
        <f t="shared" si="34"/>
        <v>0</v>
      </c>
      <c r="H98" s="31" t="s">
        <v>45</v>
      </c>
      <c r="I98" s="32"/>
      <c r="J98" s="191">
        <f>IF(H98="Default",INDEX('Default EF'!$E$13:$L$50,MATCH(B98,'Default EF'!$E$13:$E$50,0),3),I98)</f>
        <v>2.4581595000000003</v>
      </c>
      <c r="K98" s="188">
        <f t="shared" si="35"/>
        <v>0</v>
      </c>
      <c r="L98" s="31" t="s">
        <v>45</v>
      </c>
      <c r="M98" s="32"/>
      <c r="N98" s="202" t="str">
        <f>IF(L98="Default",INDEX('Default EF'!$E$13:$L$50,MATCH(B98,'Default EF'!$E$13:$E$50,0),5),M98)</f>
        <v>IPCC, 2006 with IPCC, AR5 100yr GWP</v>
      </c>
      <c r="O98" s="188" t="e">
        <f t="shared" si="32"/>
        <v>#VALUE!</v>
      </c>
      <c r="P98" s="188" t="e">
        <f t="shared" si="33"/>
        <v>#VALUE!</v>
      </c>
    </row>
    <row r="99" spans="2:16">
      <c r="B99" s="42" t="s">
        <v>48</v>
      </c>
      <c r="C99" s="519"/>
      <c r="D99" s="27" t="s">
        <v>44</v>
      </c>
      <c r="E99" s="30"/>
      <c r="F99" s="30"/>
      <c r="G99" s="188">
        <f t="shared" si="34"/>
        <v>0</v>
      </c>
      <c r="H99" s="31" t="s">
        <v>45</v>
      </c>
      <c r="I99" s="32"/>
      <c r="J99" s="191">
        <f>IF(H99="Default",INDEX('Default EF'!$E$13:$L$50,MATCH(B99,'Default EF'!$E$13:$E$50,0),3),I99)</f>
        <v>1.8290947499999997</v>
      </c>
      <c r="K99" s="188">
        <f t="shared" si="35"/>
        <v>0</v>
      </c>
      <c r="L99" s="31" t="s">
        <v>45</v>
      </c>
      <c r="M99" s="32"/>
      <c r="N99" s="202" t="str">
        <f>IF(L99="Default",INDEX('Default EF'!$E$13:$L$50,MATCH(B99,'Default EF'!$E$13:$E$50,0),5),M99)</f>
        <v>IPCC, 2006 with IPCC, AR5 100yr GWP</v>
      </c>
      <c r="O99" s="188" t="e">
        <f t="shared" si="32"/>
        <v>#VALUE!</v>
      </c>
      <c r="P99" s="188" t="e">
        <f t="shared" si="33"/>
        <v>#VALUE!</v>
      </c>
    </row>
    <row r="100" spans="2:16">
      <c r="B100" s="166" t="s">
        <v>49</v>
      </c>
      <c r="C100" s="520"/>
      <c r="D100" s="27" t="s">
        <v>44</v>
      </c>
      <c r="E100" s="30"/>
      <c r="F100" s="30"/>
      <c r="G100" s="188">
        <f t="shared" si="34"/>
        <v>0</v>
      </c>
      <c r="H100" s="31" t="s">
        <v>45</v>
      </c>
      <c r="I100" s="32"/>
      <c r="J100" s="191">
        <f>IF(H100="Default",INDEX('Default EF'!$E$13:$L$50,MATCH(B100,'Default EF'!$E$13:$E$50,0),3),I100)</f>
        <v>1.2099622500000002</v>
      </c>
      <c r="K100" s="188">
        <f t="shared" si="35"/>
        <v>0</v>
      </c>
      <c r="L100" s="31" t="s">
        <v>45</v>
      </c>
      <c r="M100" s="32"/>
      <c r="N100" s="202" t="str">
        <f>IF(L100="Default",INDEX('Default EF'!$E$13:$L$50,MATCH(B100,'Default EF'!$E$13:$E$50,0),5),M100)</f>
        <v>IPCC, 2006 with IPCC, AR5 100yr GWP</v>
      </c>
      <c r="O100" s="188" t="e">
        <f t="shared" si="32"/>
        <v>#VALUE!</v>
      </c>
      <c r="P100" s="188" t="e">
        <f t="shared" si="33"/>
        <v>#VALUE!</v>
      </c>
    </row>
    <row r="101" spans="2:16">
      <c r="B101" s="50" t="s">
        <v>50</v>
      </c>
      <c r="C101" s="521" t="s">
        <v>51</v>
      </c>
      <c r="D101" s="27" t="s">
        <v>44</v>
      </c>
      <c r="E101" s="30"/>
      <c r="F101" s="30"/>
      <c r="G101" s="188">
        <f t="shared" si="34"/>
        <v>0</v>
      </c>
      <c r="H101" s="31" t="s">
        <v>45</v>
      </c>
      <c r="I101" s="32"/>
      <c r="J101" s="191">
        <f>IF(H101="Default",INDEX('Default EF'!$E$13:$L$50,MATCH(B101,'Default EF'!$E$13:$E$50,0),3),I101)</f>
        <v>2.9487799999999998E-3</v>
      </c>
      <c r="K101" s="188">
        <f t="shared" si="35"/>
        <v>0</v>
      </c>
      <c r="L101" s="31" t="s">
        <v>45</v>
      </c>
      <c r="M101" s="32"/>
      <c r="N101" s="202" t="str">
        <f>IF(L101="Default",INDEX('Default EF'!$E$13:$L$50,MATCH(B101,'Default EF'!$E$13:$E$50,0),5),M101)</f>
        <v>IPCC, 2006 with IPCC, AR5 100yr GWP</v>
      </c>
      <c r="O101" s="188" t="e">
        <f t="shared" si="32"/>
        <v>#VALUE!</v>
      </c>
      <c r="P101" s="188" t="e">
        <f t="shared" si="33"/>
        <v>#VALUE!</v>
      </c>
    </row>
    <row r="102" spans="2:16">
      <c r="B102" s="167" t="s">
        <v>52</v>
      </c>
      <c r="C102" s="521"/>
      <c r="D102" s="27" t="s">
        <v>44</v>
      </c>
      <c r="E102" s="30"/>
      <c r="F102" s="30"/>
      <c r="G102" s="188">
        <f t="shared" si="34"/>
        <v>0</v>
      </c>
      <c r="H102" s="31" t="s">
        <v>45</v>
      </c>
      <c r="I102" s="32"/>
      <c r="J102" s="191">
        <f>IF(H102="Default",INDEX('Default EF'!$E$13:$L$50,MATCH(B102,'Default EF'!$E$13:$E$50,0),3),I102)</f>
        <v>2.6854800000000001E-3</v>
      </c>
      <c r="K102" s="188">
        <f t="shared" si="35"/>
        <v>0</v>
      </c>
      <c r="L102" s="31" t="s">
        <v>45</v>
      </c>
      <c r="M102" s="32"/>
      <c r="N102" s="202" t="str">
        <f>IF(L102="Default",INDEX('Default EF'!$E$13:$L$50,MATCH(B102,'Default EF'!$E$13:$E$50,0),5),M102)</f>
        <v>IPCC, 2006 with IPCC, AR5 100yr GWP</v>
      </c>
      <c r="O102" s="188" t="e">
        <f t="shared" si="32"/>
        <v>#VALUE!</v>
      </c>
      <c r="P102" s="188" t="e">
        <f t="shared" si="33"/>
        <v>#VALUE!</v>
      </c>
    </row>
    <row r="103" spans="2:16">
      <c r="B103" s="42" t="s">
        <v>53</v>
      </c>
      <c r="C103" s="521"/>
      <c r="D103" s="27" t="s">
        <v>44</v>
      </c>
      <c r="E103" s="30"/>
      <c r="F103" s="30"/>
      <c r="G103" s="188">
        <f t="shared" si="34"/>
        <v>0</v>
      </c>
      <c r="H103" s="31" t="s">
        <v>45</v>
      </c>
      <c r="I103" s="32"/>
      <c r="J103" s="191">
        <f>IF(H103="Default",INDEX('Default EF'!$E$13:$L$50,MATCH(B103,'Default EF'!$E$13:$E$50,0),3),I103)</f>
        <v>1.6159529430000001E-3</v>
      </c>
      <c r="K103" s="188">
        <f t="shared" si="35"/>
        <v>0</v>
      </c>
      <c r="L103" s="31" t="s">
        <v>45</v>
      </c>
      <c r="M103" s="32"/>
      <c r="N103" s="202" t="str">
        <f>IF(L103="Default",INDEX('Default EF'!$E$13:$L$50,MATCH(B103,'Default EF'!$E$13:$E$50,0),5),M103)</f>
        <v>IPCC, 2006 with IPCC, AR5 100yr GWP</v>
      </c>
      <c r="O103" s="188" t="e">
        <f t="shared" si="32"/>
        <v>#VALUE!</v>
      </c>
      <c r="P103" s="188" t="e">
        <f t="shared" si="33"/>
        <v>#VALUE!</v>
      </c>
    </row>
    <row r="104" spans="2:16">
      <c r="B104" s="42" t="s">
        <v>54</v>
      </c>
      <c r="C104" s="518"/>
      <c r="D104" s="27" t="s">
        <v>44</v>
      </c>
      <c r="E104" s="30"/>
      <c r="F104" s="30"/>
      <c r="G104" s="188">
        <f t="shared" si="34"/>
        <v>0</v>
      </c>
      <c r="H104" s="31" t="s">
        <v>45</v>
      </c>
      <c r="I104" s="32"/>
      <c r="J104" s="191">
        <f>IF(H104="Default",INDEX('Default EF'!$E$13:$L$50,MATCH(B104,'Default EF'!$E$13:$E$50,0),3),I104)</f>
        <v>2.2102717812691286E-3</v>
      </c>
      <c r="K104" s="188">
        <f t="shared" si="35"/>
        <v>0</v>
      </c>
      <c r="L104" s="31" t="s">
        <v>45</v>
      </c>
      <c r="M104" s="32"/>
      <c r="N104" s="202" t="str">
        <f>IF(L104="Default",INDEX('Default EF'!$E$13:$L$50,MATCH(B104,'Default EF'!$E$13:$E$50,0),5),M104)</f>
        <v>IPCC, 2006 with IPCC, AR5 100yr GWP</v>
      </c>
      <c r="O104" s="188" t="e">
        <f t="shared" si="32"/>
        <v>#VALUE!</v>
      </c>
      <c r="P104" s="188" t="e">
        <f>K104+O104</f>
        <v>#VALUE!</v>
      </c>
    </row>
    <row r="105" spans="2:16">
      <c r="B105" s="50" t="s">
        <v>120</v>
      </c>
      <c r="C105" s="518" t="s">
        <v>115</v>
      </c>
      <c r="D105" s="27" t="s">
        <v>44</v>
      </c>
      <c r="E105" s="537" t="s">
        <v>75</v>
      </c>
      <c r="F105" s="538"/>
      <c r="G105" s="30"/>
      <c r="H105" s="31" t="s">
        <v>45</v>
      </c>
      <c r="I105" s="32"/>
      <c r="J105" s="191">
        <f>IF(H105="Default",INDEX('Default EF'!$E$13:$L$50,MATCH(B105,'Default EF'!$E$13:$E$50,0),3),I105)</f>
        <v>0.41</v>
      </c>
      <c r="K105" s="188">
        <f t="shared" ref="K105:K108" si="36">G105*J105</f>
        <v>0</v>
      </c>
      <c r="L105" s="509" t="s">
        <v>76</v>
      </c>
      <c r="M105" s="510"/>
      <c r="N105" s="510"/>
      <c r="O105" s="510"/>
      <c r="P105" s="511"/>
    </row>
    <row r="106" spans="2:16" ht="15.95" customHeight="1">
      <c r="B106" s="42" t="s">
        <v>121</v>
      </c>
      <c r="C106" s="519"/>
      <c r="D106" s="27" t="s">
        <v>44</v>
      </c>
      <c r="E106" s="539"/>
      <c r="F106" s="540"/>
      <c r="G106" s="30"/>
      <c r="H106" s="31" t="s">
        <v>45</v>
      </c>
      <c r="I106" s="32"/>
      <c r="J106" s="191">
        <f>IF(H106="Default",INDEX('Default EF'!$E$13:$L$50,MATCH(B106,'Default EF'!$E$13:$E$50,0),3),I106)</f>
        <v>0.41</v>
      </c>
      <c r="K106" s="188">
        <f t="shared" si="36"/>
        <v>0</v>
      </c>
      <c r="L106" s="512"/>
      <c r="M106" s="513"/>
      <c r="N106" s="513"/>
      <c r="O106" s="513"/>
      <c r="P106" s="514"/>
    </row>
    <row r="107" spans="2:16" s="44" customFormat="1">
      <c r="B107" s="42" t="s">
        <v>122</v>
      </c>
      <c r="C107" s="519"/>
      <c r="D107" s="27" t="s">
        <v>44</v>
      </c>
      <c r="E107" s="539"/>
      <c r="F107" s="540"/>
      <c r="G107" s="30"/>
      <c r="H107" s="31" t="s">
        <v>45</v>
      </c>
      <c r="I107" s="32"/>
      <c r="J107" s="191">
        <f>IF(H107="Default",INDEX('Default EF'!$E$13:$L$50,MATCH(B107,'Default EF'!$E$13:$E$50,0),3),I107)</f>
        <v>0.66</v>
      </c>
      <c r="K107" s="188">
        <f t="shared" si="36"/>
        <v>0</v>
      </c>
      <c r="L107" s="512"/>
      <c r="M107" s="513"/>
      <c r="N107" s="513"/>
      <c r="O107" s="513"/>
      <c r="P107" s="514"/>
    </row>
    <row r="108" spans="2:16" s="44" customFormat="1">
      <c r="B108" s="166" t="s">
        <v>123</v>
      </c>
      <c r="C108" s="520"/>
      <c r="D108" s="27" t="s">
        <v>44</v>
      </c>
      <c r="E108" s="541"/>
      <c r="F108" s="542"/>
      <c r="G108" s="30"/>
      <c r="H108" s="31" t="s">
        <v>45</v>
      </c>
      <c r="I108" s="32"/>
      <c r="J108" s="191">
        <f>IF(H108="Default",INDEX('Default EF'!$E$13:$L$50,MATCH(B108,'Default EF'!$E$13:$E$50,0),3),I108)</f>
        <v>0.72</v>
      </c>
      <c r="K108" s="188">
        <f t="shared" si="36"/>
        <v>0</v>
      </c>
      <c r="L108" s="515"/>
      <c r="M108" s="516"/>
      <c r="N108" s="516"/>
      <c r="O108" s="516"/>
      <c r="P108" s="517"/>
    </row>
    <row r="109" spans="2:16" s="44" customFormat="1" ht="30.95" customHeight="1">
      <c r="B109" s="169" t="s">
        <v>84</v>
      </c>
      <c r="C109" s="530" t="s">
        <v>85</v>
      </c>
      <c r="D109" s="40" t="s">
        <v>86</v>
      </c>
      <c r="E109" s="59">
        <v>300</v>
      </c>
      <c r="F109" s="59">
        <v>150</v>
      </c>
      <c r="G109" s="190">
        <f t="shared" ref="G109" si="37">E109-F109</f>
        <v>150</v>
      </c>
      <c r="H109" s="509" t="s">
        <v>76</v>
      </c>
      <c r="I109" s="510"/>
      <c r="J109" s="510"/>
      <c r="K109" s="511"/>
      <c r="L109" s="60" t="s">
        <v>87</v>
      </c>
      <c r="M109" s="58">
        <v>0.5</v>
      </c>
      <c r="N109" s="196">
        <f>M109</f>
        <v>0.5</v>
      </c>
      <c r="O109" s="190">
        <f t="shared" ref="O109" si="38">N109*G109</f>
        <v>75</v>
      </c>
      <c r="P109" s="190">
        <f>K109+O109</f>
        <v>75</v>
      </c>
    </row>
    <row r="110" spans="2:16">
      <c r="B110" s="544" t="s">
        <v>88</v>
      </c>
      <c r="C110" s="530"/>
      <c r="D110" s="551" t="s">
        <v>86</v>
      </c>
      <c r="E110" s="549">
        <v>1000</v>
      </c>
      <c r="F110" s="549">
        <v>0</v>
      </c>
      <c r="G110" s="524">
        <f>E110-F110</f>
        <v>1000</v>
      </c>
      <c r="H110" s="512"/>
      <c r="I110" s="513"/>
      <c r="J110" s="513"/>
      <c r="K110" s="514"/>
      <c r="L110" s="58" t="s">
        <v>89</v>
      </c>
      <c r="M110" s="554">
        <v>0.12</v>
      </c>
      <c r="N110" s="556">
        <f>M110</f>
        <v>0.12</v>
      </c>
      <c r="O110" s="524">
        <f>N110*G110</f>
        <v>120</v>
      </c>
      <c r="P110" s="524">
        <f>K111+O110</f>
        <v>120</v>
      </c>
    </row>
    <row r="111" spans="2:16">
      <c r="B111" s="545"/>
      <c r="C111" s="531"/>
      <c r="D111" s="531"/>
      <c r="E111" s="550"/>
      <c r="F111" s="550"/>
      <c r="G111" s="525"/>
      <c r="H111" s="515"/>
      <c r="I111" s="516"/>
      <c r="J111" s="516"/>
      <c r="K111" s="517"/>
      <c r="L111" s="58" t="s">
        <v>90</v>
      </c>
      <c r="M111" s="555"/>
      <c r="N111" s="556"/>
      <c r="O111" s="525"/>
      <c r="P111" s="525"/>
    </row>
    <row r="112" spans="2:16" s="44" customFormat="1" ht="27.95" customHeight="1">
      <c r="B112" s="43" t="s">
        <v>91</v>
      </c>
      <c r="C112" s="553" t="s">
        <v>92</v>
      </c>
      <c r="D112" s="40" t="s">
        <v>86</v>
      </c>
      <c r="E112" s="59"/>
      <c r="F112" s="59"/>
      <c r="G112" s="190">
        <f t="shared" ref="G112:G114" si="39">E112-F112</f>
        <v>0</v>
      </c>
      <c r="H112" s="60" t="s">
        <v>87</v>
      </c>
      <c r="I112" s="32"/>
      <c r="J112" s="196">
        <f>I112</f>
        <v>0</v>
      </c>
      <c r="K112" s="188">
        <f t="shared" ref="K112:K113" si="40">G112*J112</f>
        <v>0</v>
      </c>
      <c r="L112" s="552" t="s">
        <v>76</v>
      </c>
      <c r="M112" s="552"/>
      <c r="N112" s="552"/>
      <c r="O112" s="552"/>
      <c r="P112" s="190">
        <f>K112+O112</f>
        <v>0</v>
      </c>
    </row>
    <row r="113" spans="2:16" s="44" customFormat="1" ht="27.95" customHeight="1">
      <c r="B113" s="43" t="s">
        <v>93</v>
      </c>
      <c r="C113" s="553"/>
      <c r="D113" s="40" t="s">
        <v>86</v>
      </c>
      <c r="E113" s="59"/>
      <c r="F113" s="59"/>
      <c r="G113" s="190">
        <f t="shared" si="39"/>
        <v>0</v>
      </c>
      <c r="H113" s="60" t="s">
        <v>87</v>
      </c>
      <c r="I113" s="32"/>
      <c r="J113" s="196">
        <f>I113</f>
        <v>0</v>
      </c>
      <c r="K113" s="188">
        <f t="shared" si="40"/>
        <v>0</v>
      </c>
      <c r="L113" s="552" t="s">
        <v>76</v>
      </c>
      <c r="M113" s="552"/>
      <c r="N113" s="552"/>
      <c r="O113" s="552"/>
      <c r="P113" s="190">
        <f>K113+O113</f>
        <v>0</v>
      </c>
    </row>
    <row r="114" spans="2:16" s="44" customFormat="1" ht="26.25" customHeight="1">
      <c r="B114" s="43" t="s">
        <v>94</v>
      </c>
      <c r="C114" s="553"/>
      <c r="D114" s="40" t="s">
        <v>86</v>
      </c>
      <c r="E114" s="59"/>
      <c r="F114" s="59"/>
      <c r="G114" s="190">
        <f t="shared" si="39"/>
        <v>0</v>
      </c>
      <c r="H114" s="60" t="s">
        <v>87</v>
      </c>
      <c r="I114" s="32"/>
      <c r="J114" s="196">
        <f>I114</f>
        <v>0</v>
      </c>
      <c r="K114" s="188">
        <f>G114*J114</f>
        <v>0</v>
      </c>
      <c r="L114" s="552" t="s">
        <v>76</v>
      </c>
      <c r="M114" s="552"/>
      <c r="N114" s="552"/>
      <c r="O114" s="552"/>
      <c r="P114" s="190">
        <f>K114+O114</f>
        <v>0</v>
      </c>
    </row>
    <row r="117" spans="2:16">
      <c r="H117" s="120"/>
    </row>
    <row r="119" spans="2:16">
      <c r="F119" s="133"/>
    </row>
    <row r="120" spans="2:16">
      <c r="F120" s="133"/>
    </row>
    <row r="121" spans="2:16">
      <c r="F121" s="133"/>
    </row>
  </sheetData>
  <mergeCells count="80">
    <mergeCell ref="H63:K63"/>
    <mergeCell ref="L63:O63"/>
    <mergeCell ref="P63:P64"/>
    <mergeCell ref="C65:C68"/>
    <mergeCell ref="M48:M49"/>
    <mergeCell ref="N48:N49"/>
    <mergeCell ref="O48:O49"/>
    <mergeCell ref="P48:P49"/>
    <mergeCell ref="C50:C52"/>
    <mergeCell ref="L50:O50"/>
    <mergeCell ref="L51:O51"/>
    <mergeCell ref="L52:O52"/>
    <mergeCell ref="D48:D49"/>
    <mergeCell ref="L112:O112"/>
    <mergeCell ref="C112:C114"/>
    <mergeCell ref="L114:O114"/>
    <mergeCell ref="L113:O113"/>
    <mergeCell ref="M80:M81"/>
    <mergeCell ref="N80:N81"/>
    <mergeCell ref="O80:O81"/>
    <mergeCell ref="C82:C84"/>
    <mergeCell ref="L82:O82"/>
    <mergeCell ref="L83:O83"/>
    <mergeCell ref="L84:O84"/>
    <mergeCell ref="H109:K111"/>
    <mergeCell ref="M110:M111"/>
    <mergeCell ref="N110:N111"/>
    <mergeCell ref="O110:O111"/>
    <mergeCell ref="G80:G81"/>
    <mergeCell ref="B110:B111"/>
    <mergeCell ref="D110:D111"/>
    <mergeCell ref="E110:E111"/>
    <mergeCell ref="F110:F111"/>
    <mergeCell ref="G110:G111"/>
    <mergeCell ref="P110:P111"/>
    <mergeCell ref="C20:C24"/>
    <mergeCell ref="H91:K91"/>
    <mergeCell ref="L91:O91"/>
    <mergeCell ref="P91:P92"/>
    <mergeCell ref="C25:C28"/>
    <mergeCell ref="C42:C46"/>
    <mergeCell ref="C79:C81"/>
    <mergeCell ref="H79:K81"/>
    <mergeCell ref="H47:K49"/>
    <mergeCell ref="B63:D63"/>
    <mergeCell ref="E63:G63"/>
    <mergeCell ref="B80:B81"/>
    <mergeCell ref="D80:D81"/>
    <mergeCell ref="E80:E81"/>
    <mergeCell ref="F80:F81"/>
    <mergeCell ref="E18:G18"/>
    <mergeCell ref="E48:E49"/>
    <mergeCell ref="F48:F49"/>
    <mergeCell ref="G48:G49"/>
    <mergeCell ref="C29:C32"/>
    <mergeCell ref="H18:K18"/>
    <mergeCell ref="L18:O18"/>
    <mergeCell ref="P18:P19"/>
    <mergeCell ref="C109:C111"/>
    <mergeCell ref="L42:O46"/>
    <mergeCell ref="C33:C37"/>
    <mergeCell ref="C38:C41"/>
    <mergeCell ref="H33:K37"/>
    <mergeCell ref="E78:F78"/>
    <mergeCell ref="E42:F46"/>
    <mergeCell ref="C105:C108"/>
    <mergeCell ref="E105:F108"/>
    <mergeCell ref="B18:D18"/>
    <mergeCell ref="C47:C49"/>
    <mergeCell ref="B48:B49"/>
    <mergeCell ref="L78:P78"/>
    <mergeCell ref="L105:P108"/>
    <mergeCell ref="C69:C73"/>
    <mergeCell ref="C74:C77"/>
    <mergeCell ref="C96:C100"/>
    <mergeCell ref="C101:C104"/>
    <mergeCell ref="B91:D91"/>
    <mergeCell ref="E91:G91"/>
    <mergeCell ref="C93:C95"/>
    <mergeCell ref="P80:P81"/>
  </mergeCells>
  <dataValidations count="3">
    <dataValidation type="list" allowBlank="1" showInputMessage="1" showErrorMessage="1" sqref="H69:H78 H85:H90 H38:H46 E56:E59 L20:L41 H20:H32 L93:L104 H93:H108 H65:H67 L65:L67 L69:L77" xr:uid="{8703FD07-C5C0-2E49-8A55-8B2E6DEFE707}">
      <formula1>"Default,Site Specific"</formula1>
    </dataValidation>
    <dataValidation type="list" allowBlank="1" showInputMessage="1" showErrorMessage="1" sqref="L110 L80 L48" xr:uid="{D07CD59B-0A36-AF43-95D3-4EE2C738E4C0}">
      <formula1>"Default -&gt; choose region below,Site Specific"</formula1>
    </dataValidation>
    <dataValidation type="list" allowBlank="1" showInputMessage="1" showErrorMessage="1" sqref="C88" xr:uid="{69E9A274-EDA9-3A4E-8B40-6BA5205233C2}">
      <formula1>"Yes, No"</formula1>
    </dataValidation>
  </dataValidations>
  <pageMargins left="0.7" right="0.7" top="0.75" bottom="0.75" header="0.3" footer="0.3"/>
  <pageSetup orientation="portrait" horizontalDpi="0" verticalDpi="0"/>
  <drawing r:id="rId1"/>
  <legacyDrawing r:id="rId2"/>
  <extLst>
    <ext xmlns:x14="http://schemas.microsoft.com/office/spreadsheetml/2009/9/main" uri="{CCE6A557-97BC-4b89-ADB6-D9C93CAAB3DF}">
      <x14:dataValidations xmlns:xm="http://schemas.microsoft.com/office/excel/2006/main" count="1">
        <x14:dataValidation type="list" allowBlank="1" showInputMessage="1" promptTitle="na" xr:uid="{3D14C61F-657A-CE4B-A996-D531CB3B86DC}">
          <x14:formula1>
            <xm:f>'Default EF'!$B$2:$B$267</xm:f>
          </x14:formula1>
          <xm:sqref>L111 L81 L49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01E4-4C6A-4C7C-A2F0-25C67840E94E}">
  <sheetPr>
    <tabColor rgb="FF1F4E78"/>
  </sheetPr>
  <dimension ref="A1:BZ126"/>
  <sheetViews>
    <sheetView topLeftCell="A3" workbookViewId="0">
      <selection activeCell="A4" sqref="A4:J17"/>
    </sheetView>
  </sheetViews>
  <sheetFormatPr defaultColWidth="8.85546875" defaultRowHeight="14.85"/>
  <cols>
    <col min="1" max="1" width="37.28515625" customWidth="1"/>
    <col min="2" max="2" width="14.42578125" style="297" customWidth="1"/>
    <col min="3" max="3" width="27.7109375" customWidth="1"/>
    <col min="4" max="6" width="14.42578125" customWidth="1"/>
    <col min="7" max="7" width="22.85546875" customWidth="1"/>
    <col min="8" max="8" width="17.42578125" customWidth="1"/>
    <col min="9" max="78" width="14.42578125" customWidth="1"/>
    <col min="79" max="97" width="13.85546875" customWidth="1"/>
  </cols>
  <sheetData>
    <row r="1" spans="1:78">
      <c r="A1" s="577" t="s">
        <v>371</v>
      </c>
      <c r="B1" s="577"/>
      <c r="C1" s="577"/>
      <c r="D1" s="577"/>
      <c r="E1" s="577"/>
      <c r="F1" s="577"/>
      <c r="G1" s="577"/>
      <c r="H1" s="577"/>
      <c r="I1" s="577"/>
      <c r="J1" s="577"/>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row>
    <row r="2" spans="1:78">
      <c r="A2" s="577"/>
      <c r="B2" s="577"/>
      <c r="C2" s="577"/>
      <c r="D2" s="577"/>
      <c r="E2" s="577"/>
      <c r="F2" s="577"/>
      <c r="G2" s="577"/>
      <c r="H2" s="577"/>
      <c r="I2" s="577"/>
      <c r="J2" s="577"/>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c r="A3" s="577"/>
      <c r="B3" s="577"/>
      <c r="C3" s="577"/>
      <c r="D3" s="577"/>
      <c r="E3" s="577"/>
      <c r="F3" s="577"/>
      <c r="G3" s="577"/>
      <c r="H3" s="577"/>
      <c r="I3" s="577"/>
      <c r="J3" s="577"/>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15" customHeight="1">
      <c r="A4" s="568" t="s">
        <v>372</v>
      </c>
      <c r="B4" s="568"/>
      <c r="C4" s="568"/>
      <c r="D4" s="568"/>
      <c r="E4" s="568"/>
      <c r="F4" s="568"/>
      <c r="G4" s="568"/>
      <c r="H4" s="568"/>
      <c r="I4" s="568"/>
      <c r="J4" s="568"/>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c r="A5" s="571"/>
      <c r="B5" s="571"/>
      <c r="C5" s="571"/>
      <c r="D5" s="571"/>
      <c r="E5" s="571"/>
      <c r="F5" s="571"/>
      <c r="G5" s="571"/>
      <c r="H5" s="571"/>
      <c r="I5" s="571"/>
      <c r="J5" s="571"/>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row>
    <row r="6" spans="1:78">
      <c r="A6" s="571"/>
      <c r="B6" s="571"/>
      <c r="C6" s="571"/>
      <c r="D6" s="571"/>
      <c r="E6" s="571"/>
      <c r="F6" s="571"/>
      <c r="G6" s="571"/>
      <c r="H6" s="571"/>
      <c r="I6" s="571"/>
      <c r="J6" s="571"/>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row>
    <row r="7" spans="1:78">
      <c r="A7" s="571"/>
      <c r="B7" s="571"/>
      <c r="C7" s="571"/>
      <c r="D7" s="571"/>
      <c r="E7" s="571"/>
      <c r="F7" s="571"/>
      <c r="G7" s="571"/>
      <c r="H7" s="571"/>
      <c r="I7" s="571"/>
      <c r="J7" s="571"/>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row>
    <row r="8" spans="1:78">
      <c r="A8" s="571"/>
      <c r="B8" s="571"/>
      <c r="C8" s="571"/>
      <c r="D8" s="571"/>
      <c r="E8" s="571"/>
      <c r="F8" s="571"/>
      <c r="G8" s="571"/>
      <c r="H8" s="571"/>
      <c r="I8" s="571"/>
      <c r="J8" s="571"/>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row>
    <row r="9" spans="1:78">
      <c r="A9" s="571"/>
      <c r="B9" s="571"/>
      <c r="C9" s="571"/>
      <c r="D9" s="571"/>
      <c r="E9" s="571"/>
      <c r="F9" s="571"/>
      <c r="G9" s="571"/>
      <c r="H9" s="571"/>
      <c r="I9" s="571"/>
      <c r="J9" s="571"/>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row>
    <row r="10" spans="1:78">
      <c r="A10" s="571"/>
      <c r="B10" s="571"/>
      <c r="C10" s="571"/>
      <c r="D10" s="571"/>
      <c r="E10" s="571"/>
      <c r="F10" s="571"/>
      <c r="G10" s="571"/>
      <c r="H10" s="571"/>
      <c r="I10" s="571"/>
      <c r="J10" s="571"/>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row>
    <row r="11" spans="1:78">
      <c r="A11" s="571"/>
      <c r="B11" s="571"/>
      <c r="C11" s="571"/>
      <c r="D11" s="571"/>
      <c r="E11" s="571"/>
      <c r="F11" s="571"/>
      <c r="G11" s="571"/>
      <c r="H11" s="571"/>
      <c r="I11" s="571"/>
      <c r="J11" s="571"/>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row>
    <row r="12" spans="1:78" ht="15" customHeight="1">
      <c r="A12" s="571"/>
      <c r="B12" s="571"/>
      <c r="C12" s="571"/>
      <c r="D12" s="571"/>
      <c r="E12" s="571"/>
      <c r="F12" s="571"/>
      <c r="G12" s="571"/>
      <c r="H12" s="571"/>
      <c r="I12" s="571"/>
      <c r="J12" s="571"/>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row>
    <row r="13" spans="1:78">
      <c r="A13" s="571"/>
      <c r="B13" s="571"/>
      <c r="C13" s="571"/>
      <c r="D13" s="571"/>
      <c r="E13" s="571"/>
      <c r="F13" s="571"/>
      <c r="G13" s="571"/>
      <c r="H13" s="571"/>
      <c r="I13" s="571"/>
      <c r="J13" s="571"/>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1:78">
      <c r="A14" s="571"/>
      <c r="B14" s="571"/>
      <c r="C14" s="571"/>
      <c r="D14" s="571"/>
      <c r="E14" s="571"/>
      <c r="F14" s="571"/>
      <c r="G14" s="571"/>
      <c r="H14" s="571"/>
      <c r="I14" s="571"/>
      <c r="J14" s="571"/>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1:78">
      <c r="A15" s="571"/>
      <c r="B15" s="571"/>
      <c r="C15" s="571"/>
      <c r="D15" s="571"/>
      <c r="E15" s="571"/>
      <c r="F15" s="571"/>
      <c r="G15" s="571"/>
      <c r="H15" s="571"/>
      <c r="I15" s="571"/>
      <c r="J15" s="571"/>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row>
    <row r="16" spans="1:78">
      <c r="A16" s="571"/>
      <c r="B16" s="571"/>
      <c r="C16" s="571"/>
      <c r="D16" s="571"/>
      <c r="E16" s="571"/>
      <c r="F16" s="571"/>
      <c r="G16" s="571"/>
      <c r="H16" s="571"/>
      <c r="I16" s="571"/>
      <c r="J16" s="571"/>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row>
    <row r="17" spans="1:78">
      <c r="A17" s="571"/>
      <c r="B17" s="571"/>
      <c r="C17" s="571"/>
      <c r="D17" s="571"/>
      <c r="E17" s="571"/>
      <c r="F17" s="571"/>
      <c r="G17" s="571"/>
      <c r="H17" s="571"/>
      <c r="I17" s="571"/>
      <c r="J17" s="571"/>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row>
    <row r="18" spans="1:78">
      <c r="A18" s="119"/>
      <c r="B18" s="286"/>
      <c r="C18" s="119"/>
      <c r="D18" s="119"/>
      <c r="E18" s="119"/>
      <c r="F18" s="119"/>
      <c r="G18" s="119"/>
      <c r="H18" s="119"/>
      <c r="I18" s="119"/>
      <c r="J18" s="119"/>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row>
    <row r="19" spans="1:78">
      <c r="A19" s="119"/>
      <c r="B19" s="286"/>
      <c r="C19" s="119"/>
      <c r="D19" s="119"/>
      <c r="E19" s="119"/>
      <c r="F19" s="119"/>
      <c r="G19" s="119"/>
      <c r="H19" s="119"/>
      <c r="I19" s="119"/>
      <c r="J19" s="119"/>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row>
    <row r="20" spans="1:78" ht="31.35">
      <c r="A20" s="253" t="s">
        <v>373</v>
      </c>
      <c r="B20" s="287"/>
      <c r="C20" s="120"/>
      <c r="D20" s="120"/>
      <c r="E20" s="120"/>
      <c r="F20" s="120"/>
      <c r="G20" s="120"/>
      <c r="H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row>
    <row r="21" spans="1:78">
      <c r="A21" s="578" t="s">
        <v>246</v>
      </c>
      <c r="B21" s="580" t="s">
        <v>247</v>
      </c>
      <c r="C21" s="582" t="s">
        <v>338</v>
      </c>
      <c r="D21" s="583"/>
      <c r="E21" s="582" t="s">
        <v>249</v>
      </c>
      <c r="F21" s="582"/>
      <c r="G21" s="584" t="s">
        <v>355</v>
      </c>
      <c r="H21" s="585" t="s">
        <v>251</v>
      </c>
      <c r="I21" s="586" t="s">
        <v>252</v>
      </c>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row>
    <row r="22" spans="1:78" ht="30.75" customHeight="1">
      <c r="A22" s="579"/>
      <c r="B22" s="581"/>
      <c r="C22" s="279" t="s">
        <v>253</v>
      </c>
      <c r="D22" s="280" t="s">
        <v>254</v>
      </c>
      <c r="E22" s="281" t="s">
        <v>255</v>
      </c>
      <c r="F22" s="280" t="s">
        <v>254</v>
      </c>
      <c r="G22" s="584"/>
      <c r="H22" s="585"/>
      <c r="I22" s="586"/>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row>
    <row r="23" spans="1:78">
      <c r="A23" s="255" t="s">
        <v>0</v>
      </c>
      <c r="B23" s="256">
        <v>1</v>
      </c>
      <c r="C23" s="386"/>
      <c r="D23" s="391">
        <f>$B23*C23</f>
        <v>0</v>
      </c>
      <c r="E23" s="321">
        <f>H125+G57</f>
        <v>0</v>
      </c>
      <c r="F23" s="387">
        <f>$B23*E23</f>
        <v>0</v>
      </c>
      <c r="G23" s="389" t="str">
        <f>IFERROR(E23/C23, "-")</f>
        <v>-</v>
      </c>
      <c r="H23" s="393">
        <f>H126+G58</f>
        <v>0</v>
      </c>
      <c r="I23" s="320" t="e">
        <f>H23/E23</f>
        <v>#DIV/0!</v>
      </c>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row>
    <row r="24" spans="1:78">
      <c r="A24" s="258" t="s">
        <v>255</v>
      </c>
      <c r="B24" s="289"/>
      <c r="C24" s="259" t="s">
        <v>256</v>
      </c>
      <c r="D24" s="289">
        <f>SUM(D23:D23)</f>
        <v>0</v>
      </c>
      <c r="E24" s="305" t="s">
        <v>256</v>
      </c>
      <c r="F24" s="305">
        <f>SUM(F23:F23)</f>
        <v>0</v>
      </c>
      <c r="G24" s="251" t="str">
        <f>IFERROR(E24/C24, "-")</f>
        <v>-</v>
      </c>
      <c r="H24" s="376"/>
      <c r="I24" s="249"/>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row>
    <row r="25" spans="1:78">
      <c r="A25" s="254"/>
      <c r="B25" s="290"/>
      <c r="C25" s="261"/>
      <c r="D25" s="261"/>
      <c r="E25" s="261"/>
      <c r="F25" s="261"/>
      <c r="G25" s="261"/>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row>
    <row r="26" spans="1:78" ht="31.35">
      <c r="A26" s="253" t="s">
        <v>374</v>
      </c>
      <c r="B26" s="287"/>
      <c r="C26" s="120"/>
      <c r="D26" s="120"/>
      <c r="E26" s="120"/>
      <c r="F26" s="120"/>
      <c r="G26" s="120"/>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row>
    <row r="27" spans="1:78" ht="15" customHeight="1">
      <c r="A27" s="578" t="s">
        <v>246</v>
      </c>
      <c r="B27" s="580" t="s">
        <v>247</v>
      </c>
      <c r="C27" s="582" t="s">
        <v>338</v>
      </c>
      <c r="D27" s="583"/>
      <c r="E27" s="582" t="s">
        <v>249</v>
      </c>
      <c r="F27" s="582"/>
      <c r="G27" s="584" t="s">
        <v>355</v>
      </c>
      <c r="H27" s="585" t="s">
        <v>251</v>
      </c>
      <c r="I27" s="586" t="s">
        <v>252</v>
      </c>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row>
    <row r="28" spans="1:78" ht="28.5" customHeight="1">
      <c r="A28" s="579"/>
      <c r="B28" s="581"/>
      <c r="C28" s="279" t="s">
        <v>253</v>
      </c>
      <c r="D28" s="280" t="s">
        <v>254</v>
      </c>
      <c r="E28" s="281" t="s">
        <v>255</v>
      </c>
      <c r="F28" s="280" t="s">
        <v>254</v>
      </c>
      <c r="G28" s="584"/>
      <c r="H28" s="585"/>
      <c r="I28" s="586"/>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row>
    <row r="29" spans="1:78">
      <c r="A29" s="255" t="s">
        <v>0</v>
      </c>
      <c r="B29" s="256">
        <v>1</v>
      </c>
      <c r="C29" s="386"/>
      <c r="D29" s="391">
        <f>$B29*C29</f>
        <v>0</v>
      </c>
      <c r="E29" s="321">
        <f>H125+G76</f>
        <v>0</v>
      </c>
      <c r="F29" s="387">
        <f>$B29*E29</f>
        <v>0</v>
      </c>
      <c r="G29" s="389" t="str">
        <f>IFERROR(E29/C29, "-")</f>
        <v>-</v>
      </c>
      <c r="H29" s="297">
        <f>H126+G77</f>
        <v>0</v>
      </c>
      <c r="I29" s="159" t="e">
        <f>H29/E29</f>
        <v>#DIV/0!</v>
      </c>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row>
    <row r="30" spans="1:78">
      <c r="A30" s="258" t="s">
        <v>255</v>
      </c>
      <c r="B30" s="289"/>
      <c r="C30" s="259" t="s">
        <v>256</v>
      </c>
      <c r="D30" s="289">
        <f>SUM(D29:D29)</f>
        <v>0</v>
      </c>
      <c r="E30" s="305" t="s">
        <v>256</v>
      </c>
      <c r="F30" s="305">
        <f>SUM(F29:F29)</f>
        <v>0</v>
      </c>
      <c r="G30" s="392" t="str">
        <f>IFERROR(E30/C30, "-")</f>
        <v>-</v>
      </c>
      <c r="H30" s="394"/>
      <c r="I30" s="315"/>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row>
    <row r="31" spans="1:78">
      <c r="A31" s="254"/>
      <c r="B31" s="290"/>
      <c r="C31" s="261"/>
      <c r="D31" s="261"/>
      <c r="E31" s="261"/>
      <c r="F31" s="261"/>
      <c r="G31" s="261"/>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row>
    <row r="32" spans="1:78" ht="31.35">
      <c r="A32" s="253" t="s">
        <v>375</v>
      </c>
      <c r="B32" s="290"/>
      <c r="C32" s="261"/>
      <c r="D32" s="261"/>
      <c r="E32" s="261"/>
      <c r="F32" s="261"/>
      <c r="G32" s="261"/>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row>
    <row r="33" spans="1:78">
      <c r="A33" s="578" t="s">
        <v>246</v>
      </c>
      <c r="B33" s="580" t="s">
        <v>247</v>
      </c>
      <c r="C33" s="617" t="s">
        <v>376</v>
      </c>
      <c r="D33" s="613" t="s">
        <v>377</v>
      </c>
      <c r="E33" s="586" t="s">
        <v>378</v>
      </c>
      <c r="F33" s="586" t="s">
        <v>379</v>
      </c>
      <c r="G33" s="586" t="s">
        <v>380</v>
      </c>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row>
    <row r="34" spans="1:78">
      <c r="A34" s="579"/>
      <c r="B34" s="581"/>
      <c r="C34" s="617"/>
      <c r="D34" s="613"/>
      <c r="E34" s="586"/>
      <c r="F34" s="586"/>
      <c r="G34" s="586"/>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row>
    <row r="35" spans="1:78">
      <c r="A35" s="618" t="s">
        <v>0</v>
      </c>
      <c r="B35" s="621">
        <v>1</v>
      </c>
      <c r="C35" s="365" t="s">
        <v>381</v>
      </c>
      <c r="D35" s="366">
        <f>D57</f>
        <v>0</v>
      </c>
      <c r="E35" s="365"/>
      <c r="F35" s="367">
        <f>D35*B$35</f>
        <v>0</v>
      </c>
      <c r="G35" s="368"/>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row>
    <row r="36" spans="1:78">
      <c r="A36" s="619"/>
      <c r="B36" s="622"/>
      <c r="C36" s="261" t="s">
        <v>382</v>
      </c>
      <c r="D36" s="307">
        <f>D49+D50+D51+D52</f>
        <v>0</v>
      </c>
      <c r="E36" s="369" t="e">
        <f>D36/D35</f>
        <v>#DIV/0!</v>
      </c>
      <c r="F36" s="303">
        <f t="shared" ref="F36:F37" si="0">D36*B$35</f>
        <v>0</v>
      </c>
      <c r="G36" s="370" t="e">
        <f>F36/F35</f>
        <v>#DIV/0!</v>
      </c>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row>
    <row r="37" spans="1:78" ht="16.5" customHeight="1">
      <c r="A37" s="620"/>
      <c r="B37" s="623"/>
      <c r="C37" s="266" t="s">
        <v>383</v>
      </c>
      <c r="D37" s="371">
        <f>D51</f>
        <v>0</v>
      </c>
      <c r="E37" s="372" t="e">
        <f>D37/D35</f>
        <v>#DIV/0!</v>
      </c>
      <c r="F37" s="304">
        <f t="shared" si="0"/>
        <v>0</v>
      </c>
      <c r="G37" s="373" t="e">
        <f>F37/F35</f>
        <v>#DIV/0!</v>
      </c>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row>
    <row r="38" spans="1:78">
      <c r="A38" s="254"/>
      <c r="B38" s="291"/>
      <c r="C38" s="261"/>
      <c r="D38" s="261"/>
      <c r="E38" s="261"/>
      <c r="F38" s="261"/>
      <c r="G38" s="261"/>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row>
    <row r="39" spans="1:78">
      <c r="A39" s="254"/>
      <c r="B39" s="291"/>
      <c r="C39" s="261"/>
      <c r="D39" s="261"/>
      <c r="E39" s="261"/>
      <c r="F39" s="261"/>
      <c r="G39" s="261"/>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row>
    <row r="40" spans="1:78">
      <c r="A40" s="254"/>
      <c r="B40" s="291"/>
      <c r="C40" s="261"/>
      <c r="D40" s="261"/>
      <c r="E40" s="261"/>
      <c r="F40" s="261"/>
      <c r="G40" s="261"/>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row>
    <row r="41" spans="1:78">
      <c r="A41" s="254"/>
      <c r="B41" s="290"/>
      <c r="C41" s="261"/>
      <c r="D41" s="261"/>
      <c r="E41" s="261"/>
      <c r="F41" s="261"/>
      <c r="G41" s="261"/>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row>
    <row r="42" spans="1:78" ht="31.35">
      <c r="A42" s="253" t="s">
        <v>358</v>
      </c>
      <c r="B42" s="292"/>
      <c r="C42" s="38"/>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row>
    <row r="43" spans="1:78" ht="31.5" customHeight="1">
      <c r="A43" s="571" t="s">
        <v>384</v>
      </c>
      <c r="B43" s="571"/>
      <c r="C43" s="571"/>
      <c r="D43" s="571"/>
      <c r="E43" s="571"/>
      <c r="F43" s="571"/>
      <c r="G43" s="571"/>
      <c r="H43" s="571"/>
      <c r="I43" s="48"/>
      <c r="J43" s="48"/>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row>
    <row r="44" spans="1:78" ht="31.5" customHeight="1">
      <c r="A44" s="571"/>
      <c r="B44" s="571"/>
      <c r="C44" s="571"/>
      <c r="D44" s="571"/>
      <c r="E44" s="571"/>
      <c r="F44" s="571"/>
      <c r="G44" s="571"/>
      <c r="H44" s="571"/>
      <c r="I44" s="48"/>
      <c r="J44" s="48"/>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row>
    <row r="45" spans="1:78">
      <c r="A45" s="614" t="s">
        <v>359</v>
      </c>
      <c r="B45" s="580" t="s">
        <v>360</v>
      </c>
      <c r="C45" s="615" t="s">
        <v>361</v>
      </c>
      <c r="D45" s="616" t="s">
        <v>362</v>
      </c>
      <c r="E45" s="608" t="s">
        <v>262</v>
      </c>
      <c r="F45" s="609" t="s">
        <v>363</v>
      </c>
      <c r="G45" s="611" t="s">
        <v>255</v>
      </c>
      <c r="H45" s="613" t="s">
        <v>265</v>
      </c>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row>
    <row r="46" spans="1:78" ht="27" customHeight="1">
      <c r="A46" s="614"/>
      <c r="B46" s="580"/>
      <c r="C46" s="615"/>
      <c r="D46" s="616"/>
      <c r="E46" s="608"/>
      <c r="F46" s="610"/>
      <c r="G46" s="612"/>
      <c r="H46" s="613"/>
      <c r="J46" s="44"/>
      <c r="K46" s="120"/>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row>
    <row r="47" spans="1:78" ht="29.45">
      <c r="A47" s="265" t="s">
        <v>385</v>
      </c>
      <c r="B47" s="288"/>
      <c r="C47" s="159">
        <v>1</v>
      </c>
      <c r="D47" s="298">
        <f>B47*C47</f>
        <v>0</v>
      </c>
      <c r="E47" s="310" t="s">
        <v>365</v>
      </c>
      <c r="F47" s="408"/>
      <c r="G47" s="321">
        <f t="shared" ref="G47:G56" si="1">$B47*F47</f>
        <v>0</v>
      </c>
      <c r="H47" s="272" t="s">
        <v>269</v>
      </c>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row>
    <row r="48" spans="1:78">
      <c r="A48" s="257" t="s">
        <v>386</v>
      </c>
      <c r="B48" s="293"/>
      <c r="C48" s="159">
        <v>1</v>
      </c>
      <c r="D48" s="298">
        <f t="shared" ref="D48:D56" si="2">B48*C48</f>
        <v>0</v>
      </c>
      <c r="E48" s="310"/>
      <c r="F48" s="409"/>
      <c r="G48" s="321">
        <f t="shared" si="1"/>
        <v>0</v>
      </c>
      <c r="H48" s="272"/>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row>
    <row r="49" spans="1:78">
      <c r="A49" s="257" t="s">
        <v>387</v>
      </c>
      <c r="B49" s="293"/>
      <c r="C49" s="159">
        <v>1</v>
      </c>
      <c r="D49" s="298">
        <f t="shared" si="2"/>
        <v>0</v>
      </c>
      <c r="E49" s="310" t="s">
        <v>45</v>
      </c>
      <c r="F49" s="409"/>
      <c r="G49" s="321">
        <f t="shared" si="1"/>
        <v>0</v>
      </c>
      <c r="H49" s="272" t="s">
        <v>267</v>
      </c>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row>
    <row r="50" spans="1:78">
      <c r="A50" s="257" t="s">
        <v>364</v>
      </c>
      <c r="B50" s="293"/>
      <c r="C50" s="159">
        <v>0.98</v>
      </c>
      <c r="D50" s="298">
        <f t="shared" si="2"/>
        <v>0</v>
      </c>
      <c r="E50" s="310" t="s">
        <v>45</v>
      </c>
      <c r="F50" s="409"/>
      <c r="G50" s="321">
        <f t="shared" si="1"/>
        <v>0</v>
      </c>
      <c r="H50" s="272" t="s">
        <v>267</v>
      </c>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row>
    <row r="51" spans="1:78">
      <c r="A51" s="257" t="s">
        <v>388</v>
      </c>
      <c r="B51" s="293"/>
      <c r="C51" s="159">
        <v>0.95</v>
      </c>
      <c r="D51" s="298">
        <f t="shared" si="2"/>
        <v>0</v>
      </c>
      <c r="E51" s="310" t="s">
        <v>45</v>
      </c>
      <c r="F51" s="409"/>
      <c r="G51" s="321">
        <f t="shared" si="1"/>
        <v>0</v>
      </c>
      <c r="H51" s="272" t="s">
        <v>267</v>
      </c>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row>
    <row r="52" spans="1:78">
      <c r="A52" s="257" t="s">
        <v>389</v>
      </c>
      <c r="B52" s="293"/>
      <c r="C52" s="159">
        <v>1</v>
      </c>
      <c r="D52" s="298">
        <f t="shared" si="2"/>
        <v>0</v>
      </c>
      <c r="E52" s="310" t="s">
        <v>365</v>
      </c>
      <c r="F52" s="409"/>
      <c r="G52" s="321">
        <f t="shared" si="1"/>
        <v>0</v>
      </c>
      <c r="H52" s="272" t="s">
        <v>269</v>
      </c>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row>
    <row r="53" spans="1:78">
      <c r="A53" s="257" t="s">
        <v>274</v>
      </c>
      <c r="B53" s="293"/>
      <c r="C53" s="159"/>
      <c r="D53" s="298">
        <f t="shared" si="2"/>
        <v>0</v>
      </c>
      <c r="E53" s="310"/>
      <c r="F53" s="409"/>
      <c r="G53" s="321">
        <f t="shared" si="1"/>
        <v>0</v>
      </c>
      <c r="H53" s="272"/>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row>
    <row r="54" spans="1:78">
      <c r="A54" s="257" t="s">
        <v>276</v>
      </c>
      <c r="B54" s="293"/>
      <c r="C54" s="159"/>
      <c r="D54" s="298">
        <f t="shared" si="2"/>
        <v>0</v>
      </c>
      <c r="E54" s="310"/>
      <c r="F54" s="409"/>
      <c r="G54" s="321">
        <f t="shared" si="1"/>
        <v>0</v>
      </c>
      <c r="H54" s="272"/>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row>
    <row r="55" spans="1:78">
      <c r="A55" s="257" t="s">
        <v>278</v>
      </c>
      <c r="B55" s="293"/>
      <c r="C55" s="159"/>
      <c r="D55" s="298">
        <f t="shared" si="2"/>
        <v>0</v>
      </c>
      <c r="E55" s="310"/>
      <c r="F55" s="409"/>
      <c r="G55" s="321">
        <f t="shared" si="1"/>
        <v>0</v>
      </c>
      <c r="H55" s="272"/>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row>
    <row r="56" spans="1:78">
      <c r="A56" s="257" t="s">
        <v>366</v>
      </c>
      <c r="B56" s="302"/>
      <c r="C56" s="159"/>
      <c r="D56" s="298">
        <f t="shared" si="2"/>
        <v>0</v>
      </c>
      <c r="E56" s="310"/>
      <c r="F56" s="410"/>
      <c r="G56" s="322">
        <f t="shared" si="1"/>
        <v>0</v>
      </c>
      <c r="H56" s="316"/>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row>
    <row r="57" spans="1:78">
      <c r="A57" s="318" t="s">
        <v>255</v>
      </c>
      <c r="B57" s="305">
        <f>SUM(B47:B56)</f>
        <v>0</v>
      </c>
      <c r="C57" s="301"/>
      <c r="D57" s="306">
        <f>SUM(D47:D56)</f>
        <v>0</v>
      </c>
      <c r="E57" s="315"/>
      <c r="F57" s="260" t="s">
        <v>256</v>
      </c>
      <c r="G57" s="304">
        <f>SUM(G47:G56)</f>
        <v>0</v>
      </c>
      <c r="H57" s="317"/>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row>
    <row r="58" spans="1:78">
      <c r="A58" s="588" t="s">
        <v>280</v>
      </c>
      <c r="B58" s="589"/>
      <c r="C58" s="590"/>
      <c r="F58" s="261"/>
      <c r="G58" s="290">
        <f>SUMIF(H47:H56, "Primary", G47:G56)</f>
        <v>0</v>
      </c>
      <c r="H58" s="261"/>
      <c r="I58" s="261"/>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row>
    <row r="59" spans="1:78">
      <c r="A59" s="254"/>
      <c r="B59" s="290"/>
      <c r="F59" s="261"/>
      <c r="G59" s="261"/>
      <c r="H59" s="261"/>
      <c r="I59" s="261"/>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row>
    <row r="60" spans="1:78">
      <c r="A60" s="254"/>
      <c r="B60" s="290"/>
      <c r="F60" s="261"/>
      <c r="G60" s="261"/>
      <c r="H60" s="261"/>
      <c r="I60" s="261"/>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row>
    <row r="61" spans="1:78" ht="31.35">
      <c r="A61" s="253" t="s">
        <v>367</v>
      </c>
      <c r="B61" s="292"/>
      <c r="F61" s="38"/>
      <c r="G61" s="44"/>
      <c r="H61" s="261"/>
      <c r="I61" s="261"/>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row>
    <row r="62" spans="1:78" ht="31.5" customHeight="1">
      <c r="A62" s="571" t="s">
        <v>390</v>
      </c>
      <c r="B62" s="624"/>
      <c r="C62" s="624"/>
      <c r="D62" s="624"/>
      <c r="E62" s="624"/>
      <c r="F62" s="624"/>
      <c r="G62" s="624"/>
      <c r="H62" s="624"/>
      <c r="I62" s="261"/>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row>
    <row r="63" spans="1:78" ht="31.5" customHeight="1">
      <c r="A63" s="624"/>
      <c r="B63" s="624"/>
      <c r="C63" s="624"/>
      <c r="D63" s="624"/>
      <c r="E63" s="624"/>
      <c r="F63" s="624"/>
      <c r="G63" s="624"/>
      <c r="H63" s="624"/>
      <c r="I63" s="261"/>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row>
    <row r="64" spans="1:78" ht="15" customHeight="1">
      <c r="A64" s="614" t="s">
        <v>359</v>
      </c>
      <c r="B64" s="580" t="s">
        <v>360</v>
      </c>
      <c r="C64" s="585" t="s">
        <v>361</v>
      </c>
      <c r="D64" s="583" t="s">
        <v>368</v>
      </c>
      <c r="E64" s="608" t="s">
        <v>262</v>
      </c>
      <c r="F64" s="609" t="s">
        <v>363</v>
      </c>
      <c r="G64" s="611" t="s">
        <v>255</v>
      </c>
      <c r="H64" s="613" t="s">
        <v>265</v>
      </c>
      <c r="I64" s="261"/>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row>
    <row r="65" spans="1:78" ht="33" customHeight="1">
      <c r="A65" s="614"/>
      <c r="B65" s="580"/>
      <c r="C65" s="585"/>
      <c r="D65" s="583"/>
      <c r="E65" s="608"/>
      <c r="F65" s="610"/>
      <c r="G65" s="612"/>
      <c r="H65" s="613"/>
      <c r="I65" s="261"/>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row>
    <row r="66" spans="1:78" ht="30.2" customHeight="1">
      <c r="A66" s="265" t="s">
        <v>385</v>
      </c>
      <c r="B66" s="288"/>
      <c r="C66" s="159">
        <v>1</v>
      </c>
      <c r="D66" s="298">
        <f>B66*C66</f>
        <v>0</v>
      </c>
      <c r="E66" s="310" t="s">
        <v>365</v>
      </c>
      <c r="F66" s="411"/>
      <c r="G66" s="321">
        <f t="shared" ref="G66:G75" si="3">$B66*F66</f>
        <v>0</v>
      </c>
      <c r="H66" s="272" t="s">
        <v>269</v>
      </c>
      <c r="I66" s="261"/>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row>
    <row r="67" spans="1:78">
      <c r="A67" s="257" t="s">
        <v>386</v>
      </c>
      <c r="B67" s="293"/>
      <c r="C67" s="159">
        <v>1</v>
      </c>
      <c r="D67" s="298">
        <f t="shared" ref="D67:D75" si="4">B67*C67</f>
        <v>0</v>
      </c>
      <c r="E67" s="310"/>
      <c r="F67" s="409"/>
      <c r="G67" s="321">
        <f t="shared" si="3"/>
        <v>0</v>
      </c>
      <c r="H67" s="272"/>
      <c r="I67" s="261"/>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row>
    <row r="68" spans="1:78">
      <c r="A68" s="257" t="s">
        <v>387</v>
      </c>
      <c r="B68" s="293"/>
      <c r="C68" s="159">
        <v>1</v>
      </c>
      <c r="D68" s="298">
        <f t="shared" si="4"/>
        <v>0</v>
      </c>
      <c r="E68" s="310" t="s">
        <v>45</v>
      </c>
      <c r="F68" s="409"/>
      <c r="G68" s="321">
        <f t="shared" si="3"/>
        <v>0</v>
      </c>
      <c r="H68" s="272" t="s">
        <v>267</v>
      </c>
      <c r="I68" s="261"/>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row>
    <row r="69" spans="1:78">
      <c r="A69" s="257" t="s">
        <v>364</v>
      </c>
      <c r="B69" s="293"/>
      <c r="C69" s="159">
        <v>0.98</v>
      </c>
      <c r="D69" s="298">
        <f t="shared" si="4"/>
        <v>0</v>
      </c>
      <c r="E69" s="310" t="s">
        <v>45</v>
      </c>
      <c r="F69" s="409"/>
      <c r="G69" s="321">
        <f t="shared" si="3"/>
        <v>0</v>
      </c>
      <c r="H69" s="272" t="s">
        <v>267</v>
      </c>
      <c r="I69" s="261"/>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row>
    <row r="70" spans="1:78">
      <c r="A70" s="257" t="s">
        <v>388</v>
      </c>
      <c r="B70" s="293"/>
      <c r="C70" s="159">
        <v>0.95</v>
      </c>
      <c r="D70" s="298">
        <f t="shared" si="4"/>
        <v>0</v>
      </c>
      <c r="E70" s="310" t="s">
        <v>45</v>
      </c>
      <c r="F70" s="409"/>
      <c r="G70" s="321">
        <f t="shared" si="3"/>
        <v>0</v>
      </c>
      <c r="H70" s="272" t="s">
        <v>267</v>
      </c>
      <c r="I70" s="261"/>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row>
    <row r="71" spans="1:78">
      <c r="A71" s="257" t="s">
        <v>389</v>
      </c>
      <c r="B71" s="293"/>
      <c r="C71" s="159">
        <v>1</v>
      </c>
      <c r="D71" s="298">
        <f t="shared" si="4"/>
        <v>0</v>
      </c>
      <c r="E71" s="310" t="s">
        <v>365</v>
      </c>
      <c r="F71" s="409"/>
      <c r="G71" s="321">
        <f t="shared" si="3"/>
        <v>0</v>
      </c>
      <c r="H71" s="272" t="s">
        <v>269</v>
      </c>
      <c r="I71" s="261"/>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row>
    <row r="72" spans="1:78">
      <c r="A72" s="257" t="s">
        <v>274</v>
      </c>
      <c r="B72" s="293"/>
      <c r="D72" s="298">
        <f t="shared" si="4"/>
        <v>0</v>
      </c>
      <c r="E72" s="310"/>
      <c r="F72" s="409"/>
      <c r="G72" s="321">
        <f t="shared" si="3"/>
        <v>0</v>
      </c>
      <c r="H72" s="272"/>
      <c r="I72" s="261"/>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row>
    <row r="73" spans="1:78">
      <c r="A73" s="257" t="s">
        <v>276</v>
      </c>
      <c r="B73" s="293"/>
      <c r="D73" s="298">
        <f t="shared" si="4"/>
        <v>0</v>
      </c>
      <c r="E73" s="310"/>
      <c r="F73" s="409"/>
      <c r="G73" s="321">
        <f t="shared" si="3"/>
        <v>0</v>
      </c>
      <c r="H73" s="272"/>
      <c r="I73" s="261"/>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row>
    <row r="74" spans="1:78">
      <c r="A74" s="257" t="s">
        <v>278</v>
      </c>
      <c r="B74" s="293"/>
      <c r="D74" s="298">
        <f t="shared" si="4"/>
        <v>0</v>
      </c>
      <c r="E74" s="310"/>
      <c r="F74" s="409"/>
      <c r="G74" s="321">
        <f t="shared" si="3"/>
        <v>0</v>
      </c>
      <c r="H74" s="272"/>
      <c r="I74" s="261"/>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row>
    <row r="75" spans="1:78">
      <c r="A75" s="257" t="s">
        <v>366</v>
      </c>
      <c r="B75" s="302"/>
      <c r="D75" s="298">
        <f t="shared" si="4"/>
        <v>0</v>
      </c>
      <c r="E75" s="310"/>
      <c r="F75" s="412"/>
      <c r="G75" s="322">
        <f t="shared" si="3"/>
        <v>0</v>
      </c>
      <c r="H75" s="272"/>
      <c r="I75" s="261"/>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row>
    <row r="76" spans="1:78">
      <c r="A76" s="318" t="s">
        <v>255</v>
      </c>
      <c r="B76" s="305">
        <f>SUM(B66:B75)</f>
        <v>0</v>
      </c>
      <c r="C76" s="301"/>
      <c r="D76" s="301"/>
      <c r="E76" s="301"/>
      <c r="F76" s="260" t="s">
        <v>256</v>
      </c>
      <c r="G76" s="304">
        <f>SUM(G66:G75)</f>
        <v>0</v>
      </c>
      <c r="H76" s="269"/>
      <c r="I76" s="261"/>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row>
    <row r="77" spans="1:78">
      <c r="A77" s="319" t="s">
        <v>280</v>
      </c>
      <c r="B77" s="303"/>
      <c r="F77" s="261"/>
      <c r="G77" s="290">
        <f>SUMIF(H66:H75, "Primary", G66:G75)</f>
        <v>0</v>
      </c>
      <c r="H77" s="261"/>
      <c r="I77" s="261"/>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row>
    <row r="78" spans="1:78">
      <c r="A78" s="254"/>
      <c r="B78" s="303"/>
      <c r="F78" s="261"/>
      <c r="G78" s="261"/>
      <c r="H78" s="261"/>
      <c r="I78" s="261"/>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row>
    <row r="79" spans="1:78">
      <c r="A79" s="254"/>
      <c r="B79" s="292"/>
      <c r="D79" s="38"/>
      <c r="E79" s="38"/>
      <c r="F79" s="38"/>
      <c r="G79" s="38"/>
      <c r="H79" s="38"/>
      <c r="I79" s="38"/>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row>
    <row r="80" spans="1:78" ht="31.35">
      <c r="A80" s="253" t="s">
        <v>391</v>
      </c>
      <c r="B80" s="292"/>
      <c r="C80" s="38"/>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row>
    <row r="81" spans="1:78">
      <c r="A81" s="587" t="s">
        <v>258</v>
      </c>
      <c r="B81" s="587"/>
      <c r="C81" s="587"/>
      <c r="D81" s="587" t="str">
        <f>A23</f>
        <v>Asset 1</v>
      </c>
      <c r="E81" s="587"/>
      <c r="F81" s="587"/>
      <c r="G81" s="587"/>
      <c r="H81" s="587"/>
      <c r="I81" s="313"/>
      <c r="N81" s="672"/>
      <c r="O81" s="672"/>
      <c r="P81" s="672"/>
      <c r="Q81" s="672"/>
      <c r="R81" s="672"/>
      <c r="S81" s="672"/>
      <c r="T81" s="672"/>
      <c r="U81" s="672"/>
      <c r="V81" s="672"/>
      <c r="W81" s="672"/>
      <c r="X81" s="672"/>
      <c r="Y81" s="672"/>
      <c r="Z81" s="672"/>
      <c r="AA81" s="672"/>
      <c r="AB81" s="672"/>
      <c r="AC81" s="672"/>
      <c r="AD81" s="672"/>
      <c r="AE81" s="672"/>
      <c r="AF81" s="672"/>
      <c r="AG81" s="672"/>
      <c r="AH81" s="672"/>
      <c r="AI81" s="672"/>
      <c r="AJ81" s="672"/>
      <c r="AK81" s="672"/>
      <c r="AL81" s="672"/>
      <c r="AM81" s="672"/>
      <c r="AN81" s="672"/>
      <c r="AO81" s="672"/>
      <c r="AP81" s="672"/>
      <c r="AQ81" s="672"/>
      <c r="AR81" s="672"/>
      <c r="AS81" s="672"/>
      <c r="AT81" s="672"/>
      <c r="AU81" s="672"/>
      <c r="AV81" s="672"/>
      <c r="AW81" s="672"/>
      <c r="AX81" s="672"/>
      <c r="AY81" s="672"/>
      <c r="AZ81" s="672"/>
      <c r="BA81" s="672"/>
      <c r="BB81" s="672"/>
      <c r="BC81" s="672"/>
      <c r="BD81" s="672"/>
      <c r="BE81" s="672"/>
      <c r="BF81" s="672"/>
      <c r="BG81" s="672"/>
      <c r="BH81" s="672"/>
      <c r="BI81" s="672"/>
      <c r="BJ81" s="672"/>
      <c r="BK81" s="672"/>
      <c r="BL81" s="672"/>
      <c r="BM81" s="672"/>
      <c r="BN81" s="672"/>
      <c r="BO81" s="672"/>
      <c r="BP81" s="672"/>
      <c r="BQ81" s="672"/>
      <c r="BR81" s="672"/>
      <c r="BS81" s="672"/>
      <c r="BT81" s="672"/>
      <c r="BU81" s="672"/>
      <c r="BV81" s="672"/>
      <c r="BW81" s="672"/>
      <c r="BX81" s="672"/>
      <c r="BY81" s="672"/>
      <c r="BZ81" s="672"/>
    </row>
    <row r="82" spans="1:78" ht="29.45">
      <c r="A82" s="283" t="s">
        <v>259</v>
      </c>
      <c r="B82" s="294" t="s">
        <v>30</v>
      </c>
      <c r="C82" s="284" t="s">
        <v>260</v>
      </c>
      <c r="D82" s="285" t="s">
        <v>261</v>
      </c>
      <c r="E82" s="282" t="s">
        <v>32</v>
      </c>
      <c r="F82" s="282" t="s">
        <v>262</v>
      </c>
      <c r="G82" s="282" t="s">
        <v>263</v>
      </c>
      <c r="H82" s="284" t="s">
        <v>264</v>
      </c>
      <c r="I82" s="309" t="s">
        <v>265</v>
      </c>
    </row>
    <row r="83" spans="1:78">
      <c r="A83" s="265"/>
      <c r="B83" s="295"/>
      <c r="C83" s="267"/>
      <c r="D83" s="268"/>
      <c r="E83" s="266"/>
      <c r="F83" s="266"/>
      <c r="G83" s="266"/>
      <c r="H83" s="267"/>
    </row>
    <row r="84" spans="1:78">
      <c r="A84" s="591" t="s">
        <v>282</v>
      </c>
      <c r="B84" s="592"/>
      <c r="C84" s="593"/>
      <c r="D84" s="269"/>
      <c r="E84" s="269"/>
      <c r="F84" s="269"/>
      <c r="G84" s="269"/>
      <c r="H84" s="381">
        <f>SUM(H85:H93)</f>
        <v>0</v>
      </c>
    </row>
    <row r="85" spans="1:78">
      <c r="A85" s="270" t="s">
        <v>46</v>
      </c>
      <c r="B85" s="292" t="s">
        <v>44</v>
      </c>
      <c r="C85" s="278">
        <f>'Default EF'!G14</f>
        <v>2.6426992500000002</v>
      </c>
      <c r="D85" s="374"/>
      <c r="E85" s="272"/>
      <c r="F85" s="272" t="s">
        <v>45</v>
      </c>
      <c r="G85" s="272"/>
      <c r="H85" s="382">
        <f>IF(F85='Reference (hide)'!$A$1, (D85-E85)*$C85, (D85-E85)*G85)</f>
        <v>0</v>
      </c>
      <c r="I85" s="310" t="s">
        <v>269</v>
      </c>
    </row>
    <row r="86" spans="1:78">
      <c r="A86" s="270" t="s">
        <v>47</v>
      </c>
      <c r="B86" s="292" t="s">
        <v>44</v>
      </c>
      <c r="C86" s="278">
        <f>'Default EF'!G16</f>
        <v>2.4581595000000003</v>
      </c>
      <c r="D86" s="374"/>
      <c r="E86" s="272"/>
      <c r="F86" s="272" t="s">
        <v>45</v>
      </c>
      <c r="G86" s="272"/>
      <c r="H86" s="382">
        <f>IF(F86='Reference (hide)'!$A$1, (D86-E86)*$C86, (D86-E86)*G86)</f>
        <v>0</v>
      </c>
      <c r="I86" s="310" t="s">
        <v>269</v>
      </c>
    </row>
    <row r="87" spans="1:78">
      <c r="A87" s="270" t="s">
        <v>48</v>
      </c>
      <c r="B87" s="292" t="s">
        <v>44</v>
      </c>
      <c r="C87" s="278">
        <f>'Default EF'!G17</f>
        <v>1.8290947499999997</v>
      </c>
      <c r="D87" s="374"/>
      <c r="E87" s="272"/>
      <c r="F87" s="272" t="s">
        <v>45</v>
      </c>
      <c r="G87" s="272"/>
      <c r="H87" s="382">
        <f>IF(F87='Reference (hide)'!$A$1, (D87-E87)*$C87, (D87-E87)*G87)</f>
        <v>0</v>
      </c>
      <c r="I87" s="310" t="s">
        <v>269</v>
      </c>
    </row>
    <row r="88" spans="1:78">
      <c r="A88" s="270" t="s">
        <v>49</v>
      </c>
      <c r="B88" s="292" t="s">
        <v>44</v>
      </c>
      <c r="C88" s="278">
        <f>'Default EF'!G18</f>
        <v>1.2099622500000002</v>
      </c>
      <c r="D88" s="374"/>
      <c r="E88" s="272"/>
      <c r="F88" s="272" t="s">
        <v>45</v>
      </c>
      <c r="G88" s="272"/>
      <c r="H88" s="382">
        <f>IF(F88='Reference (hide)'!$A$1, (D88-E88)*$C88, (D88-E88)*G88)</f>
        <v>0</v>
      </c>
      <c r="I88" s="310" t="s">
        <v>269</v>
      </c>
    </row>
    <row r="89" spans="1:78">
      <c r="A89" s="270" t="s">
        <v>283</v>
      </c>
      <c r="B89" s="292" t="s">
        <v>275</v>
      </c>
      <c r="C89" s="271">
        <f>'Default EF'!G19</f>
        <v>2.9487799999999998E-3</v>
      </c>
      <c r="D89" s="374"/>
      <c r="E89" s="272"/>
      <c r="F89" s="272" t="s">
        <v>45</v>
      </c>
      <c r="G89" s="272"/>
      <c r="H89" s="382">
        <f>IF(F89='Reference (hide)'!$A$1, (D89-E89)*$C89, (D89-E89)*G89)</f>
        <v>0</v>
      </c>
      <c r="I89" s="310" t="s">
        <v>269</v>
      </c>
    </row>
    <row r="90" spans="1:78">
      <c r="A90" s="270" t="s">
        <v>284</v>
      </c>
      <c r="B90" s="292" t="s">
        <v>275</v>
      </c>
      <c r="C90" s="271">
        <f>'Default EF'!G20</f>
        <v>2.6854800000000001E-3</v>
      </c>
      <c r="D90" s="374"/>
      <c r="E90" s="272"/>
      <c r="F90" s="272" t="s">
        <v>45</v>
      </c>
      <c r="G90" s="272"/>
      <c r="H90" s="382">
        <f>IF(F90='Reference (hide)'!$A$1, (D90-E90)*$C90, (D90-E90)*G90)</f>
        <v>0</v>
      </c>
      <c r="I90" s="310" t="s">
        <v>269</v>
      </c>
    </row>
    <row r="91" spans="1:78">
      <c r="A91" s="270" t="s">
        <v>53</v>
      </c>
      <c r="B91" s="292" t="s">
        <v>275</v>
      </c>
      <c r="C91" s="271">
        <f>'Default EF'!G21</f>
        <v>1.6159529430000001E-3</v>
      </c>
      <c r="D91" s="374"/>
      <c r="E91" s="272"/>
      <c r="F91" s="272" t="s">
        <v>45</v>
      </c>
      <c r="G91" s="272"/>
      <c r="H91" s="382">
        <f>IF(F91='Reference (hide)'!$A$1, (D91-E91)*$C91, (D91-E91)*G91)</f>
        <v>0</v>
      </c>
      <c r="I91" s="310" t="s">
        <v>269</v>
      </c>
    </row>
    <row r="92" spans="1:78">
      <c r="A92" s="270" t="s">
        <v>285</v>
      </c>
      <c r="B92" s="292" t="s">
        <v>277</v>
      </c>
      <c r="C92" s="271">
        <f>'Default EF'!G22</f>
        <v>2.2102717812691286E-3</v>
      </c>
      <c r="D92" s="374"/>
      <c r="E92" s="272"/>
      <c r="F92" s="272" t="s">
        <v>45</v>
      </c>
      <c r="G92" s="272"/>
      <c r="H92" s="382">
        <f>IF(F92='Reference (hide)'!$A$1, (D92-E92)*$C92, (D92-E92)*G92)</f>
        <v>0</v>
      </c>
      <c r="I92" s="310" t="s">
        <v>269</v>
      </c>
    </row>
    <row r="93" spans="1:78">
      <c r="A93" s="270" t="s">
        <v>285</v>
      </c>
      <c r="B93" s="292" t="s">
        <v>279</v>
      </c>
      <c r="C93" s="252">
        <f>'Default EF'!G23</f>
        <v>5.8470000000000001E-2</v>
      </c>
      <c r="D93" s="374"/>
      <c r="E93" s="272"/>
      <c r="F93" s="272" t="s">
        <v>45</v>
      </c>
      <c r="G93" s="272"/>
      <c r="H93" s="382">
        <f>IF(F93='Reference (hide)'!$A$1, (D93-E93)*$C93, (D93-E93)*G93)</f>
        <v>0</v>
      </c>
      <c r="I93" s="310" t="s">
        <v>269</v>
      </c>
    </row>
    <row r="94" spans="1:78">
      <c r="A94" s="120"/>
      <c r="B94" s="296"/>
      <c r="C94" s="250"/>
      <c r="D94" s="296"/>
      <c r="E94" s="249"/>
      <c r="F94" s="249"/>
      <c r="G94" s="249"/>
      <c r="H94" s="383"/>
      <c r="I94" s="311"/>
    </row>
    <row r="95" spans="1:78">
      <c r="A95" s="591" t="s">
        <v>286</v>
      </c>
      <c r="B95" s="591"/>
      <c r="C95" s="591"/>
      <c r="D95" s="324"/>
      <c r="E95" s="260"/>
      <c r="F95" s="260"/>
      <c r="G95" s="260"/>
      <c r="H95" s="289">
        <f>SUM(H96:H104)</f>
        <v>0</v>
      </c>
      <c r="I95" s="311"/>
    </row>
    <row r="96" spans="1:78">
      <c r="A96" s="270" t="s">
        <v>287</v>
      </c>
      <c r="B96" s="292" t="s">
        <v>44</v>
      </c>
      <c r="C96" s="278">
        <f>'Default EF'!J14</f>
        <v>0.39248999999999995</v>
      </c>
      <c r="D96" s="375">
        <f t="shared" ref="D96:E98" si="5">D85</f>
        <v>0</v>
      </c>
      <c r="E96" s="375">
        <f t="shared" si="5"/>
        <v>0</v>
      </c>
      <c r="F96" s="272" t="s">
        <v>45</v>
      </c>
      <c r="G96" s="272"/>
      <c r="H96" s="382">
        <f>IF(F96='Reference (hide)'!$A$1, (D96-E96)*$C96, (D96-E96)*G96)</f>
        <v>0</v>
      </c>
      <c r="I96" s="310" t="s">
        <v>267</v>
      </c>
    </row>
    <row r="97" spans="1:78">
      <c r="A97" s="270" t="s">
        <v>288</v>
      </c>
      <c r="B97" s="292" t="s">
        <v>44</v>
      </c>
      <c r="C97" s="278">
        <f>'Default EF'!J16</f>
        <v>0.37925999999999999</v>
      </c>
      <c r="D97" s="375">
        <f t="shared" si="5"/>
        <v>0</v>
      </c>
      <c r="E97" s="375">
        <f t="shared" si="5"/>
        <v>0</v>
      </c>
      <c r="F97" s="272" t="s">
        <v>45</v>
      </c>
      <c r="G97" s="272"/>
      <c r="H97" s="382">
        <f>IF(F97='Reference (hide)'!$A$1, (D97-E97)*$C97, (D97-E97)*G97)</f>
        <v>0</v>
      </c>
      <c r="I97" s="310"/>
    </row>
    <row r="98" spans="1:78">
      <c r="A98" s="270" t="s">
        <v>289</v>
      </c>
      <c r="B98" s="292" t="s">
        <v>44</v>
      </c>
      <c r="C98" s="278">
        <f>'Default EF'!J17</f>
        <v>0.27782999999999997</v>
      </c>
      <c r="D98" s="375">
        <f t="shared" si="5"/>
        <v>0</v>
      </c>
      <c r="E98" s="375">
        <f t="shared" si="5"/>
        <v>0</v>
      </c>
      <c r="F98" s="272" t="s">
        <v>45</v>
      </c>
      <c r="G98" s="272"/>
      <c r="H98" s="382">
        <f>IF(F98='Reference (hide)'!$A$1, (D98-E98)*$C98, (D98-E98)*G98)</f>
        <v>0</v>
      </c>
      <c r="I98" s="310"/>
    </row>
    <row r="99" spans="1:78">
      <c r="A99" s="270" t="s">
        <v>290</v>
      </c>
      <c r="B99" s="292" t="s">
        <v>44</v>
      </c>
      <c r="C99" s="278">
        <f>'Default EF'!J18</f>
        <v>0.17493</v>
      </c>
      <c r="D99" s="375">
        <f>D88</f>
        <v>0</v>
      </c>
      <c r="E99" s="375">
        <f>E88</f>
        <v>0</v>
      </c>
      <c r="F99" s="272" t="s">
        <v>45</v>
      </c>
      <c r="G99" s="272"/>
      <c r="H99" s="382">
        <f>IF(F99='Reference (hide)'!$A$1, (D99-E99)*$C99, (D99-E99)*G99)</f>
        <v>0</v>
      </c>
      <c r="I99" s="310"/>
    </row>
    <row r="100" spans="1:78">
      <c r="A100" s="270" t="s">
        <v>291</v>
      </c>
      <c r="B100" s="292" t="s">
        <v>275</v>
      </c>
      <c r="C100" s="271">
        <f>'Default EF'!J19</f>
        <v>4.2533119999999989E-4</v>
      </c>
      <c r="D100" s="375">
        <f t="shared" ref="D100:D101" si="6">D89</f>
        <v>0</v>
      </c>
      <c r="E100" s="375">
        <f>E90</f>
        <v>0</v>
      </c>
      <c r="F100" s="272" t="s">
        <v>45</v>
      </c>
      <c r="G100" s="272"/>
      <c r="H100" s="382">
        <f>IF(F100='Reference (hide)'!$A$1, (D100-E100)*$C100, (D100-E100)*G100)</f>
        <v>0</v>
      </c>
      <c r="I100" s="310" t="s">
        <v>267</v>
      </c>
    </row>
    <row r="101" spans="1:78">
      <c r="A101" s="270" t="s">
        <v>292</v>
      </c>
      <c r="B101" s="292" t="s">
        <v>275</v>
      </c>
      <c r="C101" s="271">
        <f>'Default EF'!J20</f>
        <v>5.9092319999999989E-4</v>
      </c>
      <c r="D101" s="375">
        <f t="shared" si="6"/>
        <v>0</v>
      </c>
      <c r="E101" s="375">
        <f>E89</f>
        <v>0</v>
      </c>
      <c r="F101" s="272" t="s">
        <v>45</v>
      </c>
      <c r="G101" s="272"/>
      <c r="H101" s="382">
        <f>IF(F101='Reference (hide)'!$A$1, (D101-E101)*$C101, (D101-E101)*G101)</f>
        <v>0</v>
      </c>
      <c r="I101" s="310" t="s">
        <v>267</v>
      </c>
    </row>
    <row r="102" spans="1:78">
      <c r="A102" s="270" t="s">
        <v>293</v>
      </c>
      <c r="B102" s="292" t="s">
        <v>275</v>
      </c>
      <c r="C102" s="271">
        <f>'Default EF'!J21</f>
        <v>1.7956026000000001E-4</v>
      </c>
      <c r="D102" s="375">
        <f t="shared" ref="D102:E104" si="7">D91</f>
        <v>0</v>
      </c>
      <c r="E102" s="375">
        <f t="shared" si="7"/>
        <v>0</v>
      </c>
      <c r="F102" s="272" t="s">
        <v>45</v>
      </c>
      <c r="G102" s="272"/>
      <c r="H102" s="382">
        <f>IF(F102='Reference (hide)'!$A$1, (D102-E102)*$C102, (D102-E102)*G102)</f>
        <v>0</v>
      </c>
      <c r="I102" s="310"/>
    </row>
    <row r="103" spans="1:78">
      <c r="A103" s="270" t="s">
        <v>294</v>
      </c>
      <c r="B103" s="292" t="s">
        <v>277</v>
      </c>
      <c r="C103" s="271">
        <f>'Default EF'!J22</f>
        <v>3.2887573964497034E-4</v>
      </c>
      <c r="D103" s="375">
        <f t="shared" si="7"/>
        <v>0</v>
      </c>
      <c r="E103" s="375">
        <f t="shared" si="7"/>
        <v>0</v>
      </c>
      <c r="F103" s="272" t="s">
        <v>45</v>
      </c>
      <c r="G103" s="272"/>
      <c r="H103" s="382">
        <f>IF(F103='Reference (hide)'!$A$1, (D103-E103)*$C103, (D103-E103)*G103)</f>
        <v>0</v>
      </c>
      <c r="I103" s="310" t="s">
        <v>267</v>
      </c>
    </row>
    <row r="104" spans="1:78">
      <c r="A104" s="270" t="s">
        <v>294</v>
      </c>
      <c r="B104" s="292" t="s">
        <v>279</v>
      </c>
      <c r="C104" s="271">
        <f>'Default EF'!J23</f>
        <v>8.6999999999999994E-3</v>
      </c>
      <c r="D104" s="375">
        <f t="shared" si="7"/>
        <v>0</v>
      </c>
      <c r="E104" s="375">
        <f t="shared" si="7"/>
        <v>0</v>
      </c>
      <c r="F104" s="272" t="s">
        <v>45</v>
      </c>
      <c r="G104" s="272"/>
      <c r="H104" s="382">
        <f>IF(F104='Reference (hide)'!$A$1, (D104-E104)*$C104, (D104-E104)*G104)</f>
        <v>0</v>
      </c>
      <c r="I104" s="310"/>
    </row>
    <row r="105" spans="1:78">
      <c r="A105" s="273"/>
      <c r="B105" s="296"/>
      <c r="C105" s="250"/>
      <c r="D105" s="376"/>
      <c r="E105" s="249"/>
      <c r="F105" s="249"/>
      <c r="G105" s="249"/>
      <c r="H105" s="383"/>
      <c r="I105" s="311"/>
    </row>
    <row r="106" spans="1:78" ht="14.45" customHeight="1">
      <c r="A106" s="591" t="s">
        <v>295</v>
      </c>
      <c r="B106" s="591"/>
      <c r="C106" s="591"/>
      <c r="D106" s="377"/>
      <c r="E106" s="269"/>
      <c r="F106" s="269"/>
      <c r="G106" s="269"/>
      <c r="H106" s="381">
        <f>SUM(H107:H109)</f>
        <v>0</v>
      </c>
      <c r="I106" s="311"/>
    </row>
    <row r="107" spans="1:78" ht="14.45" customHeight="1">
      <c r="A107" s="270" t="s">
        <v>296</v>
      </c>
      <c r="B107" s="292" t="s">
        <v>44</v>
      </c>
      <c r="C107" s="278">
        <f>'Default EF'!G57</f>
        <v>0.11</v>
      </c>
      <c r="D107" s="374"/>
      <c r="E107" s="272"/>
      <c r="F107" s="272" t="s">
        <v>45</v>
      </c>
      <c r="G107" s="272"/>
      <c r="H107" s="382">
        <f>IF(F107='Reference (hide)'!$A$1, (D107-E107)*$C107, (D107-E107)*G107)</f>
        <v>0</v>
      </c>
      <c r="I107" s="310"/>
    </row>
    <row r="108" spans="1:78" ht="14.45" customHeight="1">
      <c r="A108" s="270" t="s">
        <v>297</v>
      </c>
      <c r="B108" s="292" t="s">
        <v>44</v>
      </c>
      <c r="C108" s="278">
        <f>'Default EF'!G58</f>
        <v>0.36</v>
      </c>
      <c r="D108" s="374"/>
      <c r="E108" s="272"/>
      <c r="F108" s="272" t="s">
        <v>45</v>
      </c>
      <c r="G108" s="272"/>
      <c r="H108" s="382">
        <f>IF(F108='Reference (hide)'!$A$1, (D108-E108)*$C108, (D108-E108)*G108)</f>
        <v>0</v>
      </c>
      <c r="I108" s="310"/>
    </row>
    <row r="109" spans="1:78">
      <c r="A109" s="270" t="s">
        <v>285</v>
      </c>
      <c r="B109" s="292" t="s">
        <v>277</v>
      </c>
      <c r="C109" s="271">
        <f>'Default EF'!G59</f>
        <v>3.2000000000000003E-4</v>
      </c>
      <c r="D109" s="374"/>
      <c r="E109" s="272"/>
      <c r="F109" s="272" t="s">
        <v>45</v>
      </c>
      <c r="G109" s="272"/>
      <c r="H109" s="382">
        <f>IF(F109='Reference (hide)'!$A$1, (D109-E109)*$C109, (D109-E109)*G109)</f>
        <v>0</v>
      </c>
      <c r="I109" s="310"/>
    </row>
    <row r="110" spans="1:78">
      <c r="A110" s="270"/>
      <c r="B110" s="292"/>
      <c r="C110" s="247"/>
      <c r="D110" s="378"/>
      <c r="E110" s="38"/>
      <c r="F110" s="38"/>
      <c r="G110" s="38"/>
      <c r="H110" s="382"/>
      <c r="I110" s="311"/>
    </row>
    <row r="111" spans="1:78" s="254" customFormat="1">
      <c r="A111" s="591" t="s">
        <v>298</v>
      </c>
      <c r="B111" s="592"/>
      <c r="C111" s="593"/>
      <c r="D111" s="305"/>
      <c r="E111" s="260"/>
      <c r="F111" s="260"/>
      <c r="G111" s="260"/>
      <c r="H111" s="289">
        <f>SUM(H112:H124)</f>
        <v>0</v>
      </c>
      <c r="I111" s="3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1:78" s="44" customFormat="1">
      <c r="A112" s="270" t="s">
        <v>299</v>
      </c>
      <c r="B112" s="292" t="s">
        <v>86</v>
      </c>
      <c r="C112" s="247">
        <f>'Default EF'!G64</f>
        <v>0.82</v>
      </c>
      <c r="D112" s="374"/>
      <c r="E112" s="272"/>
      <c r="F112" s="272" t="s">
        <v>45</v>
      </c>
      <c r="G112" s="272"/>
      <c r="H112" s="382">
        <f>IF(F112='Reference (hide)'!$A$1, (D112-E112)*$C112, (D112-E112)*G112)</f>
        <v>0</v>
      </c>
      <c r="I112" s="310"/>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1:78" s="44" customFormat="1">
      <c r="A113" s="270" t="s">
        <v>285</v>
      </c>
      <c r="B113" s="292" t="s">
        <v>86</v>
      </c>
      <c r="C113" s="247">
        <f>'Default EF'!G65</f>
        <v>0.49</v>
      </c>
      <c r="D113" s="374"/>
      <c r="E113" s="272"/>
      <c r="F113" s="272" t="s">
        <v>45</v>
      </c>
      <c r="G113" s="272"/>
      <c r="H113" s="382">
        <f>IF(F113='Reference (hide)'!$A$1, (D113-E113)*$C113, (D113-E113)*G113)</f>
        <v>0</v>
      </c>
      <c r="I113" s="310"/>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1:78" s="44" customFormat="1">
      <c r="A114" s="270" t="s">
        <v>300</v>
      </c>
      <c r="B114" s="292" t="s">
        <v>86</v>
      </c>
      <c r="C114" s="247">
        <f>'Default EF'!G66</f>
        <v>0.73299999999999998</v>
      </c>
      <c r="D114" s="374"/>
      <c r="E114" s="272"/>
      <c r="F114" s="272" t="s">
        <v>45</v>
      </c>
      <c r="G114" s="272"/>
      <c r="H114" s="382">
        <f>IF(F114='Reference (hide)'!$A$1, (D114-E114)*$C114, (D114-E114)*G114)</f>
        <v>0</v>
      </c>
      <c r="I114" s="310"/>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1:78" s="44" customFormat="1">
      <c r="A115" s="270" t="s">
        <v>301</v>
      </c>
      <c r="B115" s="292" t="s">
        <v>86</v>
      </c>
      <c r="C115" s="247">
        <f>'Default EF'!G67</f>
        <v>0.65500000000000003</v>
      </c>
      <c r="D115" s="374"/>
      <c r="E115" s="272"/>
      <c r="F115" s="272" t="s">
        <v>45</v>
      </c>
      <c r="G115" s="272"/>
      <c r="H115" s="382">
        <f>IF(F115='Reference (hide)'!$A$1, (D115-E115)*$C115, (D115-E115)*G115)</f>
        <v>0</v>
      </c>
      <c r="I115" s="310"/>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1:78" s="44" customFormat="1">
      <c r="A116" s="270" t="s">
        <v>302</v>
      </c>
      <c r="B116" s="292" t="s">
        <v>86</v>
      </c>
      <c r="C116" s="247">
        <f>'Default EF'!G68</f>
        <v>1.2E-2</v>
      </c>
      <c r="D116" s="374"/>
      <c r="E116" s="272"/>
      <c r="F116" s="272" t="s">
        <v>45</v>
      </c>
      <c r="G116" s="272"/>
      <c r="H116" s="382">
        <f>IF(F116='Reference (hide)'!$A$1, (D116-E116)*$C116, (D116-E116)*G116)</f>
        <v>0</v>
      </c>
      <c r="I116" s="310"/>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row>
    <row r="117" spans="1:78" s="44" customFormat="1">
      <c r="A117" s="270" t="s">
        <v>303</v>
      </c>
      <c r="B117" s="292" t="s">
        <v>86</v>
      </c>
      <c r="C117" s="247">
        <f>'Default EF'!G69</f>
        <v>2.4E-2</v>
      </c>
      <c r="D117" s="374"/>
      <c r="E117" s="272"/>
      <c r="F117" s="272" t="s">
        <v>45</v>
      </c>
      <c r="G117" s="272"/>
      <c r="H117" s="382">
        <f>IF(F117='Reference (hide)'!$A$1, (D117-E117)*$C117, (D117-E117)*G117)</f>
        <v>0</v>
      </c>
      <c r="I117" s="310"/>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row>
    <row r="118" spans="1:78" s="44" customFormat="1">
      <c r="A118" s="270" t="s">
        <v>304</v>
      </c>
      <c r="B118" s="292" t="s">
        <v>86</v>
      </c>
      <c r="C118" s="247">
        <f>'Default EF'!G70</f>
        <v>1.0999999999999999E-2</v>
      </c>
      <c r="D118" s="374"/>
      <c r="E118" s="272"/>
      <c r="F118" s="272" t="s">
        <v>45</v>
      </c>
      <c r="G118" s="272"/>
      <c r="H118" s="382">
        <f>IF(F118='Reference (hide)'!$A$1, (D118-E118)*$C118, (D118-E118)*G118)</f>
        <v>0</v>
      </c>
      <c r="I118" s="310"/>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row>
    <row r="119" spans="1:78" s="44" customFormat="1">
      <c r="A119" s="270" t="s">
        <v>305</v>
      </c>
      <c r="B119" s="292" t="s">
        <v>86</v>
      </c>
      <c r="C119" s="247">
        <f>'Default EF'!G71</f>
        <v>4.8000000000000001E-2</v>
      </c>
      <c r="D119" s="374"/>
      <c r="E119" s="272"/>
      <c r="F119" s="272" t="s">
        <v>45</v>
      </c>
      <c r="G119" s="272"/>
      <c r="H119" s="382">
        <f>IF(F119='Reference (hide)'!$A$1, (D119-E119)*$C119, (D119-E119)*G119)</f>
        <v>0</v>
      </c>
      <c r="I119" s="310"/>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row>
    <row r="120" spans="1:78" s="44" customFormat="1">
      <c r="A120" s="270" t="s">
        <v>306</v>
      </c>
      <c r="B120" s="292" t="s">
        <v>86</v>
      </c>
      <c r="C120" s="247">
        <f>'Default EF'!G72</f>
        <v>0.23</v>
      </c>
      <c r="D120" s="374"/>
      <c r="E120" s="272"/>
      <c r="F120" s="272" t="s">
        <v>45</v>
      </c>
      <c r="G120" s="272"/>
      <c r="H120" s="382">
        <f>IF(F120='Reference (hide)'!$A$1, (D120-E120)*$C120, (D120-E120)*G120)</f>
        <v>0</v>
      </c>
      <c r="I120" s="31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row>
    <row r="121" spans="1:78" s="44" customFormat="1">
      <c r="A121" s="270" t="s">
        <v>307</v>
      </c>
      <c r="B121" s="292" t="s">
        <v>86</v>
      </c>
      <c r="C121" s="247">
        <f>'Default EF'!G73</f>
        <v>6.4200000000000007E-2</v>
      </c>
      <c r="D121" s="374"/>
      <c r="E121" s="272"/>
      <c r="F121" s="272" t="s">
        <v>45</v>
      </c>
      <c r="G121" s="272"/>
      <c r="H121" s="382">
        <f>IF(F121='Reference (hide)'!$A$1, (D121-E121)*$C121, (D121-E121)*G121)</f>
        <v>0</v>
      </c>
      <c r="I121" s="310"/>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row>
    <row r="122" spans="1:78" s="44" customFormat="1">
      <c r="A122" s="507" t="s">
        <v>308</v>
      </c>
      <c r="B122" s="292" t="s">
        <v>86</v>
      </c>
      <c r="C122" s="247"/>
      <c r="D122" s="374"/>
      <c r="E122" s="272"/>
      <c r="F122" s="272"/>
      <c r="G122" s="272"/>
      <c r="H122" s="382"/>
      <c r="I122" s="310"/>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row>
    <row r="123" spans="1:78" s="44" customFormat="1" ht="29.45">
      <c r="A123" s="507" t="s">
        <v>309</v>
      </c>
      <c r="B123" s="292" t="s">
        <v>86</v>
      </c>
      <c r="C123" s="247"/>
      <c r="D123" s="374"/>
      <c r="E123" s="272"/>
      <c r="F123" s="272" t="s">
        <v>45</v>
      </c>
      <c r="G123" s="272"/>
      <c r="H123" s="382">
        <f>IF(F123='Reference (hide)'!$A$1, (D123-E123)*$C123, (D123-E123)*G123)</f>
        <v>0</v>
      </c>
      <c r="I123" s="310" t="s">
        <v>267</v>
      </c>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row>
    <row r="124" spans="1:78">
      <c r="A124" s="507" t="s">
        <v>310</v>
      </c>
      <c r="B124" s="292" t="s">
        <v>86</v>
      </c>
      <c r="C124" s="250"/>
      <c r="D124" s="374"/>
      <c r="E124" s="272"/>
      <c r="F124" s="272" t="s">
        <v>45</v>
      </c>
      <c r="G124" s="272"/>
      <c r="H124" s="382">
        <f>IF(F124='Reference (hide)'!$A$1, (D124-E124)*$C124, (D124-E124)*G124)</f>
        <v>0</v>
      </c>
      <c r="I124" s="310" t="s">
        <v>267</v>
      </c>
    </row>
    <row r="125" spans="1:78" ht="32.25" customHeight="1">
      <c r="A125" s="594" t="s">
        <v>311</v>
      </c>
      <c r="B125" s="595"/>
      <c r="C125" s="596"/>
      <c r="D125" s="379" t="s">
        <v>256</v>
      </c>
      <c r="E125" s="276" t="s">
        <v>256</v>
      </c>
      <c r="F125" s="276" t="s">
        <v>256</v>
      </c>
      <c r="G125" s="276" t="s">
        <v>256</v>
      </c>
      <c r="H125" s="384">
        <f>SUM(H84,H95,H106,H111)</f>
        <v>0</v>
      </c>
      <c r="I125" s="312"/>
    </row>
    <row r="126" spans="1:78">
      <c r="A126" s="588" t="s">
        <v>392</v>
      </c>
      <c r="B126" s="589"/>
      <c r="C126" s="590"/>
      <c r="D126" s="380"/>
      <c r="E126" s="301"/>
      <c r="F126" s="301"/>
      <c r="G126" s="301"/>
      <c r="H126" s="385">
        <f>SUM(SUMIF(I85:I93, "Primary", H85:H93), SUMIF(I96:I104, "Primary", H96:H104), SUMIF(I107:I109, "Primary", H107:H109), SUMIF(I112:I123, "Primary", H112:H123))</f>
        <v>0</v>
      </c>
    </row>
  </sheetData>
  <mergeCells count="65">
    <mergeCell ref="A1:J3"/>
    <mergeCell ref="A21:A22"/>
    <mergeCell ref="B21:B22"/>
    <mergeCell ref="C21:D21"/>
    <mergeCell ref="E21:F21"/>
    <mergeCell ref="G21:G22"/>
    <mergeCell ref="H21:H22"/>
    <mergeCell ref="I21:I22"/>
    <mergeCell ref="A4:J17"/>
    <mergeCell ref="AM81:AQ81"/>
    <mergeCell ref="A45:A46"/>
    <mergeCell ref="B45:B46"/>
    <mergeCell ref="F45:F46"/>
    <mergeCell ref="A81:C81"/>
    <mergeCell ref="D81:H81"/>
    <mergeCell ref="G45:G46"/>
    <mergeCell ref="A64:A65"/>
    <mergeCell ref="A62:H63"/>
    <mergeCell ref="BV81:BZ81"/>
    <mergeCell ref="A84:C84"/>
    <mergeCell ref="A95:C95"/>
    <mergeCell ref="A106:C106"/>
    <mergeCell ref="A111:C111"/>
    <mergeCell ref="AR81:AV81"/>
    <mergeCell ref="AW81:BA81"/>
    <mergeCell ref="BB81:BF81"/>
    <mergeCell ref="BG81:BK81"/>
    <mergeCell ref="BL81:BP81"/>
    <mergeCell ref="BQ81:BU81"/>
    <mergeCell ref="N81:R81"/>
    <mergeCell ref="S81:W81"/>
    <mergeCell ref="X81:AB81"/>
    <mergeCell ref="AC81:AG81"/>
    <mergeCell ref="AH81:AL81"/>
    <mergeCell ref="A27:A28"/>
    <mergeCell ref="B27:B28"/>
    <mergeCell ref="C27:D27"/>
    <mergeCell ref="C64:C65"/>
    <mergeCell ref="D64:D65"/>
    <mergeCell ref="A35:A37"/>
    <mergeCell ref="B35:B37"/>
    <mergeCell ref="A33:A34"/>
    <mergeCell ref="B33:B34"/>
    <mergeCell ref="C45:C46"/>
    <mergeCell ref="D45:D46"/>
    <mergeCell ref="B64:B65"/>
    <mergeCell ref="A43:H44"/>
    <mergeCell ref="H27:H28"/>
    <mergeCell ref="A126:C126"/>
    <mergeCell ref="H45:H46"/>
    <mergeCell ref="H64:H65"/>
    <mergeCell ref="E45:E46"/>
    <mergeCell ref="E64:E65"/>
    <mergeCell ref="A58:C58"/>
    <mergeCell ref="F64:F65"/>
    <mergeCell ref="G64:G65"/>
    <mergeCell ref="A125:C125"/>
    <mergeCell ref="I27:I28"/>
    <mergeCell ref="C33:C34"/>
    <mergeCell ref="D33:D34"/>
    <mergeCell ref="E33:E34"/>
    <mergeCell ref="E27:F27"/>
    <mergeCell ref="G27:G28"/>
    <mergeCell ref="F33:F34"/>
    <mergeCell ref="G33:G34"/>
  </mergeCells>
  <phoneticPr fontId="24" type="noConversion"/>
  <conditionalFormatting sqref="G66:G75">
    <cfRule type="cellIs" dxfId="6" priority="1" operator="equal">
      <formula>"-"</formula>
    </cfRule>
  </conditionalFormatting>
  <conditionalFormatting sqref="G47:H56">
    <cfRule type="cellIs" dxfId="5" priority="2" operator="equal">
      <formula>"-"</formula>
    </cfRule>
  </conditionalFormatting>
  <pageMargins left="0.7" right="0.7" top="0.75" bottom="0.75" header="0.3" footer="0.3"/>
  <pageSetup orientation="portrait" r:id="rId1"/>
  <ignoredErrors>
    <ignoredError sqref="G57" evalError="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C700BE8-3AB8-41B5-9306-7F570442C851}">
          <x14:formula1>
            <xm:f>'Reference (hide)'!$A$1:$A$2</xm:f>
          </x14:formula1>
          <xm:sqref>F85:F93 F96:F104 F107:F109 F112:F124</xm:sqref>
        </x14:dataValidation>
        <x14:dataValidation type="list" allowBlank="1" showInputMessage="1" showErrorMessage="1" xr:uid="{934F4C19-88FB-4022-9CDC-6229AB7C9811}">
          <x14:formula1>
            <xm:f>'Reference (hide)'!$D$1:$D$2</xm:f>
          </x14:formula1>
          <xm:sqref>I85:I93 I96:I104 I107:I109 I112:I124 H47:H56 H66:H75</xm:sqref>
        </x14:dataValidation>
        <x14:dataValidation type="list" allowBlank="1" showInputMessage="1" showErrorMessage="1" xr:uid="{00BFAE8F-AEDF-4A33-9F50-97957AFD8B2F}">
          <x14:formula1>
            <xm:f>'Reference (hide)'!$E$1:$E$2</xm:f>
          </x14:formula1>
          <xm:sqref>E47:E56 E66:E75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AC12D-9BDF-4963-AE26-94D95156D96D}">
  <sheetPr>
    <tabColor rgb="FF833C0C"/>
  </sheetPr>
  <dimension ref="A1:BZ118"/>
  <sheetViews>
    <sheetView workbookViewId="0">
      <selection activeCell="L14" sqref="L14"/>
    </sheetView>
  </sheetViews>
  <sheetFormatPr defaultColWidth="8.85546875" defaultRowHeight="14.85"/>
  <cols>
    <col min="1" max="1" width="37.28515625" customWidth="1"/>
    <col min="2" max="2" width="14.42578125" style="297" customWidth="1"/>
    <col min="3" max="3" width="24.85546875" customWidth="1"/>
    <col min="4" max="7" width="14.42578125" customWidth="1"/>
    <col min="8" max="8" width="17.42578125" customWidth="1"/>
    <col min="9" max="9" width="19.7109375" customWidth="1"/>
    <col min="10" max="78" width="14.42578125" customWidth="1"/>
    <col min="79" max="97" width="13.85546875" customWidth="1"/>
  </cols>
  <sheetData>
    <row r="1" spans="1:78">
      <c r="A1" s="634" t="s">
        <v>393</v>
      </c>
      <c r="B1" s="634"/>
      <c r="C1" s="634"/>
      <c r="D1" s="634"/>
      <c r="E1" s="634"/>
      <c r="F1" s="634"/>
      <c r="G1" s="634"/>
      <c r="H1" s="634"/>
      <c r="I1" s="634"/>
      <c r="J1" s="63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row>
    <row r="2" spans="1:78">
      <c r="A2" s="634"/>
      <c r="B2" s="634"/>
      <c r="C2" s="634"/>
      <c r="D2" s="634"/>
      <c r="E2" s="634"/>
      <c r="F2" s="634"/>
      <c r="G2" s="634"/>
      <c r="H2" s="634"/>
      <c r="I2" s="634"/>
      <c r="J2" s="63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c r="A3" s="634"/>
      <c r="B3" s="634"/>
      <c r="C3" s="634"/>
      <c r="D3" s="634"/>
      <c r="E3" s="634"/>
      <c r="F3" s="634"/>
      <c r="G3" s="634"/>
      <c r="H3" s="634"/>
      <c r="I3" s="634"/>
      <c r="J3" s="63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15" customHeight="1">
      <c r="A4" s="568" t="s">
        <v>394</v>
      </c>
      <c r="B4" s="568"/>
      <c r="C4" s="568"/>
      <c r="D4" s="568"/>
      <c r="E4" s="568"/>
      <c r="F4" s="568"/>
      <c r="G4" s="568"/>
      <c r="H4" s="568"/>
      <c r="I4" s="568"/>
      <c r="J4" s="568"/>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c r="A5" s="571"/>
      <c r="B5" s="571"/>
      <c r="C5" s="571"/>
      <c r="D5" s="571"/>
      <c r="E5" s="571"/>
      <c r="F5" s="571"/>
      <c r="G5" s="571"/>
      <c r="H5" s="571"/>
      <c r="I5" s="571"/>
      <c r="J5" s="571"/>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row>
    <row r="6" spans="1:78">
      <c r="A6" s="571"/>
      <c r="B6" s="571"/>
      <c r="C6" s="571"/>
      <c r="D6" s="571"/>
      <c r="E6" s="571"/>
      <c r="F6" s="571"/>
      <c r="G6" s="571"/>
      <c r="H6" s="571"/>
      <c r="I6" s="571"/>
      <c r="J6" s="571"/>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row>
    <row r="7" spans="1:78">
      <c r="A7" s="571"/>
      <c r="B7" s="571"/>
      <c r="C7" s="571"/>
      <c r="D7" s="571"/>
      <c r="E7" s="571"/>
      <c r="F7" s="571"/>
      <c r="G7" s="571"/>
      <c r="H7" s="571"/>
      <c r="I7" s="571"/>
      <c r="J7" s="571"/>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row>
    <row r="8" spans="1:78">
      <c r="A8" s="571"/>
      <c r="B8" s="571"/>
      <c r="C8" s="571"/>
      <c r="D8" s="571"/>
      <c r="E8" s="571"/>
      <c r="F8" s="571"/>
      <c r="G8" s="571"/>
      <c r="H8" s="571"/>
      <c r="I8" s="571"/>
      <c r="J8" s="571"/>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row>
    <row r="9" spans="1:78">
      <c r="A9" s="571"/>
      <c r="B9" s="571"/>
      <c r="C9" s="571"/>
      <c r="D9" s="571"/>
      <c r="E9" s="571"/>
      <c r="F9" s="571"/>
      <c r="G9" s="571"/>
      <c r="H9" s="571"/>
      <c r="I9" s="571"/>
      <c r="J9" s="571"/>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row>
    <row r="10" spans="1:78">
      <c r="A10" s="571"/>
      <c r="B10" s="571"/>
      <c r="C10" s="571"/>
      <c r="D10" s="571"/>
      <c r="E10" s="571"/>
      <c r="F10" s="571"/>
      <c r="G10" s="571"/>
      <c r="H10" s="571"/>
      <c r="I10" s="571"/>
      <c r="J10" s="571"/>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row>
    <row r="11" spans="1:78">
      <c r="A11" s="571"/>
      <c r="B11" s="571"/>
      <c r="C11" s="571"/>
      <c r="D11" s="571"/>
      <c r="E11" s="571"/>
      <c r="F11" s="571"/>
      <c r="G11" s="571"/>
      <c r="H11" s="571"/>
      <c r="I11" s="571"/>
      <c r="J11" s="571"/>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row>
    <row r="12" spans="1:78">
      <c r="A12" s="571"/>
      <c r="B12" s="571"/>
      <c r="C12" s="571"/>
      <c r="D12" s="571"/>
      <c r="E12" s="571"/>
      <c r="F12" s="571"/>
      <c r="G12" s="571"/>
      <c r="H12" s="571"/>
      <c r="I12" s="571"/>
      <c r="J12" s="571"/>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row>
    <row r="13" spans="1:78">
      <c r="A13" s="571"/>
      <c r="B13" s="571"/>
      <c r="C13" s="571"/>
      <c r="D13" s="571"/>
      <c r="E13" s="571"/>
      <c r="F13" s="571"/>
      <c r="G13" s="571"/>
      <c r="H13" s="571"/>
      <c r="I13" s="571"/>
      <c r="J13" s="571"/>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1:78">
      <c r="A14" s="571"/>
      <c r="B14" s="571"/>
      <c r="C14" s="571"/>
      <c r="D14" s="571"/>
      <c r="E14" s="571"/>
      <c r="F14" s="571"/>
      <c r="G14" s="571"/>
      <c r="H14" s="571"/>
      <c r="I14" s="571"/>
      <c r="J14" s="571"/>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1:78">
      <c r="A15" s="571"/>
      <c r="B15" s="571"/>
      <c r="C15" s="571"/>
      <c r="D15" s="571"/>
      <c r="E15" s="571"/>
      <c r="F15" s="571"/>
      <c r="G15" s="571"/>
      <c r="H15" s="571"/>
      <c r="I15" s="571"/>
      <c r="J15" s="571"/>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row>
    <row r="16" spans="1:78">
      <c r="A16" s="571"/>
      <c r="B16" s="571"/>
      <c r="C16" s="571"/>
      <c r="D16" s="571"/>
      <c r="E16" s="571"/>
      <c r="F16" s="571"/>
      <c r="G16" s="571"/>
      <c r="H16" s="571"/>
      <c r="I16" s="571"/>
      <c r="J16" s="571"/>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row>
    <row r="17" spans="1:78">
      <c r="A17" s="571"/>
      <c r="B17" s="571"/>
      <c r="C17" s="571"/>
      <c r="D17" s="571"/>
      <c r="E17" s="571"/>
      <c r="F17" s="571"/>
      <c r="G17" s="571"/>
      <c r="H17" s="571"/>
      <c r="I17" s="571"/>
      <c r="J17" s="571"/>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row>
    <row r="18" spans="1:78">
      <c r="A18" s="119"/>
      <c r="B18" s="286"/>
      <c r="C18" s="119"/>
      <c r="D18" s="119"/>
      <c r="E18" s="119"/>
      <c r="F18" s="119"/>
      <c r="G18" s="119"/>
      <c r="H18" s="119"/>
      <c r="I18" s="119"/>
      <c r="J18" s="119"/>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row>
    <row r="19" spans="1:78">
      <c r="A19" s="119"/>
      <c r="B19" s="286"/>
      <c r="C19" s="119"/>
      <c r="D19" s="119"/>
      <c r="E19" s="119"/>
      <c r="F19" s="119"/>
      <c r="G19" s="119"/>
      <c r="H19" s="119"/>
      <c r="I19" s="119"/>
      <c r="J19" s="119"/>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row>
    <row r="20" spans="1:78" ht="31.35">
      <c r="A20" s="253" t="s">
        <v>373</v>
      </c>
      <c r="B20" s="287"/>
      <c r="C20" s="120"/>
      <c r="D20" s="120"/>
      <c r="E20" s="120"/>
      <c r="F20" s="120"/>
      <c r="G20" s="120"/>
      <c r="H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row>
    <row r="21" spans="1:78">
      <c r="A21" s="635" t="s">
        <v>246</v>
      </c>
      <c r="B21" s="627" t="s">
        <v>247</v>
      </c>
      <c r="C21" s="638" t="s">
        <v>338</v>
      </c>
      <c r="D21" s="629"/>
      <c r="E21" s="638" t="s">
        <v>249</v>
      </c>
      <c r="F21" s="638"/>
      <c r="G21" s="639" t="s">
        <v>355</v>
      </c>
      <c r="H21" s="640" t="s">
        <v>251</v>
      </c>
      <c r="I21" s="625" t="s">
        <v>252</v>
      </c>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row>
    <row r="22" spans="1:78" ht="30.75" customHeight="1">
      <c r="A22" s="636"/>
      <c r="B22" s="637"/>
      <c r="C22" s="397" t="s">
        <v>253</v>
      </c>
      <c r="D22" s="398" t="s">
        <v>254</v>
      </c>
      <c r="E22" s="399" t="s">
        <v>255</v>
      </c>
      <c r="F22" s="398" t="s">
        <v>254</v>
      </c>
      <c r="G22" s="639"/>
      <c r="H22" s="640"/>
      <c r="I22" s="625"/>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row>
    <row r="23" spans="1:78">
      <c r="A23" s="255" t="s">
        <v>0</v>
      </c>
      <c r="B23" s="256">
        <v>1</v>
      </c>
      <c r="C23" s="386"/>
      <c r="D23" s="391">
        <f>$B23*C23</f>
        <v>0</v>
      </c>
      <c r="E23" s="321">
        <f>H117+H49</f>
        <v>0</v>
      </c>
      <c r="F23" s="387">
        <f>$B23*E23</f>
        <v>0</v>
      </c>
      <c r="G23" s="388" t="str">
        <f>IFERROR(E23/C23, "-")</f>
        <v>-</v>
      </c>
      <c r="H23" s="325">
        <f>H118+I49</f>
        <v>0</v>
      </c>
      <c r="I23" s="320" t="e">
        <f>H23/E23</f>
        <v>#DIV/0!</v>
      </c>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row>
    <row r="24" spans="1:78">
      <c r="A24" s="258" t="s">
        <v>255</v>
      </c>
      <c r="B24" s="289"/>
      <c r="C24" s="259" t="s">
        <v>256</v>
      </c>
      <c r="D24" s="289">
        <f>SUM(D23:D23)</f>
        <v>0</v>
      </c>
      <c r="E24" s="260" t="s">
        <v>256</v>
      </c>
      <c r="F24" s="305">
        <f>SUM(F23:F23)</f>
        <v>0</v>
      </c>
      <c r="G24" s="251" t="str">
        <f>IFERROR(E24/C24, "-")</f>
        <v>-</v>
      </c>
      <c r="H24" s="248"/>
      <c r="I24" s="249"/>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row>
    <row r="25" spans="1:78">
      <c r="A25" s="254"/>
      <c r="B25" s="290"/>
      <c r="C25" s="261"/>
      <c r="D25" s="261"/>
      <c r="E25" s="261"/>
      <c r="F25" s="261"/>
      <c r="G25" s="261"/>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row>
    <row r="26" spans="1:78">
      <c r="A26" s="254"/>
      <c r="B26" s="290"/>
      <c r="C26" s="261"/>
      <c r="D26" s="261"/>
      <c r="E26" s="261"/>
      <c r="F26" s="261"/>
      <c r="G26" s="261"/>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row>
    <row r="27" spans="1:78" ht="31.35">
      <c r="A27" s="253" t="s">
        <v>395</v>
      </c>
      <c r="B27" s="287"/>
      <c r="C27" s="120"/>
      <c r="D27" s="120"/>
      <c r="E27" s="120"/>
      <c r="F27" s="120"/>
      <c r="G27" s="120"/>
      <c r="H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row>
    <row r="28" spans="1:78">
      <c r="A28" s="635" t="s">
        <v>246</v>
      </c>
      <c r="B28" s="627" t="s">
        <v>247</v>
      </c>
      <c r="C28" s="638" t="s">
        <v>338</v>
      </c>
      <c r="D28" s="629"/>
      <c r="E28" s="638" t="s">
        <v>249</v>
      </c>
      <c r="F28" s="638"/>
      <c r="G28" s="639" t="s">
        <v>355</v>
      </c>
      <c r="H28" s="640" t="s">
        <v>251</v>
      </c>
      <c r="I28" s="625" t="s">
        <v>252</v>
      </c>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4"/>
      <c r="BX28" s="254"/>
      <c r="BY28" s="254"/>
      <c r="BZ28" s="254"/>
    </row>
    <row r="29" spans="1:78" ht="30.75" customHeight="1">
      <c r="A29" s="636"/>
      <c r="B29" s="637"/>
      <c r="C29" s="397" t="s">
        <v>253</v>
      </c>
      <c r="D29" s="398" t="s">
        <v>254</v>
      </c>
      <c r="E29" s="399" t="s">
        <v>255</v>
      </c>
      <c r="F29" s="398" t="s">
        <v>254</v>
      </c>
      <c r="G29" s="639"/>
      <c r="H29" s="640"/>
      <c r="I29" s="625"/>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row>
    <row r="30" spans="1:78">
      <c r="A30" s="255" t="s">
        <v>0</v>
      </c>
      <c r="B30" s="256">
        <v>1</v>
      </c>
      <c r="C30" s="386"/>
      <c r="D30" s="391">
        <f>$B30*C30</f>
        <v>0</v>
      </c>
      <c r="E30" s="321">
        <f>H117+H65</f>
        <v>0</v>
      </c>
      <c r="F30" s="387">
        <f>$B30*E30</f>
        <v>0</v>
      </c>
      <c r="G30" s="388" t="str">
        <f>IFERROR(E30/C30, "-")</f>
        <v>-</v>
      </c>
      <c r="H30" s="325">
        <f>H118+I65</f>
        <v>0</v>
      </c>
      <c r="I30" s="320" t="e">
        <f>H30/E30</f>
        <v>#DIV/0!</v>
      </c>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row>
    <row r="31" spans="1:78">
      <c r="A31" s="258" t="s">
        <v>255</v>
      </c>
      <c r="B31" s="289"/>
      <c r="C31" s="259" t="s">
        <v>256</v>
      </c>
      <c r="D31" s="289">
        <f>SUM(D30:D30)</f>
        <v>0</v>
      </c>
      <c r="E31" s="260" t="s">
        <v>256</v>
      </c>
      <c r="F31" s="305">
        <f>SUM(F30:F30)</f>
        <v>0</v>
      </c>
      <c r="G31" s="251" t="str">
        <f>IFERROR(E31/C31, "-")</f>
        <v>-</v>
      </c>
      <c r="H31" s="248"/>
      <c r="I31" s="249"/>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row>
    <row r="32" spans="1:78">
      <c r="A32" s="254"/>
      <c r="B32" s="290"/>
      <c r="C32" s="261"/>
      <c r="D32" s="261"/>
      <c r="E32" s="261"/>
      <c r="F32" s="261"/>
      <c r="G32" s="261"/>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row>
    <row r="33" spans="1:78">
      <c r="A33" s="254"/>
      <c r="B33" s="290"/>
      <c r="C33" s="261"/>
      <c r="D33" s="261"/>
      <c r="E33" s="261"/>
      <c r="F33" s="261"/>
      <c r="G33" s="261"/>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row>
    <row r="34" spans="1:78">
      <c r="A34" s="254"/>
      <c r="B34" s="291"/>
      <c r="C34" s="261"/>
      <c r="D34" s="261"/>
      <c r="E34" s="261"/>
      <c r="F34" s="261"/>
      <c r="G34" s="261"/>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row>
    <row r="35" spans="1:78">
      <c r="A35" s="254"/>
      <c r="B35" s="290"/>
      <c r="C35" s="261"/>
      <c r="D35" s="261"/>
      <c r="E35" s="261"/>
      <c r="F35" s="261"/>
      <c r="G35" s="261"/>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row>
    <row r="36" spans="1:78" ht="31.35">
      <c r="A36" s="253" t="s">
        <v>396</v>
      </c>
      <c r="B36" s="292"/>
      <c r="C36" s="38"/>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row>
    <row r="37" spans="1:78" ht="15" customHeight="1">
      <c r="A37" s="626" t="s">
        <v>397</v>
      </c>
      <c r="B37" s="627" t="s">
        <v>360</v>
      </c>
      <c r="C37" s="628" t="s">
        <v>398</v>
      </c>
      <c r="D37" s="629" t="s">
        <v>368</v>
      </c>
      <c r="E37" s="630" t="s">
        <v>262</v>
      </c>
      <c r="F37" s="631" t="s">
        <v>363</v>
      </c>
      <c r="G37" s="625" t="s">
        <v>252</v>
      </c>
      <c r="H37" s="641" t="s">
        <v>399</v>
      </c>
      <c r="I37" s="640" t="s">
        <v>251</v>
      </c>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row>
    <row r="38" spans="1:78" ht="27" customHeight="1">
      <c r="A38" s="626"/>
      <c r="B38" s="627"/>
      <c r="C38" s="628"/>
      <c r="D38" s="629"/>
      <c r="E38" s="630"/>
      <c r="F38" s="632"/>
      <c r="G38" s="625"/>
      <c r="H38" s="642"/>
      <c r="I38" s="640"/>
      <c r="J38" s="44"/>
      <c r="K38" s="120"/>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row>
    <row r="39" spans="1:78">
      <c r="A39" s="255" t="s">
        <v>400</v>
      </c>
      <c r="B39" s="288"/>
      <c r="C39" s="159">
        <v>0.75</v>
      </c>
      <c r="D39" s="298">
        <f>B39*C39</f>
        <v>0</v>
      </c>
      <c r="E39" s="310"/>
      <c r="F39" s="390"/>
      <c r="G39" s="323"/>
      <c r="H39" s="321">
        <f t="shared" ref="H39:H48" si="0">$B39*F39</f>
        <v>0</v>
      </c>
      <c r="I39" s="321">
        <f>$B39*F39*G39</f>
        <v>0</v>
      </c>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row>
    <row r="40" spans="1:78">
      <c r="A40" s="257" t="s">
        <v>268</v>
      </c>
      <c r="B40" s="293"/>
      <c r="C40" s="159"/>
      <c r="D40" s="298">
        <f t="shared" ref="D40:D48" si="1">B40*C40</f>
        <v>0</v>
      </c>
      <c r="E40" s="310"/>
      <c r="F40" s="263"/>
      <c r="G40" s="323"/>
      <c r="H40" s="321">
        <f t="shared" si="0"/>
        <v>0</v>
      </c>
      <c r="I40" s="321">
        <f t="shared" ref="I40:I48" si="2">$B40*F40*G40</f>
        <v>0</v>
      </c>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row>
    <row r="41" spans="1:78">
      <c r="A41" s="257" t="s">
        <v>270</v>
      </c>
      <c r="B41" s="293"/>
      <c r="C41" s="159"/>
      <c r="D41" s="298">
        <f t="shared" si="1"/>
        <v>0</v>
      </c>
      <c r="E41" s="310"/>
      <c r="F41" s="263"/>
      <c r="G41" s="323"/>
      <c r="H41" s="321">
        <f t="shared" si="0"/>
        <v>0</v>
      </c>
      <c r="I41" s="321">
        <f t="shared" si="2"/>
        <v>0</v>
      </c>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row>
    <row r="42" spans="1:78">
      <c r="A42" s="257" t="s">
        <v>271</v>
      </c>
      <c r="B42" s="293"/>
      <c r="C42" s="159"/>
      <c r="D42" s="298">
        <f t="shared" si="1"/>
        <v>0</v>
      </c>
      <c r="E42" s="310"/>
      <c r="F42" s="263"/>
      <c r="G42" s="323"/>
      <c r="H42" s="321">
        <f t="shared" si="0"/>
        <v>0</v>
      </c>
      <c r="I42" s="321">
        <f t="shared" si="2"/>
        <v>0</v>
      </c>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row>
    <row r="43" spans="1:78">
      <c r="A43" s="257" t="s">
        <v>272</v>
      </c>
      <c r="B43" s="293"/>
      <c r="C43" s="159"/>
      <c r="D43" s="298">
        <f t="shared" si="1"/>
        <v>0</v>
      </c>
      <c r="E43" s="310"/>
      <c r="F43" s="263"/>
      <c r="G43" s="323"/>
      <c r="H43" s="321">
        <f t="shared" si="0"/>
        <v>0</v>
      </c>
      <c r="I43" s="321">
        <f t="shared" si="2"/>
        <v>0</v>
      </c>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row>
    <row r="44" spans="1:78">
      <c r="A44" s="257" t="s">
        <v>273</v>
      </c>
      <c r="B44" s="293"/>
      <c r="C44" s="159"/>
      <c r="D44" s="298">
        <f t="shared" si="1"/>
        <v>0</v>
      </c>
      <c r="E44" s="310"/>
      <c r="F44" s="263"/>
      <c r="G44" s="323"/>
      <c r="H44" s="321">
        <f t="shared" si="0"/>
        <v>0</v>
      </c>
      <c r="I44" s="321">
        <f t="shared" si="2"/>
        <v>0</v>
      </c>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row>
    <row r="45" spans="1:78">
      <c r="A45" s="257" t="s">
        <v>274</v>
      </c>
      <c r="B45" s="293"/>
      <c r="C45" s="159"/>
      <c r="D45" s="298">
        <f t="shared" si="1"/>
        <v>0</v>
      </c>
      <c r="E45" s="310"/>
      <c r="F45" s="263"/>
      <c r="G45" s="323"/>
      <c r="H45" s="321">
        <f t="shared" si="0"/>
        <v>0</v>
      </c>
      <c r="I45" s="321">
        <f t="shared" si="2"/>
        <v>0</v>
      </c>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row>
    <row r="46" spans="1:78">
      <c r="A46" s="257" t="s">
        <v>276</v>
      </c>
      <c r="B46" s="293"/>
      <c r="C46" s="159"/>
      <c r="D46" s="298">
        <f t="shared" si="1"/>
        <v>0</v>
      </c>
      <c r="E46" s="310"/>
      <c r="F46" s="263"/>
      <c r="G46" s="323"/>
      <c r="H46" s="321">
        <f t="shared" si="0"/>
        <v>0</v>
      </c>
      <c r="I46" s="321">
        <f t="shared" si="2"/>
        <v>0</v>
      </c>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row>
    <row r="47" spans="1:78">
      <c r="A47" s="257" t="s">
        <v>278</v>
      </c>
      <c r="B47" s="293"/>
      <c r="C47" s="159"/>
      <c r="D47" s="298">
        <f t="shared" si="1"/>
        <v>0</v>
      </c>
      <c r="E47" s="310"/>
      <c r="F47" s="263"/>
      <c r="G47" s="323"/>
      <c r="H47" s="321">
        <f t="shared" si="0"/>
        <v>0</v>
      </c>
      <c r="I47" s="321">
        <f t="shared" si="2"/>
        <v>0</v>
      </c>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row>
    <row r="48" spans="1:78">
      <c r="A48" s="257" t="s">
        <v>366</v>
      </c>
      <c r="B48" s="302"/>
      <c r="C48" s="159"/>
      <c r="D48" s="298">
        <f t="shared" si="1"/>
        <v>0</v>
      </c>
      <c r="E48" s="310"/>
      <c r="F48" s="299"/>
      <c r="G48" s="323"/>
      <c r="H48" s="322">
        <f t="shared" si="0"/>
        <v>0</v>
      </c>
      <c r="I48" s="321">
        <f t="shared" si="2"/>
        <v>0</v>
      </c>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row>
    <row r="49" spans="1:78">
      <c r="A49" s="318" t="s">
        <v>255</v>
      </c>
      <c r="B49" s="305">
        <f>SUM(B39:B48)</f>
        <v>0</v>
      </c>
      <c r="C49" s="301"/>
      <c r="D49" s="306">
        <f>SUM(D39:D48)</f>
        <v>0</v>
      </c>
      <c r="E49" s="315"/>
      <c r="F49" s="260" t="s">
        <v>256</v>
      </c>
      <c r="G49" s="260" t="s">
        <v>256</v>
      </c>
      <c r="H49" s="304">
        <f>SUM(H39:H48)</f>
        <v>0</v>
      </c>
      <c r="I49" s="324">
        <f>SUM(I39:I48)</f>
        <v>0</v>
      </c>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row>
    <row r="50" spans="1:78">
      <c r="A50" s="254"/>
      <c r="B50" s="290"/>
      <c r="F50" s="261"/>
      <c r="H50" s="261"/>
      <c r="I50" s="261"/>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row>
    <row r="51" spans="1:78">
      <c r="A51" s="254"/>
      <c r="B51" s="290"/>
      <c r="F51" s="261"/>
      <c r="H51" s="261"/>
      <c r="I51" s="261"/>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row>
    <row r="52" spans="1:78" ht="31.35">
      <c r="A52" s="253" t="s">
        <v>401</v>
      </c>
      <c r="B52" s="292"/>
      <c r="C52" s="38"/>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row>
    <row r="53" spans="1:78" ht="14.85" customHeight="1">
      <c r="A53" s="626" t="s">
        <v>397</v>
      </c>
      <c r="B53" s="627" t="s">
        <v>360</v>
      </c>
      <c r="C53" s="628" t="s">
        <v>398</v>
      </c>
      <c r="D53" s="629" t="s">
        <v>368</v>
      </c>
      <c r="E53" s="630" t="s">
        <v>262</v>
      </c>
      <c r="F53" s="631" t="s">
        <v>363</v>
      </c>
      <c r="G53" s="625" t="s">
        <v>252</v>
      </c>
      <c r="H53" s="641" t="s">
        <v>399</v>
      </c>
      <c r="I53" s="640" t="s">
        <v>251</v>
      </c>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row>
    <row r="54" spans="1:78">
      <c r="A54" s="626"/>
      <c r="B54" s="627"/>
      <c r="C54" s="628"/>
      <c r="D54" s="629"/>
      <c r="E54" s="630"/>
      <c r="F54" s="632"/>
      <c r="G54" s="625"/>
      <c r="H54" s="642"/>
      <c r="I54" s="640"/>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row>
    <row r="55" spans="1:78">
      <c r="A55" s="255" t="s">
        <v>400</v>
      </c>
      <c r="B55" s="288"/>
      <c r="C55" s="159">
        <v>0.75</v>
      </c>
      <c r="D55" s="298">
        <f>B55*C55</f>
        <v>0</v>
      </c>
      <c r="E55" s="310" t="s">
        <v>45</v>
      </c>
      <c r="F55" s="390"/>
      <c r="G55" s="323"/>
      <c r="H55" s="321">
        <f t="shared" ref="H55:H64" si="3">$B55*F55</f>
        <v>0</v>
      </c>
      <c r="I55" s="321">
        <f>$B55*F55*G55</f>
        <v>0</v>
      </c>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row>
    <row r="56" spans="1:78">
      <c r="A56" s="257" t="s">
        <v>268</v>
      </c>
      <c r="B56" s="293"/>
      <c r="C56" s="159"/>
      <c r="D56" s="298">
        <f t="shared" ref="D56:D64" si="4">B56*C56</f>
        <v>0</v>
      </c>
      <c r="E56" s="310"/>
      <c r="F56" s="263"/>
      <c r="G56" s="323"/>
      <c r="H56" s="321">
        <f t="shared" si="3"/>
        <v>0</v>
      </c>
      <c r="I56" s="321">
        <f t="shared" ref="I56:I64" si="5">$B56*F56*G56</f>
        <v>0</v>
      </c>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row>
    <row r="57" spans="1:78">
      <c r="A57" s="257" t="s">
        <v>270</v>
      </c>
      <c r="B57" s="293"/>
      <c r="C57" s="159"/>
      <c r="D57" s="298">
        <f t="shared" si="4"/>
        <v>0</v>
      </c>
      <c r="E57" s="310"/>
      <c r="F57" s="263"/>
      <c r="G57" s="323"/>
      <c r="H57" s="321">
        <f t="shared" si="3"/>
        <v>0</v>
      </c>
      <c r="I57" s="321">
        <f t="shared" si="5"/>
        <v>0</v>
      </c>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row>
    <row r="58" spans="1:78">
      <c r="A58" s="257" t="s">
        <v>271</v>
      </c>
      <c r="B58" s="293"/>
      <c r="C58" s="159"/>
      <c r="D58" s="298">
        <f t="shared" si="4"/>
        <v>0</v>
      </c>
      <c r="E58" s="310"/>
      <c r="F58" s="263"/>
      <c r="G58" s="323"/>
      <c r="H58" s="321">
        <f t="shared" si="3"/>
        <v>0</v>
      </c>
      <c r="I58" s="321">
        <f t="shared" si="5"/>
        <v>0</v>
      </c>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row>
    <row r="59" spans="1:78">
      <c r="A59" s="257" t="s">
        <v>272</v>
      </c>
      <c r="B59" s="293"/>
      <c r="C59" s="159"/>
      <c r="D59" s="298">
        <f t="shared" si="4"/>
        <v>0</v>
      </c>
      <c r="E59" s="310"/>
      <c r="F59" s="263"/>
      <c r="G59" s="323"/>
      <c r="H59" s="321">
        <f t="shared" si="3"/>
        <v>0</v>
      </c>
      <c r="I59" s="321">
        <f t="shared" si="5"/>
        <v>0</v>
      </c>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row>
    <row r="60" spans="1:78">
      <c r="A60" s="257" t="s">
        <v>273</v>
      </c>
      <c r="B60" s="293"/>
      <c r="C60" s="159"/>
      <c r="D60" s="298">
        <f t="shared" si="4"/>
        <v>0</v>
      </c>
      <c r="E60" s="310"/>
      <c r="F60" s="263"/>
      <c r="G60" s="323"/>
      <c r="H60" s="321">
        <f t="shared" si="3"/>
        <v>0</v>
      </c>
      <c r="I60" s="321">
        <f t="shared" si="5"/>
        <v>0</v>
      </c>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row>
    <row r="61" spans="1:78">
      <c r="A61" s="257" t="s">
        <v>274</v>
      </c>
      <c r="B61" s="293"/>
      <c r="C61" s="159"/>
      <c r="D61" s="298">
        <f t="shared" si="4"/>
        <v>0</v>
      </c>
      <c r="E61" s="310"/>
      <c r="F61" s="263"/>
      <c r="G61" s="323"/>
      <c r="H61" s="321">
        <f t="shared" si="3"/>
        <v>0</v>
      </c>
      <c r="I61" s="321">
        <f t="shared" si="5"/>
        <v>0</v>
      </c>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row>
    <row r="62" spans="1:78">
      <c r="A62" s="257" t="s">
        <v>276</v>
      </c>
      <c r="B62" s="293"/>
      <c r="C62" s="159"/>
      <c r="D62" s="298">
        <f t="shared" si="4"/>
        <v>0</v>
      </c>
      <c r="E62" s="310"/>
      <c r="F62" s="263"/>
      <c r="G62" s="323"/>
      <c r="H62" s="321">
        <f t="shared" si="3"/>
        <v>0</v>
      </c>
      <c r="I62" s="321">
        <f t="shared" si="5"/>
        <v>0</v>
      </c>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row>
    <row r="63" spans="1:78">
      <c r="A63" s="257" t="s">
        <v>278</v>
      </c>
      <c r="B63" s="293"/>
      <c r="C63" s="159"/>
      <c r="D63" s="298">
        <f t="shared" si="4"/>
        <v>0</v>
      </c>
      <c r="E63" s="310"/>
      <c r="F63" s="263"/>
      <c r="G63" s="323"/>
      <c r="H63" s="321">
        <f t="shared" si="3"/>
        <v>0</v>
      </c>
      <c r="I63" s="321">
        <f t="shared" si="5"/>
        <v>0</v>
      </c>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row>
    <row r="64" spans="1:78">
      <c r="A64" s="257" t="s">
        <v>366</v>
      </c>
      <c r="B64" s="302"/>
      <c r="C64" s="159"/>
      <c r="D64" s="298">
        <f t="shared" si="4"/>
        <v>0</v>
      </c>
      <c r="E64" s="310"/>
      <c r="F64" s="299"/>
      <c r="G64" s="323"/>
      <c r="H64" s="322">
        <f t="shared" si="3"/>
        <v>0</v>
      </c>
      <c r="I64" s="321">
        <f t="shared" si="5"/>
        <v>0</v>
      </c>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row>
    <row r="65" spans="1:78">
      <c r="A65" s="318" t="s">
        <v>255</v>
      </c>
      <c r="B65" s="305">
        <f>SUM(B55:B64)</f>
        <v>0</v>
      </c>
      <c r="C65" s="301"/>
      <c r="D65" s="306">
        <f>SUM(D55:D64)</f>
        <v>0</v>
      </c>
      <c r="E65" s="315"/>
      <c r="F65" s="260" t="s">
        <v>256</v>
      </c>
      <c r="G65" s="260" t="s">
        <v>256</v>
      </c>
      <c r="H65" s="304">
        <f>SUM(H55:H64)</f>
        <v>0</v>
      </c>
      <c r="I65" s="324">
        <f>SUM(I55:I64)</f>
        <v>0</v>
      </c>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row>
    <row r="66" spans="1:78">
      <c r="A66" s="254"/>
      <c r="B66" s="290"/>
      <c r="F66" s="261"/>
      <c r="H66" s="261"/>
      <c r="I66" s="261"/>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row>
    <row r="67" spans="1:78">
      <c r="A67" s="254"/>
      <c r="B67" s="290"/>
      <c r="F67" s="261"/>
      <c r="H67" s="261"/>
      <c r="I67" s="261"/>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row>
    <row r="68" spans="1:78">
      <c r="A68" s="254"/>
      <c r="B68" s="290"/>
      <c r="F68" s="261"/>
      <c r="H68" s="261"/>
      <c r="I68" s="261"/>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row>
    <row r="69" spans="1:78">
      <c r="A69" s="254"/>
      <c r="B69" s="290"/>
      <c r="F69" s="261"/>
      <c r="H69" s="261"/>
      <c r="I69" s="261"/>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row>
    <row r="70" spans="1:78">
      <c r="A70" s="254"/>
      <c r="B70" s="303"/>
      <c r="F70" s="261"/>
      <c r="G70" s="261"/>
      <c r="H70" s="261"/>
      <c r="I70" s="261"/>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row>
    <row r="71" spans="1:78">
      <c r="A71" s="254"/>
      <c r="B71" s="292"/>
      <c r="D71" s="38"/>
      <c r="E71" s="38"/>
      <c r="F71" s="38"/>
      <c r="G71" s="38"/>
      <c r="H71" s="38"/>
      <c r="I71" s="38"/>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row>
    <row r="72" spans="1:78" ht="31.35">
      <c r="A72" s="253" t="s">
        <v>402</v>
      </c>
      <c r="B72" s="292"/>
      <c r="C72" s="38"/>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row>
    <row r="73" spans="1:78">
      <c r="A73" s="633" t="s">
        <v>258</v>
      </c>
      <c r="B73" s="633"/>
      <c r="C73" s="633"/>
      <c r="D73" s="633" t="str">
        <f>A23</f>
        <v>Asset 1</v>
      </c>
      <c r="E73" s="633"/>
      <c r="F73" s="633"/>
      <c r="G73" s="633"/>
      <c r="H73" s="633"/>
      <c r="I73" s="402"/>
      <c r="N73" s="672"/>
      <c r="O73" s="672"/>
      <c r="P73" s="672"/>
      <c r="Q73" s="672"/>
      <c r="R73" s="672"/>
      <c r="S73" s="672"/>
      <c r="T73" s="672"/>
      <c r="U73" s="672"/>
      <c r="V73" s="672"/>
      <c r="W73" s="672"/>
      <c r="X73" s="672"/>
      <c r="Y73" s="672"/>
      <c r="Z73" s="672"/>
      <c r="AA73" s="672"/>
      <c r="AB73" s="672"/>
      <c r="AC73" s="672"/>
      <c r="AD73" s="672"/>
      <c r="AE73" s="672"/>
      <c r="AF73" s="672"/>
      <c r="AG73" s="672"/>
      <c r="AH73" s="672"/>
      <c r="AI73" s="672"/>
      <c r="AJ73" s="672"/>
      <c r="AK73" s="672"/>
      <c r="AL73" s="672"/>
      <c r="AM73" s="672"/>
      <c r="AN73" s="672"/>
      <c r="AO73" s="672"/>
      <c r="AP73" s="672"/>
      <c r="AQ73" s="672"/>
      <c r="AR73" s="672"/>
      <c r="AS73" s="672"/>
      <c r="AT73" s="672"/>
      <c r="AU73" s="672"/>
      <c r="AV73" s="672"/>
      <c r="AW73" s="672"/>
      <c r="AX73" s="672"/>
      <c r="AY73" s="672"/>
      <c r="AZ73" s="672"/>
      <c r="BA73" s="672"/>
      <c r="BB73" s="672"/>
      <c r="BC73" s="672"/>
      <c r="BD73" s="672"/>
      <c r="BE73" s="672"/>
      <c r="BF73" s="672"/>
      <c r="BG73" s="672"/>
      <c r="BH73" s="672"/>
      <c r="BI73" s="672"/>
      <c r="BJ73" s="672"/>
      <c r="BK73" s="672"/>
      <c r="BL73" s="672"/>
      <c r="BM73" s="672"/>
      <c r="BN73" s="672"/>
      <c r="BO73" s="672"/>
      <c r="BP73" s="672"/>
      <c r="BQ73" s="672"/>
      <c r="BR73" s="672"/>
      <c r="BS73" s="672"/>
      <c r="BT73" s="672"/>
      <c r="BU73" s="672"/>
      <c r="BV73" s="672"/>
      <c r="BW73" s="672"/>
      <c r="BX73" s="672"/>
      <c r="BY73" s="672"/>
      <c r="BZ73" s="672"/>
    </row>
    <row r="74" spans="1:78" ht="29.45">
      <c r="A74" s="403" t="s">
        <v>259</v>
      </c>
      <c r="B74" s="404" t="s">
        <v>30</v>
      </c>
      <c r="C74" s="405" t="s">
        <v>260</v>
      </c>
      <c r="D74" s="400" t="s">
        <v>261</v>
      </c>
      <c r="E74" s="401" t="s">
        <v>32</v>
      </c>
      <c r="F74" s="401" t="s">
        <v>262</v>
      </c>
      <c r="G74" s="401" t="s">
        <v>263</v>
      </c>
      <c r="H74" s="405" t="s">
        <v>264</v>
      </c>
      <c r="I74" s="396" t="s">
        <v>265</v>
      </c>
    </row>
    <row r="75" spans="1:78">
      <c r="A75" s="265"/>
      <c r="B75" s="295"/>
      <c r="C75" s="267"/>
      <c r="D75" s="268"/>
      <c r="E75" s="266"/>
      <c r="F75" s="266"/>
      <c r="G75" s="266"/>
      <c r="H75" s="267"/>
    </row>
    <row r="76" spans="1:78">
      <c r="A76" s="591" t="s">
        <v>282</v>
      </c>
      <c r="B76" s="592"/>
      <c r="C76" s="593"/>
      <c r="D76" s="269"/>
      <c r="E76" s="269"/>
      <c r="F76" s="269"/>
      <c r="G76" s="269"/>
      <c r="H76" s="381">
        <f>SUM(H77:H85)</f>
        <v>0</v>
      </c>
    </row>
    <row r="77" spans="1:78">
      <c r="A77" s="270" t="s">
        <v>46</v>
      </c>
      <c r="B77" s="292" t="s">
        <v>44</v>
      </c>
      <c r="C77" s="278">
        <f>'Default EF'!G14</f>
        <v>2.6426992500000002</v>
      </c>
      <c r="D77" s="374"/>
      <c r="E77" s="272"/>
      <c r="F77" s="272" t="s">
        <v>45</v>
      </c>
      <c r="G77" s="272"/>
      <c r="H77" s="382">
        <f>IF(F77='Reference (hide)'!$A$1, (D77-E77)*$C77, (D77-E77)*G77)</f>
        <v>0</v>
      </c>
      <c r="I77" s="310" t="s">
        <v>269</v>
      </c>
    </row>
    <row r="78" spans="1:78">
      <c r="A78" s="270" t="s">
        <v>47</v>
      </c>
      <c r="B78" s="292" t="s">
        <v>44</v>
      </c>
      <c r="C78" s="278">
        <f>'Default EF'!G16</f>
        <v>2.4581595000000003</v>
      </c>
      <c r="D78" s="374"/>
      <c r="E78" s="272"/>
      <c r="F78" s="272" t="s">
        <v>45</v>
      </c>
      <c r="G78" s="272"/>
      <c r="H78" s="382">
        <f>IF(F78='Reference (hide)'!$A$1, (D78-E78)*$C78, (D78-E78)*G78)</f>
        <v>0</v>
      </c>
      <c r="I78" s="310" t="s">
        <v>269</v>
      </c>
    </row>
    <row r="79" spans="1:78">
      <c r="A79" s="270" t="s">
        <v>48</v>
      </c>
      <c r="B79" s="292" t="s">
        <v>44</v>
      </c>
      <c r="C79" s="278">
        <f>'Default EF'!G17</f>
        <v>1.8290947499999997</v>
      </c>
      <c r="D79" s="374"/>
      <c r="E79" s="272"/>
      <c r="F79" s="272" t="s">
        <v>45</v>
      </c>
      <c r="G79" s="272"/>
      <c r="H79" s="382">
        <f>IF(F79='Reference (hide)'!$A$1, (D79-E79)*$C79, (D79-E79)*G79)</f>
        <v>0</v>
      </c>
      <c r="I79" s="310" t="s">
        <v>269</v>
      </c>
    </row>
    <row r="80" spans="1:78">
      <c r="A80" s="270" t="s">
        <v>49</v>
      </c>
      <c r="B80" s="292" t="s">
        <v>44</v>
      </c>
      <c r="C80" s="278">
        <f>'Default EF'!G18</f>
        <v>1.2099622500000002</v>
      </c>
      <c r="D80" s="374"/>
      <c r="E80" s="272"/>
      <c r="F80" s="272" t="s">
        <v>45</v>
      </c>
      <c r="G80" s="272"/>
      <c r="H80" s="382">
        <f>IF(F80='Reference (hide)'!$A$1, (D80-E80)*$C80, (D80-E80)*G80)</f>
        <v>0</v>
      </c>
      <c r="I80" s="310" t="s">
        <v>269</v>
      </c>
    </row>
    <row r="81" spans="1:9">
      <c r="A81" s="270" t="s">
        <v>283</v>
      </c>
      <c r="B81" s="292" t="s">
        <v>275</v>
      </c>
      <c r="C81" s="271">
        <f>'Default EF'!G19</f>
        <v>2.9487799999999998E-3</v>
      </c>
      <c r="D81" s="374"/>
      <c r="E81" s="272"/>
      <c r="F81" s="272" t="s">
        <v>45</v>
      </c>
      <c r="G81" s="272"/>
      <c r="H81" s="382">
        <f>IF(F81='Reference (hide)'!$A$1, (D81-E81)*$C81, (D81-E81)*G81)</f>
        <v>0</v>
      </c>
      <c r="I81" s="310" t="s">
        <v>269</v>
      </c>
    </row>
    <row r="82" spans="1:9">
      <c r="A82" s="270" t="s">
        <v>284</v>
      </c>
      <c r="B82" s="292" t="s">
        <v>275</v>
      </c>
      <c r="C82" s="271">
        <f>'Default EF'!G20</f>
        <v>2.6854800000000001E-3</v>
      </c>
      <c r="D82" s="374"/>
      <c r="E82" s="272"/>
      <c r="F82" s="272" t="s">
        <v>45</v>
      </c>
      <c r="G82" s="272"/>
      <c r="H82" s="382">
        <f>IF(F82='Reference (hide)'!$A$1, (D82-E82)*$C82, (D82-E82)*G82)</f>
        <v>0</v>
      </c>
      <c r="I82" s="310" t="s">
        <v>269</v>
      </c>
    </row>
    <row r="83" spans="1:9">
      <c r="A83" s="270" t="s">
        <v>53</v>
      </c>
      <c r="B83" s="292" t="s">
        <v>275</v>
      </c>
      <c r="C83" s="271">
        <f>'Default EF'!G21</f>
        <v>1.6159529430000001E-3</v>
      </c>
      <c r="D83" s="374"/>
      <c r="E83" s="272"/>
      <c r="F83" s="272" t="s">
        <v>45</v>
      </c>
      <c r="G83" s="272"/>
      <c r="H83" s="382">
        <f>IF(F83='Reference (hide)'!$A$1, (D83-E83)*$C83, (D83-E83)*G83)</f>
        <v>0</v>
      </c>
      <c r="I83" s="310" t="s">
        <v>269</v>
      </c>
    </row>
    <row r="84" spans="1:9">
      <c r="A84" s="270" t="s">
        <v>285</v>
      </c>
      <c r="B84" s="292" t="s">
        <v>277</v>
      </c>
      <c r="C84" s="271">
        <f>'Default EF'!G22</f>
        <v>2.2102717812691286E-3</v>
      </c>
      <c r="D84" s="374"/>
      <c r="E84" s="272"/>
      <c r="F84" s="272" t="s">
        <v>45</v>
      </c>
      <c r="G84" s="272"/>
      <c r="H84" s="382">
        <f>IF(F84='Reference (hide)'!$A$1, (D84-E84)*$C84, (D84-E84)*G84)</f>
        <v>0</v>
      </c>
      <c r="I84" s="310" t="s">
        <v>269</v>
      </c>
    </row>
    <row r="85" spans="1:9">
      <c r="A85" s="270" t="s">
        <v>285</v>
      </c>
      <c r="B85" s="292" t="s">
        <v>279</v>
      </c>
      <c r="C85" s="252">
        <f>'Default EF'!G23</f>
        <v>5.8470000000000001E-2</v>
      </c>
      <c r="D85" s="374"/>
      <c r="E85" s="272"/>
      <c r="F85" s="272" t="s">
        <v>45</v>
      </c>
      <c r="G85" s="272"/>
      <c r="H85" s="382">
        <f>IF(F85='Reference (hide)'!$A$1, (D85-E85)*$C85, (D85-E85)*G85)</f>
        <v>0</v>
      </c>
      <c r="I85" s="310" t="s">
        <v>269</v>
      </c>
    </row>
    <row r="86" spans="1:9">
      <c r="A86" s="120"/>
      <c r="B86" s="296"/>
      <c r="C86" s="250"/>
      <c r="D86" s="296"/>
      <c r="E86" s="249"/>
      <c r="F86" s="249"/>
      <c r="G86" s="249"/>
      <c r="H86" s="383"/>
      <c r="I86" s="311"/>
    </row>
    <row r="87" spans="1:9">
      <c r="A87" s="591" t="s">
        <v>286</v>
      </c>
      <c r="B87" s="591"/>
      <c r="C87" s="591"/>
      <c r="D87" s="324"/>
      <c r="E87" s="260"/>
      <c r="F87" s="260"/>
      <c r="G87" s="260"/>
      <c r="H87" s="289">
        <f>SUM(H88:H96)</f>
        <v>0</v>
      </c>
      <c r="I87" s="311"/>
    </row>
    <row r="88" spans="1:9">
      <c r="A88" s="270" t="s">
        <v>287</v>
      </c>
      <c r="B88" s="292" t="s">
        <v>44</v>
      </c>
      <c r="C88" s="278">
        <f>'Default EF'!J14</f>
        <v>0.39248999999999995</v>
      </c>
      <c r="D88" s="375">
        <f t="shared" ref="D88:E90" si="6">D77</f>
        <v>0</v>
      </c>
      <c r="E88" s="28">
        <f t="shared" si="6"/>
        <v>0</v>
      </c>
      <c r="F88" s="272" t="s">
        <v>45</v>
      </c>
      <c r="G88" s="272"/>
      <c r="H88" s="382">
        <f>IF(F88='Reference (hide)'!$A$1, (D88-E88)*$C88, (D88-E88)*G88)</f>
        <v>0</v>
      </c>
      <c r="I88" s="310" t="s">
        <v>269</v>
      </c>
    </row>
    <row r="89" spans="1:9">
      <c r="A89" s="270" t="s">
        <v>288</v>
      </c>
      <c r="B89" s="292" t="s">
        <v>44</v>
      </c>
      <c r="C89" s="278">
        <f>'Default EF'!J16</f>
        <v>0.37925999999999999</v>
      </c>
      <c r="D89" s="375">
        <f t="shared" si="6"/>
        <v>0</v>
      </c>
      <c r="E89" s="28">
        <f t="shared" si="6"/>
        <v>0</v>
      </c>
      <c r="F89" s="272" t="s">
        <v>45</v>
      </c>
      <c r="G89" s="272"/>
      <c r="H89" s="382">
        <f>IF(F89='Reference (hide)'!$A$1, (D89-E89)*$C89, (D89-E89)*G89)</f>
        <v>0</v>
      </c>
      <c r="I89" s="310"/>
    </row>
    <row r="90" spans="1:9">
      <c r="A90" s="270" t="s">
        <v>289</v>
      </c>
      <c r="B90" s="292" t="s">
        <v>44</v>
      </c>
      <c r="C90" s="278">
        <f>'Default EF'!J17</f>
        <v>0.27782999999999997</v>
      </c>
      <c r="D90" s="375">
        <f t="shared" si="6"/>
        <v>0</v>
      </c>
      <c r="E90" s="28">
        <f t="shared" si="6"/>
        <v>0</v>
      </c>
      <c r="F90" s="272" t="s">
        <v>45</v>
      </c>
      <c r="G90" s="272"/>
      <c r="H90" s="382">
        <f>IF(F90='Reference (hide)'!$A$1, (D90-E90)*$C90, (D90-E90)*G90)</f>
        <v>0</v>
      </c>
      <c r="I90" s="310"/>
    </row>
    <row r="91" spans="1:9">
      <c r="A91" s="270" t="s">
        <v>290</v>
      </c>
      <c r="B91" s="292" t="s">
        <v>44</v>
      </c>
      <c r="C91" s="278">
        <f>'Default EF'!J18</f>
        <v>0.17493</v>
      </c>
      <c r="D91" s="375">
        <f>D80</f>
        <v>0</v>
      </c>
      <c r="E91" s="28">
        <f>E80</f>
        <v>0</v>
      </c>
      <c r="F91" s="272" t="s">
        <v>45</v>
      </c>
      <c r="G91" s="272"/>
      <c r="H91" s="382">
        <f>IF(F91='Reference (hide)'!$A$1, (D91-E91)*$C91, (D91-E91)*G91)</f>
        <v>0</v>
      </c>
      <c r="I91" s="310"/>
    </row>
    <row r="92" spans="1:9">
      <c r="A92" s="270" t="s">
        <v>291</v>
      </c>
      <c r="B92" s="292" t="s">
        <v>275</v>
      </c>
      <c r="C92" s="271">
        <f>'Default EF'!J19</f>
        <v>4.2533119999999989E-4</v>
      </c>
      <c r="D92" s="375">
        <f t="shared" ref="D92:D94" si="7">D81</f>
        <v>0</v>
      </c>
      <c r="E92" s="28">
        <f>E82</f>
        <v>0</v>
      </c>
      <c r="F92" s="272" t="s">
        <v>45</v>
      </c>
      <c r="G92" s="272"/>
      <c r="H92" s="382">
        <f>IF(F92='Reference (hide)'!$A$1, (D92-E92)*$C92, (D92-E92)*G92)</f>
        <v>0</v>
      </c>
      <c r="I92" s="310"/>
    </row>
    <row r="93" spans="1:9">
      <c r="A93" s="270" t="s">
        <v>292</v>
      </c>
      <c r="B93" s="292" t="s">
        <v>275</v>
      </c>
      <c r="C93" s="271">
        <f>'Default EF'!J20</f>
        <v>5.9092319999999989E-4</v>
      </c>
      <c r="D93" s="375">
        <f>D82</f>
        <v>0</v>
      </c>
      <c r="E93" s="28">
        <f>E81</f>
        <v>0</v>
      </c>
      <c r="F93" s="272" t="s">
        <v>45</v>
      </c>
      <c r="G93" s="272"/>
      <c r="H93" s="382">
        <f>IF(F93='Reference (hide)'!$A$1, (D93-E93)*$C93, (D93-E93)*G93)</f>
        <v>0</v>
      </c>
      <c r="I93" s="310"/>
    </row>
    <row r="94" spans="1:9">
      <c r="A94" s="270" t="s">
        <v>293</v>
      </c>
      <c r="B94" s="292" t="s">
        <v>275</v>
      </c>
      <c r="C94" s="271">
        <f>'Default EF'!J21</f>
        <v>1.7956026000000001E-4</v>
      </c>
      <c r="D94" s="375">
        <f t="shared" si="7"/>
        <v>0</v>
      </c>
      <c r="E94" s="28">
        <f t="shared" ref="D94:E96" si="8">E83</f>
        <v>0</v>
      </c>
      <c r="F94" s="272" t="s">
        <v>45</v>
      </c>
      <c r="G94" s="272"/>
      <c r="H94" s="382">
        <f>IF(F94='Reference (hide)'!$A$1, (D94-E94)*$C94, (D94-E94)*G94)</f>
        <v>0</v>
      </c>
      <c r="I94" s="310"/>
    </row>
    <row r="95" spans="1:9">
      <c r="A95" s="270" t="s">
        <v>294</v>
      </c>
      <c r="B95" s="292" t="s">
        <v>277</v>
      </c>
      <c r="C95" s="271">
        <f>'Default EF'!J22</f>
        <v>3.2887573964497034E-4</v>
      </c>
      <c r="D95" s="375">
        <f t="shared" si="8"/>
        <v>0</v>
      </c>
      <c r="E95" s="28">
        <f t="shared" si="8"/>
        <v>0</v>
      </c>
      <c r="F95" s="272" t="s">
        <v>45</v>
      </c>
      <c r="G95" s="272"/>
      <c r="H95" s="382">
        <f>IF(F95='Reference (hide)'!$A$1, (D95-E95)*$C95, (D95-E95)*G95)</f>
        <v>0</v>
      </c>
      <c r="I95" s="310"/>
    </row>
    <row r="96" spans="1:9">
      <c r="A96" s="270" t="s">
        <v>294</v>
      </c>
      <c r="B96" s="292" t="s">
        <v>279</v>
      </c>
      <c r="C96" s="271">
        <f>'Default EF'!J23</f>
        <v>8.6999999999999994E-3</v>
      </c>
      <c r="D96" s="375">
        <f t="shared" si="8"/>
        <v>0</v>
      </c>
      <c r="E96" s="28">
        <f t="shared" si="8"/>
        <v>0</v>
      </c>
      <c r="F96" s="272" t="s">
        <v>45</v>
      </c>
      <c r="G96" s="272"/>
      <c r="H96" s="382">
        <f>IF(F96='Reference (hide)'!$A$1, (D96-E96)*$C96, (D96-E96)*G96)</f>
        <v>0</v>
      </c>
      <c r="I96" s="310"/>
    </row>
    <row r="97" spans="1:78">
      <c r="A97" s="273"/>
      <c r="B97" s="296"/>
      <c r="C97" s="250"/>
      <c r="D97" s="376"/>
      <c r="E97" s="249"/>
      <c r="F97" s="249"/>
      <c r="G97" s="249"/>
      <c r="H97" s="383"/>
      <c r="I97" s="311"/>
    </row>
    <row r="98" spans="1:78" ht="14.45" customHeight="1">
      <c r="A98" s="591" t="s">
        <v>295</v>
      </c>
      <c r="B98" s="591"/>
      <c r="C98" s="591"/>
      <c r="D98" s="377"/>
      <c r="E98" s="269"/>
      <c r="F98" s="269"/>
      <c r="G98" s="269"/>
      <c r="H98" s="381">
        <f>SUM(H99:H101)</f>
        <v>0</v>
      </c>
      <c r="I98" s="311"/>
    </row>
    <row r="99" spans="1:78" ht="14.45" customHeight="1">
      <c r="A99" s="270" t="s">
        <v>296</v>
      </c>
      <c r="B99" s="292" t="s">
        <v>44</v>
      </c>
      <c r="C99" s="278">
        <f>'Default EF'!G57</f>
        <v>0.11</v>
      </c>
      <c r="D99" s="374"/>
      <c r="E99" s="272"/>
      <c r="F99" s="272" t="s">
        <v>45</v>
      </c>
      <c r="G99" s="272"/>
      <c r="H99" s="382">
        <f>IF(F99='Reference (hide)'!$A$1, (D99-E99)*$C99, (D99-E99)*G99)</f>
        <v>0</v>
      </c>
      <c r="I99" s="310"/>
    </row>
    <row r="100" spans="1:78" ht="14.45" customHeight="1">
      <c r="A100" s="270" t="s">
        <v>297</v>
      </c>
      <c r="B100" s="292" t="s">
        <v>44</v>
      </c>
      <c r="C100" s="278">
        <f>'Default EF'!G58</f>
        <v>0.36</v>
      </c>
      <c r="D100" s="374"/>
      <c r="E100" s="272"/>
      <c r="F100" s="272" t="s">
        <v>45</v>
      </c>
      <c r="G100" s="272"/>
      <c r="H100" s="382">
        <f>IF(F100='Reference (hide)'!$A$1, (D100-E100)*$C100, (D100-E100)*G100)</f>
        <v>0</v>
      </c>
      <c r="I100" s="310"/>
    </row>
    <row r="101" spans="1:78">
      <c r="A101" s="270" t="s">
        <v>285</v>
      </c>
      <c r="B101" s="292" t="s">
        <v>277</v>
      </c>
      <c r="C101" s="271">
        <f>'Default EF'!G59</f>
        <v>3.2000000000000003E-4</v>
      </c>
      <c r="D101" s="374"/>
      <c r="E101" s="272"/>
      <c r="F101" s="272" t="s">
        <v>45</v>
      </c>
      <c r="G101" s="272"/>
      <c r="H101" s="382">
        <f>IF(F101='Reference (hide)'!$A$1, (D101-E101)*$C101, (D101-E101)*G101)</f>
        <v>0</v>
      </c>
      <c r="I101" s="310"/>
    </row>
    <row r="102" spans="1:78">
      <c r="A102" s="270"/>
      <c r="B102" s="292"/>
      <c r="C102" s="247"/>
      <c r="D102" s="378"/>
      <c r="E102" s="38"/>
      <c r="F102" s="38"/>
      <c r="G102" s="38"/>
      <c r="H102" s="382"/>
      <c r="I102" s="311"/>
    </row>
    <row r="103" spans="1:78" s="254" customFormat="1">
      <c r="A103" s="591" t="s">
        <v>298</v>
      </c>
      <c r="B103" s="592"/>
      <c r="C103" s="593"/>
      <c r="D103" s="305"/>
      <c r="E103" s="260"/>
      <c r="F103" s="260"/>
      <c r="G103" s="260"/>
      <c r="H103" s="289">
        <f>SUM(H104:H116)</f>
        <v>0</v>
      </c>
      <c r="I103" s="311"/>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row>
    <row r="104" spans="1:78" s="44" customFormat="1">
      <c r="A104" s="270" t="s">
        <v>299</v>
      </c>
      <c r="B104" s="292" t="s">
        <v>86</v>
      </c>
      <c r="C104" s="247">
        <f>'Default EF'!G64</f>
        <v>0.82</v>
      </c>
      <c r="D104" s="374"/>
      <c r="E104" s="272"/>
      <c r="F104" s="272" t="s">
        <v>45</v>
      </c>
      <c r="G104" s="272"/>
      <c r="H104" s="382">
        <f>IF(F104='Reference (hide)'!$A$1, (D104-E104)*$C104, (D104-E104)*G104)</f>
        <v>0</v>
      </c>
      <c r="I104" s="310"/>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row>
    <row r="105" spans="1:78" s="44" customFormat="1">
      <c r="A105" s="270" t="s">
        <v>285</v>
      </c>
      <c r="B105" s="292" t="s">
        <v>86</v>
      </c>
      <c r="C105" s="247">
        <f>'Default EF'!G65</f>
        <v>0.49</v>
      </c>
      <c r="D105" s="374"/>
      <c r="E105" s="272"/>
      <c r="F105" s="272" t="s">
        <v>45</v>
      </c>
      <c r="G105" s="272"/>
      <c r="H105" s="382">
        <f>IF(F105='Reference (hide)'!$A$1, (D105-E105)*$C105, (D105-E105)*G105)</f>
        <v>0</v>
      </c>
      <c r="I105" s="310"/>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row>
    <row r="106" spans="1:78" s="44" customFormat="1">
      <c r="A106" s="270" t="s">
        <v>300</v>
      </c>
      <c r="B106" s="292" t="s">
        <v>86</v>
      </c>
      <c r="C106" s="247">
        <f>'Default EF'!G66</f>
        <v>0.73299999999999998</v>
      </c>
      <c r="D106" s="374"/>
      <c r="E106" s="272"/>
      <c r="F106" s="272" t="s">
        <v>45</v>
      </c>
      <c r="G106" s="272"/>
      <c r="H106" s="382">
        <f>IF(F106='Reference (hide)'!$A$1, (D106-E106)*$C106, (D106-E106)*G106)</f>
        <v>0</v>
      </c>
      <c r="I106" s="310"/>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row>
    <row r="107" spans="1:78" s="44" customFormat="1">
      <c r="A107" s="270" t="s">
        <v>301</v>
      </c>
      <c r="B107" s="292" t="s">
        <v>86</v>
      </c>
      <c r="C107" s="247">
        <f>'Default EF'!G67</f>
        <v>0.65500000000000003</v>
      </c>
      <c r="D107" s="374"/>
      <c r="E107" s="272"/>
      <c r="F107" s="272" t="s">
        <v>45</v>
      </c>
      <c r="G107" s="272"/>
      <c r="H107" s="382">
        <f>IF(F107='Reference (hide)'!$A$1, (D107-E107)*$C107, (D107-E107)*G107)</f>
        <v>0</v>
      </c>
      <c r="I107" s="310"/>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row>
    <row r="108" spans="1:78" s="44" customFormat="1">
      <c r="A108" s="270" t="s">
        <v>302</v>
      </c>
      <c r="B108" s="292" t="s">
        <v>86</v>
      </c>
      <c r="C108" s="247">
        <f>'Default EF'!G68</f>
        <v>1.2E-2</v>
      </c>
      <c r="D108" s="374"/>
      <c r="E108" s="272"/>
      <c r="F108" s="272" t="s">
        <v>45</v>
      </c>
      <c r="G108" s="272"/>
      <c r="H108" s="382">
        <f>IF(F108='Reference (hide)'!$A$1, (D108-E108)*$C108, (D108-E108)*G108)</f>
        <v>0</v>
      </c>
      <c r="I108" s="310"/>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row>
    <row r="109" spans="1:78" s="44" customFormat="1">
      <c r="A109" s="270" t="s">
        <v>303</v>
      </c>
      <c r="B109" s="292" t="s">
        <v>86</v>
      </c>
      <c r="C109" s="247">
        <f>'Default EF'!G69</f>
        <v>2.4E-2</v>
      </c>
      <c r="D109" s="374"/>
      <c r="E109" s="272"/>
      <c r="F109" s="272" t="s">
        <v>45</v>
      </c>
      <c r="G109" s="272"/>
      <c r="H109" s="382">
        <f>IF(F109='Reference (hide)'!$A$1, (D109-E109)*$C109, (D109-E109)*G109)</f>
        <v>0</v>
      </c>
      <c r="I109" s="310"/>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row>
    <row r="110" spans="1:78" s="44" customFormat="1">
      <c r="A110" s="270" t="s">
        <v>304</v>
      </c>
      <c r="B110" s="292" t="s">
        <v>86</v>
      </c>
      <c r="C110" s="247">
        <f>'Default EF'!G70</f>
        <v>1.0999999999999999E-2</v>
      </c>
      <c r="D110" s="374"/>
      <c r="E110" s="272"/>
      <c r="F110" s="272" t="s">
        <v>45</v>
      </c>
      <c r="G110" s="272"/>
      <c r="H110" s="382">
        <f>IF(F110='Reference (hide)'!$A$1, (D110-E110)*$C110, (D110-E110)*G110)</f>
        <v>0</v>
      </c>
      <c r="I110" s="3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row>
    <row r="111" spans="1:78" s="44" customFormat="1">
      <c r="A111" s="270" t="s">
        <v>305</v>
      </c>
      <c r="B111" s="292" t="s">
        <v>86</v>
      </c>
      <c r="C111" s="247">
        <f>'Default EF'!G71</f>
        <v>4.8000000000000001E-2</v>
      </c>
      <c r="D111" s="374"/>
      <c r="E111" s="272"/>
      <c r="F111" s="272" t="s">
        <v>45</v>
      </c>
      <c r="G111" s="272"/>
      <c r="H111" s="382">
        <f>IF(F111='Reference (hide)'!$A$1, (D111-E111)*$C111, (D111-E111)*G111)</f>
        <v>0</v>
      </c>
      <c r="I111" s="310"/>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1:78" s="44" customFormat="1">
      <c r="A112" s="270" t="s">
        <v>306</v>
      </c>
      <c r="B112" s="292" t="s">
        <v>86</v>
      </c>
      <c r="C112" s="247">
        <f>'Default EF'!G72</f>
        <v>0.23</v>
      </c>
      <c r="D112" s="374"/>
      <c r="E112" s="272"/>
      <c r="F112" s="272" t="s">
        <v>45</v>
      </c>
      <c r="G112" s="272"/>
      <c r="H112" s="382">
        <f>IF(F112='Reference (hide)'!$A$1, (D112-E112)*$C112, (D112-E112)*G112)</f>
        <v>0</v>
      </c>
      <c r="I112" s="310"/>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1:78" s="44" customFormat="1">
      <c r="A113" s="270" t="s">
        <v>307</v>
      </c>
      <c r="B113" s="292" t="s">
        <v>86</v>
      </c>
      <c r="C113" s="247">
        <f>'Default EF'!G73</f>
        <v>6.4200000000000007E-2</v>
      </c>
      <c r="D113" s="374"/>
      <c r="E113" s="272"/>
      <c r="F113" s="272" t="s">
        <v>45</v>
      </c>
      <c r="G113" s="272"/>
      <c r="H113" s="382">
        <f>IF(F113='Reference (hide)'!$A$1, (D113-E113)*$C113, (D113-E113)*G113)</f>
        <v>0</v>
      </c>
      <c r="I113" s="310"/>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1:78" s="44" customFormat="1">
      <c r="A114" s="507" t="s">
        <v>308</v>
      </c>
      <c r="B114" s="292" t="s">
        <v>86</v>
      </c>
      <c r="C114" s="247"/>
      <c r="D114" s="374"/>
      <c r="E114" s="272"/>
      <c r="F114" s="272"/>
      <c r="G114" s="272"/>
      <c r="H114" s="382"/>
      <c r="I114" s="310"/>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1:78" s="44" customFormat="1" ht="29.45">
      <c r="A115" s="507" t="s">
        <v>309</v>
      </c>
      <c r="B115" s="292" t="s">
        <v>86</v>
      </c>
      <c r="C115" s="247"/>
      <c r="D115" s="374"/>
      <c r="E115" s="272"/>
      <c r="F115" s="272" t="s">
        <v>45</v>
      </c>
      <c r="G115" s="272"/>
      <c r="H115" s="382">
        <f>IF(F115='Reference (hide)'!$A$1, (D115-E115)*$C115, (D115-E115)*G115)</f>
        <v>0</v>
      </c>
      <c r="I115" s="310" t="s">
        <v>267</v>
      </c>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1:78">
      <c r="A116" s="507" t="s">
        <v>310</v>
      </c>
      <c r="B116" s="292" t="s">
        <v>86</v>
      </c>
      <c r="C116" s="250"/>
      <c r="D116" s="374"/>
      <c r="E116" s="272"/>
      <c r="F116" s="272" t="s">
        <v>45</v>
      </c>
      <c r="G116" s="272"/>
      <c r="H116" s="382">
        <f>IF(F116='Reference (hide)'!$A$1, (D116-E116)*$C116, (D116-E116)*G116)</f>
        <v>0</v>
      </c>
      <c r="I116" s="310" t="s">
        <v>267</v>
      </c>
    </row>
    <row r="117" spans="1:78" ht="32.25" customHeight="1">
      <c r="A117" s="594" t="s">
        <v>311</v>
      </c>
      <c r="B117" s="595"/>
      <c r="C117" s="596"/>
      <c r="D117" s="379" t="s">
        <v>256</v>
      </c>
      <c r="E117" s="276" t="s">
        <v>256</v>
      </c>
      <c r="F117" s="276" t="s">
        <v>256</v>
      </c>
      <c r="G117" s="276" t="s">
        <v>256</v>
      </c>
      <c r="H117" s="384">
        <f>SUM(H76,H87,H98,H103)</f>
        <v>0</v>
      </c>
      <c r="I117" s="312"/>
    </row>
    <row r="118" spans="1:78">
      <c r="A118" s="588" t="s">
        <v>403</v>
      </c>
      <c r="B118" s="589"/>
      <c r="C118" s="590"/>
      <c r="D118" s="380"/>
      <c r="E118" s="301"/>
      <c r="F118" s="301"/>
      <c r="G118" s="301"/>
      <c r="H118" s="385">
        <f>SUM(SUMIF(I77:I85, "Primary", H77:H85), SUMIF(I88:I96, "Primary", H88:H96), SUMIF(I99:I101, "Primary", H99:H101), SUMIF(I104:I115, "Primary", H104:H115))</f>
        <v>0</v>
      </c>
    </row>
  </sheetData>
  <mergeCells count="55">
    <mergeCell ref="H53:H54"/>
    <mergeCell ref="I53:I54"/>
    <mergeCell ref="A28:A29"/>
    <mergeCell ref="B28:B29"/>
    <mergeCell ref="C28:D28"/>
    <mergeCell ref="E28:F28"/>
    <mergeCell ref="G28:G29"/>
    <mergeCell ref="H28:H29"/>
    <mergeCell ref="I28:I29"/>
    <mergeCell ref="H37:H38"/>
    <mergeCell ref="I37:I38"/>
    <mergeCell ref="A37:A38"/>
    <mergeCell ref="B37:B38"/>
    <mergeCell ref="C37:C38"/>
    <mergeCell ref="D37:D38"/>
    <mergeCell ref="E37:E38"/>
    <mergeCell ref="A1:J3"/>
    <mergeCell ref="A21:A22"/>
    <mergeCell ref="B21:B22"/>
    <mergeCell ref="C21:D21"/>
    <mergeCell ref="E21:F21"/>
    <mergeCell ref="G21:G22"/>
    <mergeCell ref="H21:H22"/>
    <mergeCell ref="I21:I22"/>
    <mergeCell ref="A4:J17"/>
    <mergeCell ref="BG73:BK73"/>
    <mergeCell ref="BL73:BP73"/>
    <mergeCell ref="BQ73:BU73"/>
    <mergeCell ref="BV73:BZ73"/>
    <mergeCell ref="AW73:BA73"/>
    <mergeCell ref="BB73:BF73"/>
    <mergeCell ref="AC73:AG73"/>
    <mergeCell ref="AH73:AL73"/>
    <mergeCell ref="AM73:AQ73"/>
    <mergeCell ref="AR73:AV73"/>
    <mergeCell ref="A73:C73"/>
    <mergeCell ref="D73:H73"/>
    <mergeCell ref="N73:R73"/>
    <mergeCell ref="S73:W73"/>
    <mergeCell ref="X73:AB73"/>
    <mergeCell ref="A98:C98"/>
    <mergeCell ref="A103:C103"/>
    <mergeCell ref="A117:C117"/>
    <mergeCell ref="A118:C118"/>
    <mergeCell ref="G37:G38"/>
    <mergeCell ref="A87:C87"/>
    <mergeCell ref="A53:A54"/>
    <mergeCell ref="B53:B54"/>
    <mergeCell ref="C53:C54"/>
    <mergeCell ref="D53:D54"/>
    <mergeCell ref="E53:E54"/>
    <mergeCell ref="F53:F54"/>
    <mergeCell ref="G53:G54"/>
    <mergeCell ref="A76:C76"/>
    <mergeCell ref="F37:F38"/>
  </mergeCells>
  <phoneticPr fontId="24" type="noConversion"/>
  <conditionalFormatting sqref="H39:I48">
    <cfRule type="cellIs" dxfId="4" priority="3" operator="equal">
      <formula>"-"</formula>
    </cfRule>
  </conditionalFormatting>
  <conditionalFormatting sqref="H55:I64">
    <cfRule type="cellIs" dxfId="3" priority="1" operator="equal">
      <formula>"-"</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A51E5D9-F6E7-4600-8504-B21B67DFFB45}">
          <x14:formula1>
            <xm:f>'Reference (hide)'!$E$1:$E$2</xm:f>
          </x14:formula1>
          <xm:sqref>E39:E48 E55:E64</xm:sqref>
        </x14:dataValidation>
        <x14:dataValidation type="list" allowBlank="1" showInputMessage="1" showErrorMessage="1" xr:uid="{E62331B9-2906-40B1-8E1D-A15EEE91CB9C}">
          <x14:formula1>
            <xm:f>'Reference (hide)'!$D$1:$D$2</xm:f>
          </x14:formula1>
          <xm:sqref>I77:I85 I88:I96 I99:I101 I104:I116</xm:sqref>
        </x14:dataValidation>
        <x14:dataValidation type="list" allowBlank="1" showInputMessage="1" showErrorMessage="1" xr:uid="{242241E7-A210-44E3-8FB5-CDDB45863F45}">
          <x14:formula1>
            <xm:f>'Reference (hide)'!$A$1:$A$2</xm:f>
          </x14:formula1>
          <xm:sqref>F77:F85 F88:F96 F99:F101 F104:F116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84E3-9BAA-5647-96BB-2DF33799DCE8}">
  <dimension ref="B1:Y275"/>
  <sheetViews>
    <sheetView showGridLines="0" topLeftCell="J40" zoomScale="90" zoomScaleNormal="90" workbookViewId="0">
      <selection activeCell="R48" sqref="R48"/>
    </sheetView>
  </sheetViews>
  <sheetFormatPr defaultColWidth="10.85546875" defaultRowHeight="15.95"/>
  <cols>
    <col min="1" max="1" width="2.85546875" style="174" customWidth="1"/>
    <col min="2" max="2" width="35.28515625" style="174" customWidth="1"/>
    <col min="3" max="3" width="25.85546875" style="174" customWidth="1"/>
    <col min="4" max="4" width="10.85546875" style="174"/>
    <col min="5" max="5" width="36.7109375" style="177" customWidth="1"/>
    <col min="6" max="6" width="18.28515625" style="177" customWidth="1"/>
    <col min="7" max="8" width="12.28515625" style="177" customWidth="1"/>
    <col min="9" max="9" width="35.28515625" style="177" customWidth="1"/>
    <col min="10" max="10" width="12.7109375" style="174" customWidth="1"/>
    <col min="11" max="11" width="10.85546875" style="174"/>
    <col min="12" max="12" width="37.7109375" style="177" customWidth="1"/>
    <col min="13" max="17" width="11.28515625" style="174" customWidth="1"/>
    <col min="18" max="18" width="29.28515625" style="174" customWidth="1"/>
    <col min="19" max="19" width="20.28515625" style="174" customWidth="1"/>
    <col min="20" max="21" width="10.85546875" style="174"/>
    <col min="22" max="22" width="9.140625" style="174" customWidth="1"/>
    <col min="23" max="16384" width="10.85546875" style="174"/>
  </cols>
  <sheetData>
    <row r="1" spans="2:20">
      <c r="B1" s="175" t="s">
        <v>404</v>
      </c>
      <c r="C1" s="234"/>
      <c r="D1" s="234"/>
      <c r="E1" s="176" t="s">
        <v>405</v>
      </c>
      <c r="F1" s="242"/>
      <c r="G1" s="242"/>
      <c r="H1" s="242"/>
      <c r="I1" s="242"/>
      <c r="J1" s="234"/>
      <c r="K1" s="234"/>
      <c r="L1" s="242"/>
      <c r="M1" s="234"/>
      <c r="N1" s="234"/>
      <c r="O1" s="234"/>
      <c r="P1" s="234"/>
      <c r="Q1" s="234"/>
      <c r="R1" s="178" t="s">
        <v>406</v>
      </c>
      <c r="S1" s="234"/>
      <c r="T1" s="234"/>
    </row>
    <row r="2" spans="2:20" ht="16.7" thickBot="1">
      <c r="B2" s="231" t="s">
        <v>90</v>
      </c>
      <c r="C2" s="232" t="s">
        <v>407</v>
      </c>
      <c r="D2" s="234"/>
      <c r="E2" s="234"/>
      <c r="F2" s="234"/>
      <c r="G2" s="234"/>
      <c r="H2" s="234"/>
      <c r="I2" s="234"/>
      <c r="J2" s="234"/>
      <c r="K2" s="234"/>
      <c r="L2" s="242"/>
      <c r="M2" s="234"/>
      <c r="N2" s="234"/>
      <c r="O2" s="234"/>
      <c r="P2" s="234"/>
      <c r="Q2" s="234"/>
      <c r="R2" s="179" t="s">
        <v>408</v>
      </c>
      <c r="S2" s="179" t="s">
        <v>409</v>
      </c>
      <c r="T2" s="179" t="s">
        <v>259</v>
      </c>
    </row>
    <row r="3" spans="2:20" ht="16.7" thickBot="1">
      <c r="B3" s="171" t="s">
        <v>410</v>
      </c>
      <c r="C3" s="170">
        <v>9.4E-2</v>
      </c>
      <c r="D3" s="234"/>
      <c r="E3" s="186" t="s">
        <v>411</v>
      </c>
      <c r="F3" s="186" t="s">
        <v>30</v>
      </c>
      <c r="G3" s="186" t="s">
        <v>412</v>
      </c>
      <c r="H3" s="186"/>
      <c r="I3" s="186" t="s">
        <v>259</v>
      </c>
      <c r="J3" s="234"/>
      <c r="K3" s="234"/>
      <c r="L3" s="242"/>
      <c r="M3" s="234"/>
      <c r="N3" s="234"/>
      <c r="O3" s="234"/>
      <c r="P3" s="234"/>
      <c r="Q3" s="234"/>
      <c r="R3" s="242" t="s">
        <v>413</v>
      </c>
      <c r="S3" s="242">
        <v>1</v>
      </c>
      <c r="T3" s="242" t="s">
        <v>414</v>
      </c>
    </row>
    <row r="4" spans="2:20" ht="32.1">
      <c r="B4" s="171" t="s">
        <v>415</v>
      </c>
      <c r="C4" s="170">
        <v>2.4E-2</v>
      </c>
      <c r="D4" s="234"/>
      <c r="E4" s="182" t="s">
        <v>101</v>
      </c>
      <c r="F4" s="182" t="s">
        <v>102</v>
      </c>
      <c r="G4" s="182">
        <v>3.0960000000000001</v>
      </c>
      <c r="H4" s="182"/>
      <c r="I4" s="183" t="s">
        <v>416</v>
      </c>
      <c r="J4" s="234"/>
      <c r="K4" s="234"/>
      <c r="L4" s="242"/>
      <c r="M4" s="234"/>
      <c r="N4" s="234"/>
      <c r="O4" s="234"/>
      <c r="P4" s="234"/>
      <c r="Q4" s="234"/>
      <c r="R4" s="242" t="s">
        <v>417</v>
      </c>
      <c r="S4" s="242">
        <v>28</v>
      </c>
      <c r="T4" s="242" t="s">
        <v>414</v>
      </c>
    </row>
    <row r="5" spans="2:20" ht="32.1">
      <c r="B5" s="171" t="s">
        <v>418</v>
      </c>
      <c r="C5" s="170">
        <v>0.49399999999999999</v>
      </c>
      <c r="D5" s="234"/>
      <c r="E5" s="182" t="s">
        <v>103</v>
      </c>
      <c r="F5" s="182" t="s">
        <v>102</v>
      </c>
      <c r="G5" s="182">
        <v>15.048</v>
      </c>
      <c r="H5" s="182"/>
      <c r="I5" s="183" t="s">
        <v>416</v>
      </c>
      <c r="J5" s="234"/>
      <c r="K5" s="234"/>
      <c r="L5" s="242"/>
      <c r="M5" s="234"/>
      <c r="N5" s="234"/>
      <c r="O5" s="234"/>
      <c r="P5" s="234"/>
      <c r="Q5" s="234"/>
      <c r="R5" s="242" t="s">
        <v>419</v>
      </c>
      <c r="S5" s="242">
        <v>265</v>
      </c>
      <c r="T5" s="242" t="s">
        <v>414</v>
      </c>
    </row>
    <row r="6" spans="2:20" ht="32.1">
      <c r="B6" s="171" t="s">
        <v>420</v>
      </c>
      <c r="C6" s="170">
        <v>0.77700000000000002</v>
      </c>
      <c r="D6" s="234"/>
      <c r="E6" s="182" t="s">
        <v>104</v>
      </c>
      <c r="F6" s="182" t="s">
        <v>102</v>
      </c>
      <c r="G6" s="182">
        <v>5.7480000000000002</v>
      </c>
      <c r="H6" s="182"/>
      <c r="I6" s="183" t="s">
        <v>416</v>
      </c>
      <c r="J6" s="234"/>
      <c r="K6" s="234"/>
      <c r="L6" s="242"/>
      <c r="M6" s="234"/>
      <c r="N6" s="234"/>
      <c r="O6" s="234"/>
      <c r="P6" s="234"/>
      <c r="Q6" s="234"/>
      <c r="R6" s="242" t="s">
        <v>421</v>
      </c>
      <c r="S6" s="242">
        <v>6630</v>
      </c>
      <c r="T6" s="242" t="s">
        <v>414</v>
      </c>
    </row>
    <row r="7" spans="2:20" ht="32.85" thickBot="1">
      <c r="B7" s="171" t="s">
        <v>422</v>
      </c>
      <c r="C7" s="170">
        <v>0.14199999999999999</v>
      </c>
      <c r="D7" s="234"/>
      <c r="E7" s="184" t="s">
        <v>105</v>
      </c>
      <c r="F7" s="184" t="s">
        <v>102</v>
      </c>
      <c r="G7" s="184">
        <v>2.9849999999999999</v>
      </c>
      <c r="H7" s="184"/>
      <c r="I7" s="185" t="s">
        <v>416</v>
      </c>
      <c r="J7" s="234"/>
      <c r="K7" s="234"/>
      <c r="L7" s="242"/>
      <c r="M7" s="234"/>
      <c r="N7" s="234"/>
      <c r="O7" s="234"/>
      <c r="P7" s="234"/>
      <c r="Q7" s="234"/>
      <c r="R7" s="242" t="s">
        <v>423</v>
      </c>
      <c r="S7" s="242">
        <v>11100</v>
      </c>
      <c r="T7" s="242" t="s">
        <v>414</v>
      </c>
    </row>
    <row r="8" spans="2:20">
      <c r="B8" s="171" t="s">
        <v>424</v>
      </c>
      <c r="C8" s="170">
        <v>0.74299999999999999</v>
      </c>
      <c r="D8" s="234"/>
      <c r="E8" s="242"/>
      <c r="F8" s="242"/>
      <c r="G8" s="242"/>
      <c r="H8" s="242"/>
      <c r="I8" s="242"/>
      <c r="J8" s="234"/>
      <c r="K8" s="234"/>
      <c r="L8" s="242"/>
      <c r="M8" s="234"/>
      <c r="N8" s="234"/>
      <c r="O8" s="234"/>
      <c r="P8" s="234"/>
      <c r="Q8" s="234"/>
      <c r="R8" s="234"/>
      <c r="S8" s="234"/>
      <c r="T8" s="234"/>
    </row>
    <row r="9" spans="2:20">
      <c r="B9" s="171" t="s">
        <v>425</v>
      </c>
      <c r="C9" s="170">
        <v>0.307</v>
      </c>
      <c r="D9" s="234"/>
      <c r="E9" s="242"/>
      <c r="F9" s="242"/>
      <c r="G9" s="242"/>
      <c r="H9" s="242"/>
      <c r="I9" s="242"/>
      <c r="J9" s="234"/>
      <c r="K9" s="234"/>
      <c r="L9" s="242"/>
      <c r="M9" s="234"/>
      <c r="N9" s="234"/>
      <c r="O9" s="234"/>
      <c r="P9" s="234"/>
      <c r="Q9" s="234"/>
      <c r="R9" s="234"/>
      <c r="S9" s="234"/>
      <c r="T9" s="234"/>
    </row>
    <row r="10" spans="2:20">
      <c r="B10" s="171" t="s">
        <v>426</v>
      </c>
      <c r="C10" s="170">
        <v>0.20799999999999999</v>
      </c>
      <c r="D10" s="234"/>
      <c r="E10" s="242"/>
      <c r="F10" s="242"/>
      <c r="G10" s="242"/>
      <c r="H10" s="242"/>
      <c r="I10" s="242"/>
      <c r="J10" s="234"/>
      <c r="K10" s="234"/>
      <c r="L10" s="242"/>
      <c r="M10" s="234"/>
      <c r="N10" s="234"/>
      <c r="O10" s="234"/>
      <c r="P10" s="234"/>
      <c r="Q10" s="234"/>
      <c r="R10" s="234"/>
      <c r="S10" s="234"/>
      <c r="T10" s="234"/>
    </row>
    <row r="11" spans="2:20">
      <c r="B11" s="171" t="s">
        <v>427</v>
      </c>
      <c r="C11" s="170">
        <v>0.66300000000000003</v>
      </c>
      <c r="D11" s="234"/>
      <c r="E11" s="176" t="s">
        <v>428</v>
      </c>
      <c r="F11" s="242"/>
      <c r="G11" s="242"/>
      <c r="H11" s="242"/>
      <c r="I11" s="242"/>
      <c r="J11" s="234"/>
      <c r="K11" s="234"/>
      <c r="L11" s="242"/>
      <c r="M11" s="234"/>
      <c r="N11" s="234"/>
      <c r="O11" s="234"/>
      <c r="P11" s="234"/>
      <c r="Q11" s="234"/>
      <c r="R11" s="234"/>
      <c r="S11" s="234"/>
      <c r="T11" s="234"/>
    </row>
    <row r="12" spans="2:20">
      <c r="B12" s="171" t="s">
        <v>429</v>
      </c>
      <c r="C12" s="170">
        <v>0.87</v>
      </c>
      <c r="D12" s="234"/>
      <c r="E12" s="242"/>
      <c r="F12" s="242"/>
      <c r="G12" s="242"/>
      <c r="H12" s="242"/>
      <c r="I12" s="242"/>
      <c r="J12" s="234"/>
      <c r="K12" s="234"/>
      <c r="L12" s="242"/>
      <c r="M12" s="180"/>
      <c r="N12" s="180"/>
      <c r="O12" s="180"/>
      <c r="P12" s="180"/>
      <c r="Q12" s="180"/>
      <c r="R12" s="234"/>
      <c r="S12" s="234"/>
      <c r="T12" s="234"/>
    </row>
    <row r="13" spans="2:20" ht="30.95">
      <c r="B13" s="234" t="s">
        <v>430</v>
      </c>
      <c r="C13" s="57">
        <v>0.9</v>
      </c>
      <c r="D13" s="234"/>
      <c r="E13" s="326" t="s">
        <v>431</v>
      </c>
      <c r="F13" s="327" t="s">
        <v>30</v>
      </c>
      <c r="G13" s="327" t="s">
        <v>432</v>
      </c>
      <c r="H13" s="327" t="s">
        <v>433</v>
      </c>
      <c r="I13" s="327" t="s">
        <v>259</v>
      </c>
      <c r="J13" s="327" t="s">
        <v>434</v>
      </c>
      <c r="K13" s="327" t="s">
        <v>433</v>
      </c>
      <c r="L13" s="327" t="s">
        <v>259</v>
      </c>
      <c r="M13" s="181"/>
      <c r="N13" s="181" t="s">
        <v>435</v>
      </c>
      <c r="O13" s="181"/>
      <c r="P13" s="181" t="s">
        <v>436</v>
      </c>
      <c r="Q13" s="181"/>
      <c r="R13" s="234"/>
      <c r="S13" s="234"/>
      <c r="T13" s="234"/>
    </row>
    <row r="14" spans="2:20">
      <c r="B14" s="234" t="s">
        <v>437</v>
      </c>
      <c r="C14" s="57">
        <v>0.69</v>
      </c>
      <c r="D14" s="234"/>
      <c r="E14" s="328" t="s">
        <v>46</v>
      </c>
      <c r="F14" s="328" t="s">
        <v>44</v>
      </c>
      <c r="G14" s="329">
        <v>2.6426992500000002</v>
      </c>
      <c r="H14" s="329" t="s">
        <v>438</v>
      </c>
      <c r="I14" s="330" t="s">
        <v>439</v>
      </c>
      <c r="J14" s="329">
        <f>14.7/(1000/P14)</f>
        <v>0.39248999999999995</v>
      </c>
      <c r="K14" s="331" t="s">
        <v>440</v>
      </c>
      <c r="L14" s="332" t="s">
        <v>441</v>
      </c>
      <c r="M14" s="233">
        <f t="shared" ref="M14:M21" si="0">J14/(J14+G14)</f>
        <v>0.12931318862571747</v>
      </c>
      <c r="N14" s="233"/>
      <c r="O14" s="233"/>
      <c r="P14" s="277">
        <v>26.7</v>
      </c>
      <c r="Q14" s="233"/>
      <c r="R14" s="234"/>
      <c r="S14" s="234"/>
      <c r="T14" s="234"/>
    </row>
    <row r="15" spans="2:20">
      <c r="B15" s="234" t="s">
        <v>442</v>
      </c>
      <c r="C15" s="57">
        <v>0.93</v>
      </c>
      <c r="D15" s="234"/>
      <c r="E15" s="328" t="s">
        <v>42</v>
      </c>
      <c r="F15" s="328" t="s">
        <v>44</v>
      </c>
      <c r="G15" s="329">
        <v>2.6868254999999999</v>
      </c>
      <c r="H15" s="329"/>
      <c r="I15" s="330" t="s">
        <v>443</v>
      </c>
      <c r="J15" s="329">
        <f t="shared" ref="J15:J17" si="1">14.7/(1000/P15)</f>
        <v>0.41453999999999996</v>
      </c>
      <c r="K15" s="329"/>
      <c r="L15" s="332" t="s">
        <v>441</v>
      </c>
      <c r="M15" s="233">
        <f t="shared" si="0"/>
        <v>0.13366370393944216</v>
      </c>
      <c r="N15" s="233"/>
      <c r="O15" s="233"/>
      <c r="P15" s="277">
        <v>28.2</v>
      </c>
      <c r="Q15" s="233"/>
      <c r="R15" s="234"/>
      <c r="S15" s="234"/>
      <c r="T15" s="234"/>
    </row>
    <row r="16" spans="2:20">
      <c r="B16" s="234" t="s">
        <v>444</v>
      </c>
      <c r="C16" s="57">
        <v>0.52</v>
      </c>
      <c r="D16" s="234"/>
      <c r="E16" s="328" t="s">
        <v>47</v>
      </c>
      <c r="F16" s="328" t="s">
        <v>44</v>
      </c>
      <c r="G16" s="329">
        <v>2.4581595000000003</v>
      </c>
      <c r="H16" s="329"/>
      <c r="I16" s="330" t="s">
        <v>439</v>
      </c>
      <c r="J16" s="329">
        <f t="shared" si="1"/>
        <v>0.37925999999999999</v>
      </c>
      <c r="K16" s="329"/>
      <c r="L16" s="332" t="s">
        <v>441</v>
      </c>
      <c r="M16" s="233">
        <f t="shared" si="0"/>
        <v>0.13366370393944216</v>
      </c>
      <c r="N16" s="233"/>
      <c r="O16" s="233"/>
      <c r="P16" s="277">
        <v>25.8</v>
      </c>
      <c r="Q16" s="233"/>
      <c r="R16" s="234"/>
      <c r="S16" s="234"/>
      <c r="T16" s="234"/>
    </row>
    <row r="17" spans="2:25">
      <c r="B17" s="234" t="s">
        <v>445</v>
      </c>
      <c r="C17" s="57">
        <v>0.19</v>
      </c>
      <c r="D17" s="234"/>
      <c r="E17" s="328" t="s">
        <v>48</v>
      </c>
      <c r="F17" s="328" t="s">
        <v>44</v>
      </c>
      <c r="G17" s="329">
        <v>1.8290947499999997</v>
      </c>
      <c r="H17" s="329"/>
      <c r="I17" s="330" t="s">
        <v>439</v>
      </c>
      <c r="J17" s="329">
        <f t="shared" si="1"/>
        <v>0.27782999999999997</v>
      </c>
      <c r="K17" s="329"/>
      <c r="L17" s="332" t="s">
        <v>441</v>
      </c>
      <c r="M17" s="233">
        <f t="shared" si="0"/>
        <v>0.13186517458680003</v>
      </c>
      <c r="N17" s="233"/>
      <c r="O17" s="233"/>
      <c r="P17" s="277">
        <v>18.899999999999999</v>
      </c>
      <c r="Q17" s="233"/>
      <c r="R17" s="234"/>
      <c r="S17" s="234"/>
      <c r="T17" s="234"/>
      <c r="U17" s="234"/>
      <c r="V17" s="234"/>
      <c r="W17" s="234"/>
      <c r="X17" s="234"/>
      <c r="Y17" s="234"/>
    </row>
    <row r="18" spans="2:25">
      <c r="B18" s="234" t="s">
        <v>446</v>
      </c>
      <c r="C18" s="57">
        <v>1.0900000000000001</v>
      </c>
      <c r="D18" s="234"/>
      <c r="E18" s="328" t="s">
        <v>49</v>
      </c>
      <c r="F18" s="328" t="s">
        <v>44</v>
      </c>
      <c r="G18" s="329">
        <v>1.2099622500000002</v>
      </c>
      <c r="H18" s="329"/>
      <c r="I18" s="330" t="s">
        <v>439</v>
      </c>
      <c r="J18" s="329">
        <f>14.7/(1000/P18)</f>
        <v>0.17493</v>
      </c>
      <c r="K18" s="329"/>
      <c r="L18" s="332" t="s">
        <v>441</v>
      </c>
      <c r="M18" s="233">
        <f t="shared" si="0"/>
        <v>0.12631307598118191</v>
      </c>
      <c r="N18" s="233"/>
      <c r="O18" s="233"/>
      <c r="P18" s="277">
        <v>11.9</v>
      </c>
      <c r="Q18" s="233"/>
      <c r="R18" s="234"/>
      <c r="S18" s="234"/>
      <c r="T18" s="234"/>
      <c r="U18" s="234"/>
      <c r="V18" s="234"/>
      <c r="W18" s="234"/>
      <c r="X18" s="234"/>
      <c r="Y18" s="234"/>
    </row>
    <row r="19" spans="2:25">
      <c r="B19" s="234" t="s">
        <v>447</v>
      </c>
      <c r="C19" s="57">
        <v>0.7</v>
      </c>
      <c r="D19" s="234"/>
      <c r="E19" s="328" t="s">
        <v>50</v>
      </c>
      <c r="F19" s="328" t="s">
        <v>448</v>
      </c>
      <c r="G19" s="333">
        <f>3.137*N19/1000</f>
        <v>2.9487799999999998E-3</v>
      </c>
      <c r="H19" s="329"/>
      <c r="I19" s="330" t="s">
        <v>439</v>
      </c>
      <c r="J19" s="333">
        <f>(11.2/(1000/P19))/(1000/N19)</f>
        <v>4.2533119999999989E-4</v>
      </c>
      <c r="K19" s="329" t="s">
        <v>449</v>
      </c>
      <c r="L19" s="332" t="s">
        <v>441</v>
      </c>
      <c r="M19" s="233">
        <f>J19/(J19+G19)</f>
        <v>0.12605725620424127</v>
      </c>
      <c r="N19" s="277">
        <v>0.94</v>
      </c>
      <c r="O19" s="233" t="s">
        <v>450</v>
      </c>
      <c r="P19" s="277">
        <v>40.4</v>
      </c>
      <c r="Q19" s="505"/>
      <c r="R19" s="234"/>
      <c r="S19" s="234"/>
      <c r="T19" s="234"/>
      <c r="U19" s="234"/>
      <c r="V19" s="234"/>
      <c r="W19" s="234"/>
      <c r="X19" s="234"/>
      <c r="Y19" s="234"/>
    </row>
    <row r="20" spans="2:25">
      <c r="B20" s="171" t="s">
        <v>451</v>
      </c>
      <c r="C20" s="170">
        <v>8.2000000000000003E-2</v>
      </c>
      <c r="D20" s="234"/>
      <c r="E20" s="328" t="s">
        <v>52</v>
      </c>
      <c r="F20" s="328" t="s">
        <v>448</v>
      </c>
      <c r="G20" s="333">
        <f>3.197*N20/1000</f>
        <v>2.6854800000000001E-3</v>
      </c>
      <c r="H20" s="329"/>
      <c r="I20" s="330" t="s">
        <v>439</v>
      </c>
      <c r="J20" s="333">
        <f>(16.36/(1000/P20))/(1000/N20)</f>
        <v>5.9092319999999989E-4</v>
      </c>
      <c r="K20" s="329" t="s">
        <v>449</v>
      </c>
      <c r="L20" s="332" t="s">
        <v>441</v>
      </c>
      <c r="M20" s="233">
        <f t="shared" si="0"/>
        <v>0.18035728935925832</v>
      </c>
      <c r="N20" s="277">
        <v>0.84</v>
      </c>
      <c r="O20" s="233" t="s">
        <v>450</v>
      </c>
      <c r="P20" s="277">
        <v>43</v>
      </c>
      <c r="Q20" s="505"/>
      <c r="R20" s="234"/>
      <c r="S20" s="234"/>
      <c r="T20" s="234"/>
      <c r="U20" s="234"/>
      <c r="V20" s="234"/>
      <c r="W20" s="234"/>
      <c r="X20" s="234"/>
      <c r="Y20" s="234"/>
    </row>
    <row r="21" spans="2:25">
      <c r="B21" s="171" t="s">
        <v>452</v>
      </c>
      <c r="C21" s="170">
        <v>0.58799999999999997</v>
      </c>
      <c r="D21" s="234"/>
      <c r="E21" s="328" t="s">
        <v>53</v>
      </c>
      <c r="F21" s="328" t="s">
        <v>448</v>
      </c>
      <c r="G21" s="333">
        <f>2.99250545*N21/1000</f>
        <v>1.6159529430000001E-3</v>
      </c>
      <c r="H21" s="329"/>
      <c r="I21" s="330" t="s">
        <v>439</v>
      </c>
      <c r="J21" s="333">
        <f>(7.03/(1000/P21))/(1000/N21)</f>
        <v>1.7956026000000001E-4</v>
      </c>
      <c r="K21" s="329" t="s">
        <v>449</v>
      </c>
      <c r="L21" s="332" t="s">
        <v>441</v>
      </c>
      <c r="M21" s="233">
        <f t="shared" si="0"/>
        <v>0.10000497891075658</v>
      </c>
      <c r="N21" s="277">
        <v>0.54</v>
      </c>
      <c r="O21" s="233" t="s">
        <v>450</v>
      </c>
      <c r="P21" s="277">
        <v>47.3</v>
      </c>
      <c r="Q21" s="233"/>
      <c r="R21" s="234"/>
      <c r="S21" s="234"/>
      <c r="T21" s="234"/>
      <c r="U21" s="234"/>
      <c r="V21" s="234"/>
      <c r="W21" s="234"/>
      <c r="X21" s="234"/>
      <c r="Y21" s="234"/>
    </row>
    <row r="22" spans="2:25">
      <c r="B22" s="171" t="s">
        <v>453</v>
      </c>
      <c r="C22" s="170">
        <v>0.499</v>
      </c>
      <c r="D22" s="234"/>
      <c r="E22" s="328" t="s">
        <v>54</v>
      </c>
      <c r="F22" s="328" t="s">
        <v>277</v>
      </c>
      <c r="G22" s="333">
        <f>(G23/(1470.3/55.58))</f>
        <v>2.2102717812691286E-3</v>
      </c>
      <c r="H22" s="329"/>
      <c r="I22" s="330" t="s">
        <v>439</v>
      </c>
      <c r="J22" s="333">
        <f>(8.7/(1470.3*1000/55.58))</f>
        <v>3.2887573964497034E-4</v>
      </c>
      <c r="K22" s="329" t="s">
        <v>454</v>
      </c>
      <c r="L22" s="332" t="s">
        <v>441</v>
      </c>
      <c r="M22" s="233">
        <f>J22/(J22+G22)</f>
        <v>0.12952210808396603</v>
      </c>
      <c r="N22" s="234"/>
      <c r="O22" s="234"/>
      <c r="P22" s="277"/>
      <c r="Q22" s="233"/>
      <c r="R22" s="234"/>
      <c r="S22" s="234">
        <v>229</v>
      </c>
      <c r="T22" s="234">
        <f>S22/1333</f>
        <v>0.17179294823705926</v>
      </c>
      <c r="U22" s="234">
        <f>T22*G22</f>
        <v>3.7970910570940016E-4</v>
      </c>
      <c r="V22" s="234">
        <f>T22*J22</f>
        <v>5.649853291725297E-5</v>
      </c>
      <c r="W22" s="234"/>
      <c r="X22" s="234"/>
      <c r="Y22" s="234"/>
    </row>
    <row r="23" spans="2:25">
      <c r="B23" s="171" t="s">
        <v>455</v>
      </c>
      <c r="C23" s="170">
        <v>0.58599999999999997</v>
      </c>
      <c r="D23" s="234"/>
      <c r="E23" s="328" t="s">
        <v>54</v>
      </c>
      <c r="F23" s="334" t="s">
        <v>279</v>
      </c>
      <c r="G23" s="483">
        <f>58.47/1000</f>
        <v>5.8470000000000001E-2</v>
      </c>
      <c r="H23" s="334"/>
      <c r="I23" s="330" t="s">
        <v>439</v>
      </c>
      <c r="J23" s="334">
        <f>8.7/1000</f>
        <v>8.6999999999999994E-3</v>
      </c>
      <c r="K23" s="329" t="s">
        <v>456</v>
      </c>
      <c r="L23" s="332" t="s">
        <v>441</v>
      </c>
      <c r="M23" s="233">
        <f>J23/(J23+G23)</f>
        <v>0.12952210808396603</v>
      </c>
      <c r="N23" s="85"/>
      <c r="O23" s="85"/>
      <c r="P23" s="85"/>
      <c r="Q23" s="85"/>
      <c r="R23" s="234"/>
      <c r="S23" s="234"/>
      <c r="T23" s="234"/>
      <c r="U23" s="234"/>
      <c r="V23" s="234"/>
      <c r="W23" s="234"/>
      <c r="X23" s="234"/>
      <c r="Y23" s="234"/>
    </row>
    <row r="24" spans="2:25">
      <c r="B24" s="171" t="s">
        <v>457</v>
      </c>
      <c r="C24" s="170">
        <v>0.747</v>
      </c>
      <c r="D24" s="234"/>
      <c r="E24" s="328" t="s">
        <v>55</v>
      </c>
      <c r="F24" s="328" t="s">
        <v>44</v>
      </c>
      <c r="G24" s="328">
        <v>0</v>
      </c>
      <c r="H24" s="328"/>
      <c r="I24" s="328" t="s">
        <v>458</v>
      </c>
      <c r="J24" s="329">
        <v>8.3999999999999995E-3</v>
      </c>
      <c r="K24" s="329"/>
      <c r="L24" s="332" t="s">
        <v>441</v>
      </c>
      <c r="M24" s="85"/>
      <c r="N24" s="234"/>
      <c r="O24" s="85"/>
      <c r="P24" s="85"/>
      <c r="Q24" s="85"/>
      <c r="R24" s="234"/>
      <c r="S24" s="234"/>
      <c r="T24" s="234"/>
      <c r="U24" s="234"/>
      <c r="V24" s="234"/>
      <c r="W24" s="234"/>
      <c r="X24" s="234"/>
      <c r="Y24" s="234"/>
    </row>
    <row r="25" spans="2:25" ht="30.6">
      <c r="B25" s="171" t="s">
        <v>459</v>
      </c>
      <c r="C25" s="170">
        <v>0.48699999999999999</v>
      </c>
      <c r="D25" s="234"/>
      <c r="E25" s="328" t="s">
        <v>57</v>
      </c>
      <c r="F25" s="328" t="s">
        <v>44</v>
      </c>
      <c r="G25" s="328">
        <v>0</v>
      </c>
      <c r="H25" s="328"/>
      <c r="I25" s="328" t="s">
        <v>458</v>
      </c>
      <c r="J25" s="329">
        <v>0.66</v>
      </c>
      <c r="K25" s="329"/>
      <c r="L25" s="346" t="s">
        <v>460</v>
      </c>
      <c r="M25" s="85"/>
      <c r="N25" s="85"/>
      <c r="O25" s="85"/>
      <c r="P25" s="85"/>
      <c r="Q25" s="85"/>
      <c r="R25" s="178" t="s">
        <v>461</v>
      </c>
      <c r="S25" s="234"/>
      <c r="T25" s="234"/>
      <c r="U25" s="234"/>
      <c r="V25" s="234"/>
      <c r="W25" s="234"/>
      <c r="X25" s="234"/>
      <c r="Y25" s="234"/>
    </row>
    <row r="26" spans="2:25">
      <c r="B26" s="171" t="s">
        <v>462</v>
      </c>
      <c r="C26" s="170">
        <v>0.161</v>
      </c>
      <c r="D26" s="234"/>
      <c r="E26" s="328" t="s">
        <v>58</v>
      </c>
      <c r="F26" s="328" t="s">
        <v>44</v>
      </c>
      <c r="G26" s="328">
        <v>0</v>
      </c>
      <c r="H26" s="328"/>
      <c r="I26" s="328" t="s">
        <v>458</v>
      </c>
      <c r="J26" s="345">
        <f>1.2648</f>
        <v>1.2647999999999999</v>
      </c>
      <c r="K26" s="345"/>
      <c r="L26" s="346" t="s">
        <v>441</v>
      </c>
      <c r="M26" s="85"/>
      <c r="N26" s="85"/>
      <c r="O26" s="85"/>
      <c r="P26" s="85"/>
      <c r="Q26" s="85"/>
      <c r="R26" s="234"/>
      <c r="S26" s="234" t="s">
        <v>377</v>
      </c>
      <c r="T26" s="234" t="s">
        <v>30</v>
      </c>
      <c r="U26" s="234"/>
      <c r="V26" s="234"/>
      <c r="W26" s="234"/>
      <c r="X26" s="234"/>
      <c r="Y26" s="234" t="s">
        <v>259</v>
      </c>
    </row>
    <row r="27" spans="2:25" ht="30.6">
      <c r="B27" s="171" t="s">
        <v>463</v>
      </c>
      <c r="C27" s="170">
        <v>0.115</v>
      </c>
      <c r="D27" s="234"/>
      <c r="E27" s="328" t="s">
        <v>111</v>
      </c>
      <c r="F27" s="328" t="s">
        <v>44</v>
      </c>
      <c r="G27" s="328">
        <v>0</v>
      </c>
      <c r="H27" s="328"/>
      <c r="I27" s="328" t="s">
        <v>458</v>
      </c>
      <c r="J27" s="329">
        <v>15.5</v>
      </c>
      <c r="K27" s="329"/>
      <c r="L27" s="346" t="s">
        <v>464</v>
      </c>
      <c r="M27" s="85"/>
      <c r="N27" s="85"/>
      <c r="O27" s="85"/>
      <c r="P27" s="85"/>
      <c r="Q27" s="85"/>
      <c r="R27" s="234" t="s">
        <v>54</v>
      </c>
      <c r="S27" s="234">
        <v>1</v>
      </c>
      <c r="T27" s="234" t="s">
        <v>465</v>
      </c>
      <c r="U27" s="234">
        <v>55.58</v>
      </c>
      <c r="V27" s="234" t="s">
        <v>279</v>
      </c>
      <c r="W27" s="234">
        <v>1470.3</v>
      </c>
      <c r="X27" s="234" t="s">
        <v>466</v>
      </c>
      <c r="Y27" s="466" t="s">
        <v>467</v>
      </c>
    </row>
    <row r="28" spans="2:25" ht="30.6">
      <c r="B28" s="171" t="s">
        <v>468</v>
      </c>
      <c r="C28" s="170">
        <v>0.57199999999999995</v>
      </c>
      <c r="D28" s="234"/>
      <c r="E28" s="328" t="s">
        <v>59</v>
      </c>
      <c r="F28" s="328" t="s">
        <v>44</v>
      </c>
      <c r="G28" s="328">
        <v>0</v>
      </c>
      <c r="H28" s="328"/>
      <c r="I28" s="328" t="s">
        <v>458</v>
      </c>
      <c r="J28" s="329">
        <v>15.6</v>
      </c>
      <c r="K28" s="329"/>
      <c r="L28" s="346" t="s">
        <v>469</v>
      </c>
      <c r="M28" s="85"/>
      <c r="N28" s="85"/>
      <c r="O28" s="85"/>
      <c r="P28" s="85"/>
      <c r="Q28" s="85"/>
      <c r="R28" s="234" t="s">
        <v>470</v>
      </c>
      <c r="S28" s="234">
        <v>0.84</v>
      </c>
      <c r="T28" s="234" t="s">
        <v>450</v>
      </c>
      <c r="U28" s="234"/>
      <c r="V28" s="234"/>
      <c r="W28" s="234"/>
      <c r="X28" s="234"/>
      <c r="Y28" s="234" t="s">
        <v>471</v>
      </c>
    </row>
    <row r="29" spans="2:25" ht="30.6">
      <c r="B29" s="171" t="s">
        <v>472</v>
      </c>
      <c r="C29" s="170">
        <v>0.77700000000000002</v>
      </c>
      <c r="D29" s="234"/>
      <c r="E29" s="328" t="s">
        <v>109</v>
      </c>
      <c r="F29" s="328" t="s">
        <v>44</v>
      </c>
      <c r="G29" s="328">
        <v>0</v>
      </c>
      <c r="H29" s="328"/>
      <c r="I29" s="328" t="s">
        <v>458</v>
      </c>
      <c r="J29" s="475">
        <v>0</v>
      </c>
      <c r="K29" s="475"/>
      <c r="L29" s="346" t="s">
        <v>473</v>
      </c>
      <c r="M29" s="85"/>
      <c r="N29" s="85"/>
      <c r="O29" s="85"/>
      <c r="P29" s="85"/>
      <c r="Q29" s="85"/>
      <c r="R29" s="234" t="s">
        <v>474</v>
      </c>
      <c r="S29" s="234">
        <v>0.94</v>
      </c>
      <c r="T29" s="234" t="s">
        <v>450</v>
      </c>
      <c r="U29" s="234"/>
      <c r="V29" s="234"/>
      <c r="W29" s="234"/>
      <c r="X29" s="234"/>
      <c r="Y29" s="234" t="s">
        <v>475</v>
      </c>
    </row>
    <row r="30" spans="2:25">
      <c r="B30" s="171" t="s">
        <v>476</v>
      </c>
      <c r="C30" s="170">
        <v>2.4E-2</v>
      </c>
      <c r="D30" s="234"/>
      <c r="E30" s="328" t="s">
        <v>112</v>
      </c>
      <c r="F30" s="334" t="s">
        <v>44</v>
      </c>
      <c r="G30" s="334">
        <v>0</v>
      </c>
      <c r="H30" s="334"/>
      <c r="I30" s="328" t="s">
        <v>458</v>
      </c>
      <c r="J30" s="331" t="s">
        <v>477</v>
      </c>
      <c r="K30" s="331"/>
      <c r="L30" s="334"/>
      <c r="M30" s="85"/>
      <c r="N30" s="85"/>
      <c r="O30" s="85"/>
      <c r="P30" s="85"/>
      <c r="Q30" s="85"/>
      <c r="R30" s="234" t="s">
        <v>478</v>
      </c>
      <c r="S30" s="234">
        <v>0.54</v>
      </c>
      <c r="T30" s="234" t="s">
        <v>450</v>
      </c>
      <c r="U30" s="234"/>
      <c r="V30" s="234"/>
      <c r="W30" s="234"/>
      <c r="X30" s="234"/>
      <c r="Y30" s="234" t="s">
        <v>479</v>
      </c>
    </row>
    <row r="31" spans="2:25">
      <c r="B31" s="171" t="s">
        <v>480</v>
      </c>
      <c r="C31" s="170">
        <v>0.32800000000000001</v>
      </c>
      <c r="D31" s="234"/>
      <c r="E31" s="328" t="s">
        <v>60</v>
      </c>
      <c r="F31" s="328" t="s">
        <v>44</v>
      </c>
      <c r="G31" s="328" t="s">
        <v>481</v>
      </c>
      <c r="H31" s="328"/>
      <c r="I31" s="328" t="s">
        <v>481</v>
      </c>
      <c r="J31" s="328">
        <v>0.39700000000000002</v>
      </c>
      <c r="K31" s="328"/>
      <c r="L31" s="346" t="s">
        <v>482</v>
      </c>
      <c r="M31" s="85"/>
      <c r="N31" s="85"/>
      <c r="O31" s="85"/>
      <c r="P31" s="85"/>
      <c r="Q31" s="85"/>
      <c r="R31" s="234"/>
      <c r="S31" s="234"/>
      <c r="T31" s="234"/>
      <c r="U31" s="234"/>
      <c r="V31" s="234"/>
      <c r="W31" s="234"/>
      <c r="X31" s="234"/>
      <c r="Y31" s="234"/>
    </row>
    <row r="32" spans="2:25">
      <c r="B32" s="171" t="s">
        <v>483</v>
      </c>
      <c r="C32" s="170">
        <v>0.72099999999999997</v>
      </c>
      <c r="D32" s="234"/>
      <c r="E32" s="328" t="s">
        <v>63</v>
      </c>
      <c r="F32" s="328" t="s">
        <v>44</v>
      </c>
      <c r="G32" s="328" t="s">
        <v>481</v>
      </c>
      <c r="H32" s="328"/>
      <c r="I32" s="328" t="s">
        <v>481</v>
      </c>
      <c r="J32" s="328">
        <v>2.62</v>
      </c>
      <c r="K32" s="328" t="s">
        <v>440</v>
      </c>
      <c r="L32" s="328" t="s">
        <v>441</v>
      </c>
      <c r="M32" s="85"/>
      <c r="N32" s="85"/>
      <c r="O32" s="85"/>
      <c r="P32" s="85"/>
      <c r="Q32" s="85"/>
      <c r="R32" s="234"/>
      <c r="S32" s="234"/>
      <c r="T32" s="234"/>
      <c r="U32" s="234"/>
      <c r="V32" s="234"/>
      <c r="W32" s="234"/>
      <c r="X32" s="234"/>
      <c r="Y32" s="234"/>
    </row>
    <row r="33" spans="2:19" ht="76.349999999999994">
      <c r="B33" s="171" t="s">
        <v>484</v>
      </c>
      <c r="C33" s="170">
        <v>1.052</v>
      </c>
      <c r="D33" s="234"/>
      <c r="E33" s="328" t="s">
        <v>64</v>
      </c>
      <c r="F33" s="328" t="s">
        <v>44</v>
      </c>
      <c r="G33" s="328" t="s">
        <v>481</v>
      </c>
      <c r="H33" s="328"/>
      <c r="I33" s="328" t="s">
        <v>481</v>
      </c>
      <c r="J33" s="345">
        <v>0.82080900000000012</v>
      </c>
      <c r="K33" s="345"/>
      <c r="L33" s="346" t="s">
        <v>485</v>
      </c>
      <c r="M33" s="86"/>
      <c r="N33" s="86"/>
      <c r="O33" s="86"/>
      <c r="P33" s="86"/>
      <c r="Q33" s="86"/>
      <c r="R33" s="234"/>
      <c r="S33" s="234"/>
    </row>
    <row r="34" spans="2:19">
      <c r="B34" s="171" t="s">
        <v>486</v>
      </c>
      <c r="C34" s="170">
        <v>6.2E-2</v>
      </c>
      <c r="D34" s="234"/>
      <c r="E34" s="328" t="s">
        <v>65</v>
      </c>
      <c r="F34" s="328" t="s">
        <v>44</v>
      </c>
      <c r="G34" s="328" t="s">
        <v>481</v>
      </c>
      <c r="H34" s="328"/>
      <c r="I34" s="328" t="s">
        <v>481</v>
      </c>
      <c r="J34" s="345">
        <v>1.7499</v>
      </c>
      <c r="K34" s="345"/>
      <c r="L34" s="346" t="s">
        <v>441</v>
      </c>
      <c r="M34" s="86"/>
      <c r="N34" s="86"/>
      <c r="O34" s="86"/>
      <c r="P34" s="86"/>
      <c r="Q34" s="86"/>
      <c r="R34" s="234"/>
      <c r="S34" s="234"/>
    </row>
    <row r="35" spans="2:19">
      <c r="B35" s="171" t="s">
        <v>487</v>
      </c>
      <c r="C35" s="170">
        <v>0.75900000000000001</v>
      </c>
      <c r="D35" s="234"/>
      <c r="E35" s="242" t="s">
        <v>341</v>
      </c>
      <c r="F35" s="328" t="s">
        <v>44</v>
      </c>
      <c r="G35" s="328" t="s">
        <v>481</v>
      </c>
      <c r="H35" s="328"/>
      <c r="I35" s="328" t="s">
        <v>481</v>
      </c>
      <c r="J35" s="234">
        <v>1.89</v>
      </c>
      <c r="K35" s="331" t="s">
        <v>440</v>
      </c>
      <c r="L35" s="346" t="s">
        <v>441</v>
      </c>
      <c r="M35" s="86"/>
      <c r="N35" s="86"/>
      <c r="O35" s="86"/>
      <c r="P35" s="86"/>
      <c r="Q35" s="86"/>
      <c r="R35" s="234"/>
      <c r="S35" s="234"/>
    </row>
    <row r="36" spans="2:19" ht="91.5">
      <c r="B36" s="171" t="s">
        <v>488</v>
      </c>
      <c r="C36" s="170">
        <v>0.499</v>
      </c>
      <c r="D36" s="234"/>
      <c r="E36" s="328" t="s">
        <v>66</v>
      </c>
      <c r="F36" s="328" t="s">
        <v>44</v>
      </c>
      <c r="G36" s="328" t="s">
        <v>481</v>
      </c>
      <c r="H36" s="328"/>
      <c r="I36" s="328" t="s">
        <v>481</v>
      </c>
      <c r="J36" s="345">
        <v>0.66500000000000004</v>
      </c>
      <c r="K36" s="345"/>
      <c r="L36" s="346" t="s">
        <v>489</v>
      </c>
      <c r="M36" s="86"/>
      <c r="N36" s="86"/>
      <c r="O36" s="86"/>
      <c r="P36" s="86"/>
      <c r="Q36" s="86"/>
      <c r="R36" s="234"/>
      <c r="S36" s="234"/>
    </row>
    <row r="37" spans="2:19">
      <c r="B37" s="171" t="s">
        <v>490</v>
      </c>
      <c r="C37" s="170">
        <v>0.41</v>
      </c>
      <c r="D37" s="234"/>
      <c r="E37" s="328" t="s">
        <v>67</v>
      </c>
      <c r="F37" s="328" t="s">
        <v>44</v>
      </c>
      <c r="G37" s="328">
        <v>0</v>
      </c>
      <c r="H37" s="328"/>
      <c r="I37" s="328" t="s">
        <v>458</v>
      </c>
      <c r="J37" s="328">
        <v>1.1200000000000001</v>
      </c>
      <c r="K37" s="328"/>
      <c r="L37" s="328" t="s">
        <v>441</v>
      </c>
      <c r="M37" s="86"/>
      <c r="N37" s="86"/>
      <c r="O37" s="86"/>
      <c r="P37" s="86"/>
      <c r="Q37" s="86"/>
      <c r="R37" s="234"/>
      <c r="S37" s="234"/>
    </row>
    <row r="38" spans="2:19">
      <c r="B38" s="171" t="s">
        <v>491</v>
      </c>
      <c r="C38" s="170">
        <v>0.65900000000000003</v>
      </c>
      <c r="D38" s="234"/>
      <c r="E38" s="328" t="s">
        <v>69</v>
      </c>
      <c r="F38" s="328" t="s">
        <v>44</v>
      </c>
      <c r="G38" s="329">
        <v>0.39290472000000004</v>
      </c>
      <c r="H38" s="328"/>
      <c r="I38" s="332" t="s">
        <v>492</v>
      </c>
      <c r="J38" s="329">
        <v>0.41492000000000001</v>
      </c>
      <c r="K38" s="328"/>
      <c r="L38" s="328" t="s">
        <v>441</v>
      </c>
      <c r="M38" s="86"/>
      <c r="N38" s="86"/>
      <c r="O38" s="86"/>
      <c r="P38" s="86"/>
      <c r="Q38" s="86"/>
      <c r="R38" s="234"/>
      <c r="S38" s="234"/>
    </row>
    <row r="39" spans="2:19">
      <c r="B39" s="171" t="s">
        <v>493</v>
      </c>
      <c r="C39" s="170">
        <v>0.308</v>
      </c>
      <c r="D39" s="234"/>
      <c r="E39" s="328" t="s">
        <v>70</v>
      </c>
      <c r="F39" s="328" t="s">
        <v>44</v>
      </c>
      <c r="G39" s="328">
        <v>0</v>
      </c>
      <c r="H39" s="328"/>
      <c r="I39" s="328" t="s">
        <v>458</v>
      </c>
      <c r="J39" s="328">
        <v>1.022</v>
      </c>
      <c r="K39" s="328"/>
      <c r="L39" s="328" t="s">
        <v>494</v>
      </c>
      <c r="M39" s="86"/>
      <c r="N39" s="86"/>
      <c r="O39" s="86"/>
      <c r="P39" s="86"/>
      <c r="Q39" s="86"/>
      <c r="R39" s="234"/>
      <c r="S39" s="234"/>
    </row>
    <row r="40" spans="2:19">
      <c r="B40" s="171" t="s">
        <v>495</v>
      </c>
      <c r="C40" s="170">
        <v>0.27300000000000002</v>
      </c>
      <c r="D40" s="234"/>
      <c r="E40" s="328" t="s">
        <v>71</v>
      </c>
      <c r="F40" s="328" t="s">
        <v>496</v>
      </c>
      <c r="G40" s="329">
        <v>0.77573496000000008</v>
      </c>
      <c r="H40" s="328"/>
      <c r="I40" s="332" t="s">
        <v>492</v>
      </c>
      <c r="J40" s="345">
        <v>0.79</v>
      </c>
      <c r="K40" s="345"/>
      <c r="L40" s="328" t="s">
        <v>441</v>
      </c>
      <c r="M40" s="86"/>
      <c r="N40" s="86"/>
      <c r="O40" s="86"/>
      <c r="P40" s="86"/>
      <c r="Q40" s="86"/>
      <c r="R40" s="234"/>
      <c r="S40" s="234"/>
    </row>
    <row r="41" spans="2:19">
      <c r="B41" s="171" t="s">
        <v>497</v>
      </c>
      <c r="C41" s="170">
        <v>0.64400000000000002</v>
      </c>
      <c r="D41" s="234"/>
      <c r="E41" s="328" t="s">
        <v>72</v>
      </c>
      <c r="F41" s="328" t="s">
        <v>74</v>
      </c>
      <c r="G41" s="329">
        <v>0.22163856000000001</v>
      </c>
      <c r="H41" s="328"/>
      <c r="I41" s="332" t="s">
        <v>492</v>
      </c>
      <c r="J41" s="328">
        <v>1.88</v>
      </c>
      <c r="K41" s="328" t="s">
        <v>440</v>
      </c>
      <c r="L41" s="328" t="s">
        <v>441</v>
      </c>
      <c r="M41" s="86"/>
      <c r="N41" s="86"/>
      <c r="O41" s="86"/>
      <c r="P41" s="86"/>
      <c r="Q41" s="86"/>
      <c r="R41" s="234"/>
      <c r="S41" s="234"/>
    </row>
    <row r="42" spans="2:19" ht="45.75">
      <c r="B42" s="171" t="s">
        <v>498</v>
      </c>
      <c r="C42" s="170">
        <v>0.49099999999999999</v>
      </c>
      <c r="D42" s="234"/>
      <c r="E42" s="328" t="s">
        <v>77</v>
      </c>
      <c r="F42" s="328" t="s">
        <v>78</v>
      </c>
      <c r="G42" s="329">
        <v>0.23171304000000001</v>
      </c>
      <c r="H42" s="328"/>
      <c r="I42" s="343" t="s">
        <v>499</v>
      </c>
      <c r="J42" s="328" t="s">
        <v>481</v>
      </c>
      <c r="K42" s="328"/>
      <c r="L42" s="328" t="s">
        <v>481</v>
      </c>
      <c r="M42" s="86"/>
      <c r="N42" s="86"/>
      <c r="O42" s="86"/>
      <c r="P42" s="86"/>
      <c r="Q42" s="86"/>
      <c r="R42" s="234"/>
      <c r="S42" s="234"/>
    </row>
    <row r="43" spans="2:19" ht="30.6">
      <c r="B43" s="171" t="s">
        <v>500</v>
      </c>
      <c r="C43" s="170">
        <v>0.22700000000000001</v>
      </c>
      <c r="D43" s="234"/>
      <c r="E43" s="328" t="s">
        <v>79</v>
      </c>
      <c r="F43" s="343" t="s">
        <v>501</v>
      </c>
      <c r="G43" s="329">
        <v>3.60666384</v>
      </c>
      <c r="H43" s="328" t="s">
        <v>438</v>
      </c>
      <c r="I43" s="332" t="s">
        <v>492</v>
      </c>
      <c r="J43" s="328" t="s">
        <v>481</v>
      </c>
      <c r="K43" s="328"/>
      <c r="L43" s="328" t="s">
        <v>481</v>
      </c>
      <c r="M43" s="86"/>
      <c r="N43" s="86"/>
      <c r="O43" s="86"/>
      <c r="P43" s="86"/>
      <c r="Q43" s="86"/>
      <c r="R43" s="178" t="s">
        <v>502</v>
      </c>
      <c r="S43" s="234"/>
    </row>
    <row r="44" spans="2:19" ht="48">
      <c r="B44" s="171" t="s">
        <v>503</v>
      </c>
      <c r="C44" s="170">
        <v>0.11899999999999999</v>
      </c>
      <c r="D44" s="234"/>
      <c r="E44" s="328" t="s">
        <v>80</v>
      </c>
      <c r="F44" s="328" t="s">
        <v>504</v>
      </c>
      <c r="G44" s="329">
        <v>3.5159935199999999</v>
      </c>
      <c r="H44" s="328" t="s">
        <v>438</v>
      </c>
      <c r="I44" s="332" t="s">
        <v>492</v>
      </c>
      <c r="J44" s="328" t="s">
        <v>481</v>
      </c>
      <c r="K44" s="328"/>
      <c r="L44" s="328" t="s">
        <v>481</v>
      </c>
      <c r="M44" s="86"/>
      <c r="N44" s="86"/>
      <c r="O44" s="86"/>
      <c r="P44" s="86"/>
      <c r="Q44" s="86"/>
      <c r="R44" s="331" t="s">
        <v>505</v>
      </c>
      <c r="S44" s="476" t="s">
        <v>506</v>
      </c>
    </row>
    <row r="45" spans="2:19" ht="32.1">
      <c r="B45" s="243" t="s">
        <v>507</v>
      </c>
      <c r="C45" s="57">
        <v>0.67</v>
      </c>
      <c r="D45" s="234"/>
      <c r="E45" s="328" t="s">
        <v>82</v>
      </c>
      <c r="F45" s="328" t="s">
        <v>83</v>
      </c>
      <c r="G45" s="328">
        <v>0.1</v>
      </c>
      <c r="H45" s="328"/>
      <c r="I45" s="328" t="s">
        <v>508</v>
      </c>
      <c r="J45" s="328" t="s">
        <v>481</v>
      </c>
      <c r="K45" s="328"/>
      <c r="L45" s="328" t="s">
        <v>481</v>
      </c>
      <c r="M45" s="86"/>
      <c r="N45" s="86"/>
      <c r="O45" s="86"/>
      <c r="P45" s="86"/>
      <c r="Q45" s="86"/>
      <c r="R45" s="476" t="s">
        <v>509</v>
      </c>
      <c r="S45" s="484">
        <v>1</v>
      </c>
    </row>
    <row r="46" spans="2:19">
      <c r="B46" s="234" t="s">
        <v>510</v>
      </c>
      <c r="C46" s="57">
        <v>1.9699999999999999E-2</v>
      </c>
      <c r="D46" s="234"/>
      <c r="E46" s="328" t="s">
        <v>114</v>
      </c>
      <c r="F46" s="328" t="s">
        <v>511</v>
      </c>
      <c r="G46" s="328">
        <v>0.48</v>
      </c>
      <c r="H46" s="328"/>
      <c r="I46" s="328" t="s">
        <v>512</v>
      </c>
      <c r="J46" s="328" t="s">
        <v>481</v>
      </c>
      <c r="K46" s="328"/>
      <c r="L46" s="328" t="s">
        <v>481</v>
      </c>
      <c r="M46" s="86"/>
      <c r="N46" s="86"/>
      <c r="O46" s="86"/>
      <c r="P46" s="86"/>
      <c r="Q46" s="86"/>
      <c r="R46" s="476" t="s">
        <v>513</v>
      </c>
      <c r="S46" s="484">
        <v>1</v>
      </c>
    </row>
    <row r="47" spans="2:19" ht="32.1">
      <c r="B47" s="234" t="s">
        <v>514</v>
      </c>
      <c r="C47" s="57">
        <v>1.2999999999999999E-3</v>
      </c>
      <c r="D47" s="234"/>
      <c r="E47" s="328" t="s">
        <v>120</v>
      </c>
      <c r="F47" s="328" t="s">
        <v>515</v>
      </c>
      <c r="G47" s="328">
        <v>0.41</v>
      </c>
      <c r="H47" s="328"/>
      <c r="I47" s="328" t="s">
        <v>516</v>
      </c>
      <c r="J47" s="328" t="s">
        <v>481</v>
      </c>
      <c r="K47" s="328"/>
      <c r="L47" s="328" t="s">
        <v>481</v>
      </c>
      <c r="M47" s="234"/>
      <c r="N47" s="234"/>
      <c r="O47" s="234"/>
      <c r="P47" s="234"/>
      <c r="Q47" s="234"/>
      <c r="R47" s="476" t="s">
        <v>517</v>
      </c>
      <c r="S47" s="484">
        <v>1</v>
      </c>
    </row>
    <row r="48" spans="2:19" ht="32.1">
      <c r="B48" s="234" t="s">
        <v>518</v>
      </c>
      <c r="C48" s="57">
        <v>0.27</v>
      </c>
      <c r="D48" s="234"/>
      <c r="E48" s="328" t="s">
        <v>121</v>
      </c>
      <c r="F48" s="328" t="s">
        <v>515</v>
      </c>
      <c r="G48" s="328">
        <v>0.41</v>
      </c>
      <c r="H48" s="328"/>
      <c r="I48" s="328" t="s">
        <v>516</v>
      </c>
      <c r="J48" s="328" t="s">
        <v>481</v>
      </c>
      <c r="K48" s="328"/>
      <c r="L48" s="328" t="s">
        <v>481</v>
      </c>
      <c r="M48" s="234"/>
      <c r="N48" s="234"/>
      <c r="O48" s="234"/>
      <c r="P48" s="234"/>
      <c r="Q48" s="234"/>
      <c r="R48" s="476" t="s">
        <v>386</v>
      </c>
      <c r="S48" s="484">
        <v>1</v>
      </c>
    </row>
    <row r="49" spans="2:19" ht="32.1">
      <c r="B49" s="234" t="s">
        <v>519</v>
      </c>
      <c r="C49" s="57">
        <v>2.8000000000000001E-2</v>
      </c>
      <c r="D49" s="234"/>
      <c r="E49" s="328" t="s">
        <v>122</v>
      </c>
      <c r="F49" s="328" t="s">
        <v>515</v>
      </c>
      <c r="G49" s="328">
        <v>0.66</v>
      </c>
      <c r="H49" s="328"/>
      <c r="I49" s="328" t="s">
        <v>516</v>
      </c>
      <c r="J49" s="328" t="s">
        <v>481</v>
      </c>
      <c r="K49" s="328"/>
      <c r="L49" s="328" t="s">
        <v>481</v>
      </c>
      <c r="M49" s="234"/>
      <c r="N49" s="234"/>
      <c r="O49" s="234"/>
      <c r="P49" s="234"/>
      <c r="Q49" s="234"/>
      <c r="R49" s="476" t="s">
        <v>520</v>
      </c>
      <c r="S49" s="484">
        <v>1</v>
      </c>
    </row>
    <row r="50" spans="2:19">
      <c r="B50" s="234" t="s">
        <v>521</v>
      </c>
      <c r="C50" s="57">
        <v>0.2</v>
      </c>
      <c r="D50" s="234"/>
      <c r="E50" s="328" t="s">
        <v>123</v>
      </c>
      <c r="F50" s="328" t="s">
        <v>515</v>
      </c>
      <c r="G50" s="328">
        <v>0.72</v>
      </c>
      <c r="H50" s="328"/>
      <c r="I50" s="328" t="s">
        <v>516</v>
      </c>
      <c r="J50" s="328" t="s">
        <v>481</v>
      </c>
      <c r="K50" s="328"/>
      <c r="L50" s="328" t="s">
        <v>481</v>
      </c>
      <c r="M50" s="234"/>
      <c r="N50" s="234"/>
      <c r="O50" s="234"/>
      <c r="P50" s="234"/>
      <c r="Q50" s="234"/>
      <c r="R50" s="476" t="s">
        <v>522</v>
      </c>
      <c r="S50" s="484">
        <v>0.95</v>
      </c>
    </row>
    <row r="51" spans="2:19" ht="32.1">
      <c r="B51" s="234" t="s">
        <v>523</v>
      </c>
      <c r="C51" s="57">
        <v>0.76</v>
      </c>
      <c r="D51" s="234"/>
      <c r="E51" s="328" t="s">
        <v>321</v>
      </c>
      <c r="F51" s="328" t="s">
        <v>44</v>
      </c>
      <c r="G51" s="328"/>
      <c r="H51" s="328"/>
      <c r="I51" s="328"/>
      <c r="J51" s="328">
        <v>0.14000000000000001</v>
      </c>
      <c r="K51" s="328" t="s">
        <v>440</v>
      </c>
      <c r="L51" s="328" t="s">
        <v>441</v>
      </c>
      <c r="M51" s="234"/>
      <c r="N51" s="234"/>
      <c r="O51" s="234"/>
      <c r="P51" s="234"/>
      <c r="Q51" s="234"/>
      <c r="R51" s="476" t="s">
        <v>387</v>
      </c>
      <c r="S51" s="484">
        <v>1</v>
      </c>
    </row>
    <row r="52" spans="2:19" ht="48">
      <c r="B52" s="234" t="s">
        <v>524</v>
      </c>
      <c r="C52" s="57">
        <v>0.89</v>
      </c>
      <c r="D52" s="234"/>
      <c r="E52" s="328" t="s">
        <v>525</v>
      </c>
      <c r="F52" s="328" t="s">
        <v>44</v>
      </c>
      <c r="G52" s="328"/>
      <c r="H52" s="328"/>
      <c r="I52" s="328"/>
      <c r="J52" s="328">
        <v>8.0000000000000002E-3</v>
      </c>
      <c r="K52" s="328" t="s">
        <v>440</v>
      </c>
      <c r="L52" s="328" t="s">
        <v>441</v>
      </c>
      <c r="M52" s="234"/>
      <c r="N52" s="234"/>
      <c r="O52" s="234"/>
      <c r="P52" s="234"/>
      <c r="Q52" s="234"/>
      <c r="R52" s="476" t="s">
        <v>526</v>
      </c>
      <c r="S52" s="484">
        <v>0.98</v>
      </c>
    </row>
    <row r="53" spans="2:19">
      <c r="B53" s="234" t="s">
        <v>527</v>
      </c>
      <c r="C53" s="57">
        <v>0.03</v>
      </c>
      <c r="D53" s="234"/>
      <c r="E53" s="328" t="s">
        <v>528</v>
      </c>
      <c r="F53" s="328" t="s">
        <v>44</v>
      </c>
      <c r="G53" s="328"/>
      <c r="H53" s="328"/>
      <c r="I53" s="328"/>
      <c r="J53" s="328">
        <v>1.1120000000000001</v>
      </c>
      <c r="K53" s="328" t="s">
        <v>440</v>
      </c>
      <c r="L53" s="328" t="s">
        <v>441</v>
      </c>
      <c r="M53" s="234"/>
      <c r="N53" s="234"/>
      <c r="O53" s="234"/>
      <c r="P53" s="234"/>
      <c r="Q53" s="234"/>
      <c r="R53" s="234"/>
      <c r="S53" s="234"/>
    </row>
    <row r="54" spans="2:19">
      <c r="B54" s="234" t="s">
        <v>529</v>
      </c>
      <c r="C54" s="57">
        <v>0.71</v>
      </c>
      <c r="D54" s="234"/>
      <c r="E54" s="242"/>
      <c r="F54" s="242"/>
      <c r="G54" s="242"/>
      <c r="H54" s="242"/>
      <c r="I54" s="242"/>
      <c r="J54" s="234"/>
      <c r="K54" s="234"/>
      <c r="L54" s="242"/>
      <c r="M54" s="234"/>
      <c r="N54" s="234"/>
      <c r="O54" s="234"/>
      <c r="P54" s="234"/>
      <c r="Q54" s="234"/>
      <c r="R54" s="234"/>
      <c r="S54" s="234"/>
    </row>
    <row r="55" spans="2:19">
      <c r="B55" s="234" t="s">
        <v>530</v>
      </c>
      <c r="C55" s="57">
        <v>1.5E-3</v>
      </c>
      <c r="D55" s="234"/>
      <c r="E55" s="334" t="s">
        <v>531</v>
      </c>
      <c r="F55" s="334"/>
      <c r="G55" s="334"/>
      <c r="H55" s="334"/>
      <c r="I55" s="334"/>
      <c r="J55" s="234"/>
      <c r="K55" s="234"/>
      <c r="L55" s="242"/>
      <c r="M55" s="234"/>
      <c r="N55" s="234"/>
      <c r="O55" s="234"/>
      <c r="P55" s="234"/>
      <c r="Q55" s="234"/>
      <c r="R55" s="234"/>
      <c r="S55" s="234"/>
    </row>
    <row r="56" spans="2:19">
      <c r="B56" s="243" t="s">
        <v>532</v>
      </c>
      <c r="C56" s="57">
        <v>0.71</v>
      </c>
      <c r="D56" s="234"/>
      <c r="E56" s="334" t="s">
        <v>431</v>
      </c>
      <c r="F56" s="334" t="s">
        <v>30</v>
      </c>
      <c r="G56" s="334" t="s">
        <v>432</v>
      </c>
      <c r="H56" s="334" t="s">
        <v>433</v>
      </c>
      <c r="I56" s="334" t="s">
        <v>259</v>
      </c>
      <c r="J56" s="234"/>
      <c r="K56" s="234"/>
      <c r="L56" s="242"/>
      <c r="M56" s="234"/>
      <c r="N56" s="234"/>
      <c r="O56" s="234"/>
      <c r="P56" s="234"/>
      <c r="Q56" s="234"/>
      <c r="R56" s="234"/>
      <c r="S56" s="234"/>
    </row>
    <row r="57" spans="2:19">
      <c r="B57" s="234" t="s">
        <v>533</v>
      </c>
      <c r="C57" s="57">
        <v>0.113</v>
      </c>
      <c r="D57" s="234"/>
      <c r="E57" s="334" t="s">
        <v>296</v>
      </c>
      <c r="F57" s="334" t="s">
        <v>44</v>
      </c>
      <c r="G57" s="334">
        <v>0.11</v>
      </c>
      <c r="H57" s="334" t="s">
        <v>438</v>
      </c>
      <c r="I57" s="334" t="s">
        <v>534</v>
      </c>
      <c r="J57" s="234"/>
      <c r="K57" s="234"/>
      <c r="L57" s="242"/>
      <c r="M57" s="234"/>
      <c r="N57" s="234"/>
      <c r="O57" s="234"/>
      <c r="P57" s="234"/>
      <c r="Q57" s="234"/>
      <c r="R57" s="234"/>
      <c r="S57" s="234"/>
    </row>
    <row r="58" spans="2:19">
      <c r="B58" s="171" t="s">
        <v>535</v>
      </c>
      <c r="C58" s="170">
        <v>0.75900000000000001</v>
      </c>
      <c r="D58" s="234"/>
      <c r="E58" s="473" t="s">
        <v>297</v>
      </c>
      <c r="F58" s="474" t="s">
        <v>44</v>
      </c>
      <c r="G58" s="334">
        <v>0.36</v>
      </c>
      <c r="H58" s="334"/>
      <c r="I58" s="334" t="s">
        <v>536</v>
      </c>
      <c r="J58" s="234"/>
      <c r="K58" s="234"/>
      <c r="L58" s="242"/>
      <c r="M58" s="234"/>
      <c r="N58" s="234"/>
      <c r="O58" s="234"/>
      <c r="P58" s="234"/>
      <c r="Q58" s="234"/>
      <c r="R58" s="234"/>
      <c r="S58" s="234"/>
    </row>
    <row r="59" spans="2:19">
      <c r="B59" s="171" t="s">
        <v>537</v>
      </c>
      <c r="C59" s="170">
        <v>2.9000000000000001E-2</v>
      </c>
      <c r="D59" s="234"/>
      <c r="E59" s="473" t="s">
        <v>285</v>
      </c>
      <c r="F59" s="474" t="s">
        <v>277</v>
      </c>
      <c r="G59" s="334">
        <v>3.2000000000000003E-4</v>
      </c>
      <c r="H59" s="334"/>
      <c r="I59" s="334" t="s">
        <v>538</v>
      </c>
      <c r="J59" s="234"/>
      <c r="K59" s="234"/>
      <c r="L59" s="242"/>
      <c r="M59" s="234"/>
      <c r="N59" s="234"/>
      <c r="O59" s="234"/>
      <c r="P59" s="234"/>
      <c r="Q59" s="234"/>
      <c r="R59" s="234"/>
      <c r="S59" s="234"/>
    </row>
    <row r="60" spans="2:19">
      <c r="B60" s="171" t="s">
        <v>539</v>
      </c>
      <c r="C60" s="170">
        <v>0.747</v>
      </c>
      <c r="D60" s="234"/>
      <c r="E60" s="244"/>
      <c r="F60" s="245"/>
      <c r="G60" s="242"/>
      <c r="H60" s="242"/>
      <c r="I60" s="242"/>
      <c r="J60" s="234"/>
      <c r="K60" s="234"/>
      <c r="L60" s="242"/>
      <c r="M60" s="234"/>
      <c r="N60" s="234"/>
      <c r="O60" s="234"/>
      <c r="P60" s="234"/>
      <c r="Q60" s="234"/>
      <c r="R60" s="234"/>
      <c r="S60" s="234"/>
    </row>
    <row r="61" spans="2:19">
      <c r="B61" s="171" t="s">
        <v>540</v>
      </c>
      <c r="C61" s="170">
        <v>0.442</v>
      </c>
      <c r="D61" s="234"/>
      <c r="E61" s="242"/>
      <c r="F61" s="242"/>
      <c r="G61" s="242"/>
      <c r="H61" s="242"/>
      <c r="I61" s="242"/>
      <c r="J61" s="234"/>
      <c r="K61" s="234"/>
      <c r="L61" s="242"/>
      <c r="M61" s="234"/>
      <c r="N61" s="234"/>
      <c r="O61" s="234"/>
      <c r="P61" s="234"/>
      <c r="Q61" s="234"/>
      <c r="R61" s="234"/>
      <c r="S61" s="234"/>
    </row>
    <row r="62" spans="2:19">
      <c r="B62" s="171" t="s">
        <v>541</v>
      </c>
      <c r="C62" s="170">
        <v>0.58399999999999996</v>
      </c>
      <c r="D62" s="234"/>
      <c r="E62" s="242"/>
      <c r="F62" s="242"/>
      <c r="G62" s="242"/>
      <c r="H62" s="242"/>
      <c r="I62" s="242"/>
      <c r="J62" s="234"/>
      <c r="K62" s="234"/>
      <c r="L62" s="242"/>
      <c r="M62" s="234"/>
      <c r="N62" s="234"/>
      <c r="O62" s="234"/>
      <c r="P62" s="234"/>
      <c r="Q62" s="234"/>
      <c r="R62" s="234"/>
      <c r="S62" s="234"/>
    </row>
    <row r="63" spans="2:19">
      <c r="B63" s="171" t="s">
        <v>542</v>
      </c>
      <c r="C63" s="170">
        <v>0.23899999999999999</v>
      </c>
      <c r="D63" s="234"/>
      <c r="E63" s="334" t="s">
        <v>298</v>
      </c>
      <c r="F63" s="334"/>
      <c r="G63" s="334" t="s">
        <v>543</v>
      </c>
      <c r="H63" s="334" t="s">
        <v>433</v>
      </c>
      <c r="I63" s="334" t="s">
        <v>259</v>
      </c>
      <c r="J63" s="234"/>
      <c r="K63" s="234"/>
      <c r="L63" s="242"/>
      <c r="M63" s="234"/>
      <c r="N63" s="234"/>
      <c r="O63" s="234"/>
      <c r="P63" s="234"/>
      <c r="Q63" s="234"/>
      <c r="R63" s="234"/>
      <c r="S63" s="234"/>
    </row>
    <row r="64" spans="2:19">
      <c r="B64" s="171" t="s">
        <v>544</v>
      </c>
      <c r="C64" s="170">
        <v>0.77400000000000002</v>
      </c>
      <c r="D64" s="234"/>
      <c r="E64" s="334" t="s">
        <v>299</v>
      </c>
      <c r="F64" s="334" t="s">
        <v>86</v>
      </c>
      <c r="G64" s="334">
        <v>0.82</v>
      </c>
      <c r="H64" s="334" t="s">
        <v>438</v>
      </c>
      <c r="I64" s="334" t="s">
        <v>545</v>
      </c>
      <c r="J64" s="234"/>
      <c r="K64" s="234"/>
      <c r="L64" s="242"/>
      <c r="M64" s="234"/>
      <c r="N64" s="234"/>
      <c r="O64" s="234"/>
      <c r="P64" s="234"/>
      <c r="Q64" s="234"/>
      <c r="R64" s="234"/>
      <c r="S64" s="234"/>
    </row>
    <row r="65" spans="2:9">
      <c r="B65" s="171" t="s">
        <v>546</v>
      </c>
      <c r="C65" s="170">
        <v>0.36199999999999999</v>
      </c>
      <c r="D65" s="234"/>
      <c r="E65" s="334" t="s">
        <v>285</v>
      </c>
      <c r="F65" s="334" t="s">
        <v>86</v>
      </c>
      <c r="G65" s="334">
        <v>0.49</v>
      </c>
      <c r="H65" s="334"/>
      <c r="I65" s="334"/>
    </row>
    <row r="66" spans="2:9">
      <c r="B66" s="171" t="s">
        <v>547</v>
      </c>
      <c r="C66" s="170">
        <v>2.5000000000000001E-2</v>
      </c>
      <c r="D66" s="234"/>
      <c r="E66" s="334" t="s">
        <v>300</v>
      </c>
      <c r="F66" s="334" t="s">
        <v>86</v>
      </c>
      <c r="G66" s="334">
        <v>0.73299999999999998</v>
      </c>
      <c r="H66" s="334"/>
      <c r="I66" s="334" t="s">
        <v>548</v>
      </c>
    </row>
    <row r="67" spans="2:9">
      <c r="B67" s="171" t="s">
        <v>549</v>
      </c>
      <c r="C67" s="170">
        <v>0.59099999999999997</v>
      </c>
      <c r="D67" s="234"/>
      <c r="E67" s="334" t="s">
        <v>301</v>
      </c>
      <c r="F67" s="334" t="s">
        <v>86</v>
      </c>
      <c r="G67" s="485">
        <v>0.65500000000000003</v>
      </c>
      <c r="H67" s="334"/>
      <c r="I67" s="334"/>
    </row>
    <row r="68" spans="2:9">
      <c r="B68" s="171" t="s">
        <v>550</v>
      </c>
      <c r="C68" s="170">
        <v>3.1E-2</v>
      </c>
      <c r="D68" s="234"/>
      <c r="E68" s="334" t="s">
        <v>302</v>
      </c>
      <c r="F68" s="334" t="s">
        <v>86</v>
      </c>
      <c r="G68" s="485">
        <v>1.2E-2</v>
      </c>
      <c r="H68" s="334"/>
      <c r="I68" s="334"/>
    </row>
    <row r="69" spans="2:9">
      <c r="B69" s="171" t="s">
        <v>551</v>
      </c>
      <c r="C69" s="170">
        <v>0.33400000000000002</v>
      </c>
      <c r="D69" s="234"/>
      <c r="E69" s="334" t="s">
        <v>303</v>
      </c>
      <c r="F69" s="334" t="s">
        <v>86</v>
      </c>
      <c r="G69" s="485">
        <v>2.4E-2</v>
      </c>
      <c r="H69" s="334"/>
      <c r="I69" s="334"/>
    </row>
    <row r="70" spans="2:9">
      <c r="B70" s="171" t="s">
        <v>552</v>
      </c>
      <c r="C70" s="170">
        <v>0.13400000000000001</v>
      </c>
      <c r="D70" s="234"/>
      <c r="E70" s="334" t="s">
        <v>304</v>
      </c>
      <c r="F70" s="334" t="s">
        <v>86</v>
      </c>
      <c r="G70" s="485">
        <v>1.0999999999999999E-2</v>
      </c>
      <c r="H70" s="334"/>
      <c r="I70" s="334"/>
    </row>
    <row r="71" spans="2:9">
      <c r="B71" s="171" t="s">
        <v>553</v>
      </c>
      <c r="C71" s="170">
        <v>0.72399999999999998</v>
      </c>
      <c r="D71" s="234"/>
      <c r="E71" s="334" t="s">
        <v>305</v>
      </c>
      <c r="F71" s="334" t="s">
        <v>86</v>
      </c>
      <c r="G71" s="485">
        <v>4.8000000000000001E-2</v>
      </c>
      <c r="H71" s="334"/>
      <c r="I71" s="334"/>
    </row>
    <row r="72" spans="2:9">
      <c r="B72" s="171" t="s">
        <v>554</v>
      </c>
      <c r="C72" s="170">
        <v>0.621</v>
      </c>
      <c r="D72" s="234"/>
      <c r="E72" s="334" t="s">
        <v>306</v>
      </c>
      <c r="F72" s="334" t="s">
        <v>86</v>
      </c>
      <c r="G72" s="485">
        <v>0.23</v>
      </c>
      <c r="H72" s="334"/>
      <c r="I72" s="334"/>
    </row>
    <row r="73" spans="2:9">
      <c r="B73" s="171" t="s">
        <v>555</v>
      </c>
      <c r="C73" s="170">
        <v>0.437</v>
      </c>
      <c r="D73" s="234"/>
      <c r="E73" s="334" t="s">
        <v>307</v>
      </c>
      <c r="F73" s="334" t="s">
        <v>86</v>
      </c>
      <c r="G73" s="485">
        <v>6.4200000000000007E-2</v>
      </c>
      <c r="H73" s="334"/>
      <c r="I73" s="334"/>
    </row>
    <row r="74" spans="2:9">
      <c r="B74" s="171" t="s">
        <v>556</v>
      </c>
      <c r="C74" s="170">
        <v>0.109</v>
      </c>
      <c r="D74" s="234"/>
      <c r="E74" s="334" t="s">
        <v>557</v>
      </c>
      <c r="F74" s="334" t="s">
        <v>86</v>
      </c>
      <c r="G74" s="334" t="s">
        <v>558</v>
      </c>
      <c r="H74" s="334"/>
      <c r="I74" s="334"/>
    </row>
    <row r="75" spans="2:9">
      <c r="B75" s="171" t="s">
        <v>559</v>
      </c>
      <c r="C75" s="170">
        <v>0.75800000000000001</v>
      </c>
      <c r="D75" s="234"/>
      <c r="E75" s="242"/>
      <c r="F75" s="242"/>
      <c r="G75" s="242"/>
      <c r="H75" s="242"/>
      <c r="I75" s="242"/>
    </row>
    <row r="76" spans="2:9">
      <c r="B76" s="171" t="s">
        <v>560</v>
      </c>
      <c r="C76" s="170">
        <v>0.6</v>
      </c>
      <c r="D76" s="234"/>
      <c r="E76" s="506" t="s">
        <v>561</v>
      </c>
      <c r="F76" s="242"/>
      <c r="G76" s="242"/>
      <c r="H76" s="242"/>
      <c r="I76" s="242"/>
    </row>
    <row r="77" spans="2:9">
      <c r="B77" s="171" t="s">
        <v>562</v>
      </c>
      <c r="C77" s="170">
        <v>0.67500000000000004</v>
      </c>
      <c r="D77" s="234"/>
      <c r="E77" s="242"/>
      <c r="F77" s="334"/>
      <c r="G77" s="334" t="s">
        <v>563</v>
      </c>
      <c r="H77" s="334" t="s">
        <v>433</v>
      </c>
      <c r="I77" s="334" t="s">
        <v>259</v>
      </c>
    </row>
    <row r="78" spans="2:9">
      <c r="B78" s="171" t="s">
        <v>564</v>
      </c>
      <c r="C78" s="170">
        <v>0.156</v>
      </c>
      <c r="D78" s="234"/>
      <c r="E78" s="334" t="s">
        <v>299</v>
      </c>
      <c r="F78" s="334" t="s">
        <v>86</v>
      </c>
      <c r="G78" s="485">
        <v>5.6000000000000001E-2</v>
      </c>
      <c r="H78" s="334" t="s">
        <v>438</v>
      </c>
      <c r="I78" s="334" t="s">
        <v>545</v>
      </c>
    </row>
    <row r="79" spans="2:9">
      <c r="B79" s="171" t="s">
        <v>565</v>
      </c>
      <c r="C79" s="170">
        <v>0.48699999999999999</v>
      </c>
      <c r="D79" s="234"/>
      <c r="E79" s="334" t="s">
        <v>285</v>
      </c>
      <c r="F79" s="334" t="s">
        <v>86</v>
      </c>
      <c r="G79" s="485">
        <v>9.2600000000000002E-2</v>
      </c>
      <c r="H79" s="334"/>
      <c r="I79" s="334"/>
    </row>
    <row r="80" spans="2:9">
      <c r="B80" s="171" t="s">
        <v>566</v>
      </c>
      <c r="C80" s="170">
        <v>0.29799999999999999</v>
      </c>
      <c r="D80" s="234"/>
      <c r="E80" s="334" t="s">
        <v>301</v>
      </c>
      <c r="F80" s="334" t="s">
        <v>86</v>
      </c>
      <c r="G80" s="485">
        <v>7.0000000000000007E-2</v>
      </c>
      <c r="H80" s="334"/>
      <c r="I80" s="334"/>
    </row>
    <row r="81" spans="2:9">
      <c r="B81" s="171" t="s">
        <v>567</v>
      </c>
      <c r="C81" s="170">
        <v>0.29299999999999998</v>
      </c>
      <c r="D81" s="234"/>
      <c r="E81" s="334" t="s">
        <v>302</v>
      </c>
      <c r="F81" s="334" t="s">
        <v>86</v>
      </c>
      <c r="G81" s="485">
        <v>1.2E-2</v>
      </c>
      <c r="H81" s="334"/>
      <c r="I81" s="334"/>
    </row>
    <row r="82" spans="2:9">
      <c r="B82" s="171" t="s">
        <v>568</v>
      </c>
      <c r="C82" s="170">
        <v>0.68600000000000005</v>
      </c>
      <c r="D82" s="234"/>
      <c r="E82" s="334" t="s">
        <v>303</v>
      </c>
      <c r="F82" s="334" t="s">
        <v>86</v>
      </c>
      <c r="G82" s="485">
        <v>2.4E-2</v>
      </c>
      <c r="H82" s="334"/>
      <c r="I82" s="334"/>
    </row>
    <row r="83" spans="2:9">
      <c r="B83" s="171" t="s">
        <v>569</v>
      </c>
      <c r="C83" s="170">
        <v>0.77500000000000002</v>
      </c>
      <c r="D83" s="234"/>
      <c r="E83" s="334" t="s">
        <v>304</v>
      </c>
      <c r="F83" s="334" t="s">
        <v>86</v>
      </c>
      <c r="G83" s="485">
        <v>1.0999999999999999E-2</v>
      </c>
      <c r="H83" s="334"/>
      <c r="I83" s="334"/>
    </row>
    <row r="84" spans="2:9">
      <c r="B84" s="171" t="s">
        <v>570</v>
      </c>
      <c r="C84" s="170">
        <v>0.41</v>
      </c>
      <c r="D84" s="234"/>
      <c r="E84" s="334" t="s">
        <v>305</v>
      </c>
      <c r="F84" s="334" t="s">
        <v>86</v>
      </c>
      <c r="G84" s="485">
        <v>4.8000000000000001E-2</v>
      </c>
      <c r="H84" s="334"/>
      <c r="I84" s="334"/>
    </row>
    <row r="85" spans="2:9">
      <c r="B85" s="171" t="s">
        <v>571</v>
      </c>
      <c r="C85" s="170">
        <v>2.4E-2</v>
      </c>
      <c r="D85" s="234"/>
      <c r="E85" s="334" t="s">
        <v>306</v>
      </c>
      <c r="F85" s="334" t="s">
        <v>86</v>
      </c>
      <c r="G85" s="485">
        <v>0.23</v>
      </c>
      <c r="H85" s="334"/>
      <c r="I85" s="334"/>
    </row>
    <row r="86" spans="2:9">
      <c r="B86" s="171" t="s">
        <v>572</v>
      </c>
      <c r="C86" s="170">
        <v>0.23100000000000001</v>
      </c>
      <c r="D86" s="234"/>
      <c r="E86" s="334" t="s">
        <v>307</v>
      </c>
      <c r="F86" s="334" t="s">
        <v>86</v>
      </c>
      <c r="G86" s="485">
        <v>6.4200000000000007E-2</v>
      </c>
      <c r="H86" s="334"/>
      <c r="I86" s="334"/>
    </row>
    <row r="87" spans="2:9">
      <c r="B87" s="171" t="s">
        <v>573</v>
      </c>
      <c r="C87" s="170">
        <v>0.216</v>
      </c>
      <c r="D87" s="234"/>
      <c r="E87" s="334"/>
      <c r="F87" s="334"/>
      <c r="G87" s="334"/>
      <c r="H87" s="334"/>
      <c r="I87" s="334"/>
    </row>
    <row r="88" spans="2:9">
      <c r="B88" s="171" t="s">
        <v>574</v>
      </c>
      <c r="C88" s="170">
        <v>0.51500000000000001</v>
      </c>
      <c r="D88" s="234"/>
      <c r="E88" s="242"/>
      <c r="F88" s="242"/>
      <c r="G88" s="242"/>
      <c r="H88" s="242"/>
      <c r="I88" s="242"/>
    </row>
    <row r="89" spans="2:9">
      <c r="B89" s="171" t="s">
        <v>575</v>
      </c>
      <c r="C89" s="170">
        <v>0.44700000000000001</v>
      </c>
      <c r="D89" s="234"/>
      <c r="E89" s="242"/>
      <c r="F89" s="242"/>
      <c r="G89" s="242"/>
      <c r="H89" s="242"/>
      <c r="I89" s="242"/>
    </row>
    <row r="90" spans="2:9">
      <c r="B90" s="171" t="s">
        <v>576</v>
      </c>
      <c r="C90" s="170">
        <v>0.33400000000000002</v>
      </c>
      <c r="D90" s="234"/>
      <c r="E90" s="242"/>
      <c r="F90" s="242"/>
      <c r="G90" s="242"/>
      <c r="H90" s="242"/>
      <c r="I90" s="242"/>
    </row>
    <row r="91" spans="2:9">
      <c r="B91" s="171" t="s">
        <v>577</v>
      </c>
      <c r="C91" s="170">
        <v>6.9000000000000006E-2</v>
      </c>
      <c r="D91" s="234"/>
      <c r="E91" s="242"/>
      <c r="F91" s="242"/>
      <c r="G91" s="242"/>
      <c r="H91" s="242"/>
      <c r="I91" s="242"/>
    </row>
    <row r="92" spans="2:9">
      <c r="B92" s="171" t="s">
        <v>578</v>
      </c>
      <c r="C92" s="170">
        <v>5.0999999999999997E-2</v>
      </c>
      <c r="D92" s="234"/>
      <c r="E92" s="242"/>
      <c r="F92" s="242"/>
      <c r="G92" s="242"/>
      <c r="H92" s="242"/>
      <c r="I92" s="242"/>
    </row>
    <row r="93" spans="2:9">
      <c r="B93" s="171" t="s">
        <v>579</v>
      </c>
      <c r="C93" s="170">
        <v>0.28999999999999998</v>
      </c>
      <c r="D93" s="234"/>
      <c r="E93" s="242"/>
      <c r="F93" s="242"/>
      <c r="G93" s="242"/>
      <c r="H93" s="242"/>
      <c r="I93" s="242"/>
    </row>
    <row r="94" spans="2:9">
      <c r="B94" s="171" t="s">
        <v>580</v>
      </c>
      <c r="C94" s="170">
        <v>0.501</v>
      </c>
      <c r="D94" s="234"/>
      <c r="E94" s="242"/>
      <c r="F94" s="242"/>
      <c r="G94" s="242"/>
      <c r="H94" s="242"/>
      <c r="I94" s="242"/>
    </row>
    <row r="95" spans="2:9">
      <c r="B95" s="171" t="s">
        <v>581</v>
      </c>
      <c r="C95" s="170">
        <v>0.32300000000000001</v>
      </c>
      <c r="D95" s="234"/>
      <c r="E95" s="242"/>
      <c r="F95" s="242"/>
      <c r="G95" s="242"/>
      <c r="H95" s="242"/>
      <c r="I95" s="242"/>
    </row>
    <row r="96" spans="2:9">
      <c r="B96" s="171" t="s">
        <v>582</v>
      </c>
      <c r="C96" s="170">
        <v>0.76900000000000002</v>
      </c>
      <c r="D96" s="234"/>
      <c r="E96" s="242"/>
      <c r="F96" s="242"/>
      <c r="G96" s="242"/>
      <c r="H96" s="242"/>
      <c r="I96" s="242"/>
    </row>
    <row r="97" spans="2:3">
      <c r="B97" s="171" t="s">
        <v>583</v>
      </c>
      <c r="C97" s="170">
        <v>0.13400000000000001</v>
      </c>
    </row>
    <row r="98" spans="2:3">
      <c r="B98" s="171" t="s">
        <v>584</v>
      </c>
      <c r="C98" s="170">
        <v>0.311</v>
      </c>
    </row>
    <row r="99" spans="2:3">
      <c r="B99" s="171" t="s">
        <v>585</v>
      </c>
      <c r="C99" s="170">
        <v>0.26100000000000001</v>
      </c>
    </row>
    <row r="100" spans="2:3">
      <c r="B100" s="171" t="s">
        <v>586</v>
      </c>
      <c r="C100" s="170">
        <v>0.77700000000000002</v>
      </c>
    </row>
    <row r="101" spans="2:3">
      <c r="B101" s="171" t="s">
        <v>587</v>
      </c>
      <c r="C101" s="170">
        <v>0.47899999999999998</v>
      </c>
    </row>
    <row r="102" spans="2:3">
      <c r="B102" s="171" t="s">
        <v>588</v>
      </c>
      <c r="C102" s="170">
        <v>0.17199999999999999</v>
      </c>
    </row>
    <row r="103" spans="2:3">
      <c r="B103" s="171" t="s">
        <v>589</v>
      </c>
      <c r="C103" s="170">
        <v>0.76500000000000001</v>
      </c>
    </row>
    <row r="104" spans="2:3">
      <c r="B104" s="171" t="s">
        <v>590</v>
      </c>
      <c r="C104" s="170">
        <v>0.68400000000000005</v>
      </c>
    </row>
    <row r="105" spans="2:3">
      <c r="B105" s="171" t="s">
        <v>591</v>
      </c>
      <c r="C105" s="170">
        <v>0.747</v>
      </c>
    </row>
    <row r="106" spans="2:3">
      <c r="B106" s="171" t="s">
        <v>592</v>
      </c>
      <c r="C106" s="170">
        <v>0.41399999999999998</v>
      </c>
    </row>
    <row r="107" spans="2:3">
      <c r="B107" s="171" t="s">
        <v>593</v>
      </c>
      <c r="C107" s="170">
        <v>0.54300000000000004</v>
      </c>
    </row>
    <row r="108" spans="2:3">
      <c r="B108" s="171" t="s">
        <v>594</v>
      </c>
      <c r="C108" s="170">
        <v>0.74199999999999999</v>
      </c>
    </row>
    <row r="109" spans="2:3">
      <c r="B109" s="171" t="s">
        <v>595</v>
      </c>
      <c r="C109" s="170">
        <v>0.76800000000000002</v>
      </c>
    </row>
    <row r="110" spans="2:3">
      <c r="B110" s="171" t="s">
        <v>596</v>
      </c>
      <c r="C110" s="170">
        <v>0.6</v>
      </c>
    </row>
    <row r="111" spans="2:3">
      <c r="B111" s="171" t="s">
        <v>597</v>
      </c>
      <c r="C111" s="170">
        <v>0.23300000000000001</v>
      </c>
    </row>
    <row r="112" spans="2:3">
      <c r="B112" s="171" t="s">
        <v>598</v>
      </c>
      <c r="C112" s="170">
        <v>0.77500000000000002</v>
      </c>
    </row>
    <row r="113" spans="2:3">
      <c r="B113" s="171" t="s">
        <v>599</v>
      </c>
      <c r="C113" s="170">
        <v>0.216</v>
      </c>
    </row>
    <row r="114" spans="2:3">
      <c r="B114" s="171" t="s">
        <v>600</v>
      </c>
      <c r="C114" s="170">
        <v>0</v>
      </c>
    </row>
    <row r="115" spans="2:3">
      <c r="B115" s="171" t="s">
        <v>601</v>
      </c>
      <c r="C115" s="170">
        <v>0.79</v>
      </c>
    </row>
    <row r="116" spans="2:3">
      <c r="B116" s="171" t="s">
        <v>602</v>
      </c>
      <c r="C116" s="170">
        <v>0.71799999999999997</v>
      </c>
    </row>
    <row r="117" spans="2:3">
      <c r="B117" s="171" t="s">
        <v>603</v>
      </c>
      <c r="C117" s="170">
        <v>0.53700000000000003</v>
      </c>
    </row>
    <row r="118" spans="2:3">
      <c r="B118" s="171" t="s">
        <v>604</v>
      </c>
      <c r="C118" s="170">
        <v>0.58499999999999996</v>
      </c>
    </row>
    <row r="119" spans="2:3">
      <c r="B119" s="171" t="s">
        <v>605</v>
      </c>
      <c r="C119" s="170">
        <v>0.27900000000000003</v>
      </c>
    </row>
    <row r="120" spans="2:3">
      <c r="B120" s="171" t="s">
        <v>606</v>
      </c>
      <c r="C120" s="170">
        <v>0.66300000000000003</v>
      </c>
    </row>
    <row r="121" spans="2:3">
      <c r="B121" s="171" t="s">
        <v>607</v>
      </c>
      <c r="C121" s="170">
        <v>0.21299999999999999</v>
      </c>
    </row>
    <row r="122" spans="2:3">
      <c r="B122" s="171" t="s">
        <v>608</v>
      </c>
      <c r="C122" s="170">
        <v>0.63500000000000001</v>
      </c>
    </row>
    <row r="123" spans="2:3">
      <c r="B123" s="171" t="s">
        <v>609</v>
      </c>
      <c r="C123" s="170">
        <v>0.46600000000000003</v>
      </c>
    </row>
    <row r="124" spans="2:3">
      <c r="B124" s="171" t="s">
        <v>610</v>
      </c>
      <c r="C124" s="170">
        <v>0.45500000000000002</v>
      </c>
    </row>
    <row r="125" spans="2:3">
      <c r="B125" s="171" t="s">
        <v>611</v>
      </c>
      <c r="C125" s="170">
        <v>0.83499999999999996</v>
      </c>
    </row>
    <row r="126" spans="2:3">
      <c r="B126" s="171" t="s">
        <v>612</v>
      </c>
      <c r="C126" s="170">
        <v>0.121</v>
      </c>
    </row>
    <row r="127" spans="2:3">
      <c r="B127" s="171" t="s">
        <v>613</v>
      </c>
      <c r="C127" s="170">
        <v>0.65600000000000003</v>
      </c>
    </row>
    <row r="128" spans="2:3">
      <c r="B128" s="171" t="s">
        <v>614</v>
      </c>
      <c r="C128" s="170">
        <v>1.0009999999999999</v>
      </c>
    </row>
    <row r="129" spans="2:3">
      <c r="B129" s="171" t="s">
        <v>615</v>
      </c>
      <c r="C129" s="170">
        <v>0.498</v>
      </c>
    </row>
    <row r="130" spans="2:3">
      <c r="B130" s="171" t="s">
        <v>616</v>
      </c>
      <c r="C130" s="170">
        <v>0.10100000000000001</v>
      </c>
    </row>
    <row r="131" spans="2:3">
      <c r="B131" s="171" t="s">
        <v>617</v>
      </c>
      <c r="C131" s="170">
        <v>0.46200000000000002</v>
      </c>
    </row>
    <row r="132" spans="2:3">
      <c r="B132" s="171" t="s">
        <v>618</v>
      </c>
      <c r="C132" s="170">
        <v>0.107</v>
      </c>
    </row>
    <row r="133" spans="2:3">
      <c r="B133" s="171" t="s">
        <v>619</v>
      </c>
      <c r="C133" s="170">
        <v>0.63900000000000001</v>
      </c>
    </row>
    <row r="134" spans="2:3">
      <c r="B134" s="171" t="s">
        <v>620</v>
      </c>
      <c r="C134" s="170">
        <v>2.4E-2</v>
      </c>
    </row>
    <row r="135" spans="2:3">
      <c r="B135" s="171" t="s">
        <v>621</v>
      </c>
      <c r="C135" s="170">
        <v>0.76900000000000002</v>
      </c>
    </row>
    <row r="136" spans="2:3">
      <c r="B136" s="171" t="s">
        <v>622</v>
      </c>
      <c r="C136" s="170">
        <v>0.51300000000000001</v>
      </c>
    </row>
    <row r="137" spans="2:3">
      <c r="B137" s="171" t="s">
        <v>623</v>
      </c>
      <c r="C137" s="170">
        <v>4.4999999999999998E-2</v>
      </c>
    </row>
    <row r="138" spans="2:3">
      <c r="B138" s="171" t="s">
        <v>624</v>
      </c>
      <c r="C138" s="170">
        <v>5.8999999999999997E-2</v>
      </c>
    </row>
    <row r="139" spans="2:3">
      <c r="B139" s="171" t="s">
        <v>625</v>
      </c>
      <c r="C139" s="170">
        <v>0.77700000000000002</v>
      </c>
    </row>
    <row r="140" spans="2:3">
      <c r="B140" s="171" t="s">
        <v>626</v>
      </c>
      <c r="C140" s="170">
        <v>0.51500000000000001</v>
      </c>
    </row>
    <row r="141" spans="2:3">
      <c r="B141" s="171" t="s">
        <v>627</v>
      </c>
      <c r="C141" s="170">
        <v>8.8999999999999996E-2</v>
      </c>
    </row>
    <row r="142" spans="2:3">
      <c r="B142" s="171" t="s">
        <v>628</v>
      </c>
      <c r="C142" s="170">
        <v>0.64800000000000002</v>
      </c>
    </row>
    <row r="143" spans="2:3">
      <c r="B143" s="171" t="s">
        <v>629</v>
      </c>
      <c r="C143" s="170">
        <v>0.77300000000000002</v>
      </c>
    </row>
    <row r="144" spans="2:3">
      <c r="B144" s="171" t="s">
        <v>630</v>
      </c>
      <c r="C144" s="170">
        <v>0.48699999999999999</v>
      </c>
    </row>
    <row r="145" spans="2:3">
      <c r="B145" s="171" t="s">
        <v>631</v>
      </c>
      <c r="C145" s="170">
        <v>0.379</v>
      </c>
    </row>
    <row r="146" spans="2:3">
      <c r="B146" s="171" t="s">
        <v>632</v>
      </c>
      <c r="C146" s="170">
        <v>0.73499999999999999</v>
      </c>
    </row>
    <row r="147" spans="2:3">
      <c r="B147" s="171" t="s">
        <v>633</v>
      </c>
      <c r="C147" s="170">
        <v>0.317</v>
      </c>
    </row>
    <row r="148" spans="2:3">
      <c r="B148" s="171" t="s">
        <v>634</v>
      </c>
      <c r="C148" s="170">
        <v>0.71599999999999997</v>
      </c>
    </row>
    <row r="149" spans="2:3">
      <c r="B149" s="171" t="s">
        <v>635</v>
      </c>
      <c r="C149" s="170">
        <v>0.43099999999999999</v>
      </c>
    </row>
    <row r="150" spans="2:3">
      <c r="B150" s="171" t="s">
        <v>636</v>
      </c>
      <c r="C150" s="170">
        <v>0.92300000000000004</v>
      </c>
    </row>
    <row r="151" spans="2:3">
      <c r="B151" s="171" t="s">
        <v>637</v>
      </c>
      <c r="C151" s="170">
        <v>0.97399999999999998</v>
      </c>
    </row>
    <row r="152" spans="2:3">
      <c r="B152" s="171" t="s">
        <v>638</v>
      </c>
      <c r="C152" s="170">
        <v>0.40500000000000003</v>
      </c>
    </row>
    <row r="153" spans="2:3">
      <c r="B153" s="171" t="s">
        <v>639</v>
      </c>
      <c r="C153" s="170">
        <v>0.77700000000000002</v>
      </c>
    </row>
    <row r="154" spans="2:3">
      <c r="B154" s="171" t="s">
        <v>640</v>
      </c>
      <c r="C154" s="170">
        <v>0.66800000000000004</v>
      </c>
    </row>
    <row r="155" spans="2:3">
      <c r="B155" s="171" t="s">
        <v>641</v>
      </c>
      <c r="C155" s="170">
        <v>0.151</v>
      </c>
    </row>
    <row r="156" spans="2:3">
      <c r="B156" s="171" t="s">
        <v>642</v>
      </c>
      <c r="C156" s="170">
        <v>3.7999999999999999E-2</v>
      </c>
    </row>
    <row r="157" spans="2:3">
      <c r="B157" s="171" t="s">
        <v>643</v>
      </c>
      <c r="C157" s="170">
        <v>0.77700000000000002</v>
      </c>
    </row>
    <row r="158" spans="2:3">
      <c r="B158" s="171" t="s">
        <v>644</v>
      </c>
      <c r="C158" s="170">
        <v>2.4E-2</v>
      </c>
    </row>
    <row r="159" spans="2:3">
      <c r="B159" s="171" t="s">
        <v>645</v>
      </c>
      <c r="C159" s="170">
        <v>0.32800000000000001</v>
      </c>
    </row>
    <row r="160" spans="2:3">
      <c r="B160" s="171" t="s">
        <v>646</v>
      </c>
      <c r="C160" s="170">
        <v>0.498</v>
      </c>
    </row>
    <row r="161" spans="2:3">
      <c r="B161" s="171" t="s">
        <v>647</v>
      </c>
      <c r="C161" s="170">
        <v>0.68799999999999994</v>
      </c>
    </row>
    <row r="162" spans="2:3">
      <c r="B162" s="171" t="s">
        <v>648</v>
      </c>
      <c r="C162" s="170">
        <v>0.10100000000000001</v>
      </c>
    </row>
    <row r="163" spans="2:3">
      <c r="B163" s="171" t="s">
        <v>649</v>
      </c>
      <c r="C163" s="170">
        <v>0.32800000000000001</v>
      </c>
    </row>
    <row r="164" spans="2:3">
      <c r="B164" s="171" t="s">
        <v>650</v>
      </c>
      <c r="C164" s="170">
        <v>0.80800000000000005</v>
      </c>
    </row>
    <row r="165" spans="2:3">
      <c r="B165" s="171" t="s">
        <v>651</v>
      </c>
      <c r="C165" s="170">
        <v>0.40899999999999997</v>
      </c>
    </row>
    <row r="166" spans="2:3">
      <c r="B166" s="171" t="s">
        <v>652</v>
      </c>
      <c r="C166" s="170">
        <v>0.77700000000000002</v>
      </c>
    </row>
    <row r="167" spans="2:3">
      <c r="B167" s="171" t="s">
        <v>653</v>
      </c>
      <c r="C167" s="170">
        <v>0.16200000000000001</v>
      </c>
    </row>
    <row r="168" spans="2:3">
      <c r="B168" s="171" t="s">
        <v>654</v>
      </c>
      <c r="C168" s="170">
        <v>0.81</v>
      </c>
    </row>
    <row r="169" spans="2:3">
      <c r="B169" s="171" t="s">
        <v>655</v>
      </c>
      <c r="C169" s="170">
        <v>0</v>
      </c>
    </row>
    <row r="170" spans="2:3">
      <c r="B170" s="171" t="s">
        <v>656</v>
      </c>
      <c r="C170" s="170">
        <v>0.499</v>
      </c>
    </row>
    <row r="171" spans="2:3">
      <c r="B171" s="171" t="s">
        <v>657</v>
      </c>
      <c r="C171" s="170">
        <v>0.47</v>
      </c>
    </row>
    <row r="172" spans="2:3">
      <c r="B172" s="171" t="s">
        <v>658</v>
      </c>
      <c r="C172" s="170">
        <v>0.77600000000000002</v>
      </c>
    </row>
    <row r="173" spans="2:3">
      <c r="B173" s="171" t="s">
        <v>659</v>
      </c>
      <c r="C173" s="170">
        <v>0.155</v>
      </c>
    </row>
    <row r="174" spans="2:3">
      <c r="B174" s="171" t="s">
        <v>660</v>
      </c>
      <c r="C174" s="170">
        <v>0.55400000000000005</v>
      </c>
    </row>
    <row r="175" spans="2:3">
      <c r="B175" s="171" t="s">
        <v>661</v>
      </c>
      <c r="C175" s="170">
        <v>2.8000000000000001E-2</v>
      </c>
    </row>
    <row r="176" spans="2:3">
      <c r="B176" s="171" t="s">
        <v>662</v>
      </c>
      <c r="C176" s="170">
        <v>0.2</v>
      </c>
    </row>
    <row r="177" spans="2:3">
      <c r="B177" s="171" t="s">
        <v>663</v>
      </c>
      <c r="C177" s="170">
        <v>0.70799999999999996</v>
      </c>
    </row>
    <row r="178" spans="2:3">
      <c r="B178" s="171" t="s">
        <v>664</v>
      </c>
      <c r="C178" s="170">
        <v>0.71</v>
      </c>
    </row>
    <row r="179" spans="2:3">
      <c r="B179" s="171" t="s">
        <v>665</v>
      </c>
      <c r="C179" s="170">
        <v>0.19800000000000001</v>
      </c>
    </row>
    <row r="180" spans="2:3">
      <c r="B180" s="171" t="s">
        <v>666</v>
      </c>
      <c r="C180" s="170">
        <v>0.59499999999999997</v>
      </c>
    </row>
    <row r="181" spans="2:3">
      <c r="B181" s="171" t="s">
        <v>667</v>
      </c>
      <c r="C181" s="170">
        <v>0.498</v>
      </c>
    </row>
    <row r="182" spans="2:3">
      <c r="B182" s="171" t="s">
        <v>668</v>
      </c>
      <c r="C182" s="170">
        <v>0.54</v>
      </c>
    </row>
    <row r="183" spans="2:3">
      <c r="B183" s="171" t="s">
        <v>669</v>
      </c>
      <c r="C183" s="170">
        <v>0.3</v>
      </c>
    </row>
    <row r="184" spans="2:3">
      <c r="B184" s="171" t="s">
        <v>670</v>
      </c>
      <c r="C184" s="170">
        <v>0.31</v>
      </c>
    </row>
    <row r="185" spans="2:3">
      <c r="B185" s="171" t="s">
        <v>671</v>
      </c>
      <c r="C185" s="170">
        <v>0.312</v>
      </c>
    </row>
    <row r="186" spans="2:3">
      <c r="B186" s="171" t="s">
        <v>672</v>
      </c>
      <c r="C186" s="170">
        <v>0.77700000000000002</v>
      </c>
    </row>
    <row r="187" spans="2:3">
      <c r="B187" s="171" t="s">
        <v>673</v>
      </c>
      <c r="C187" s="170">
        <v>0.747</v>
      </c>
    </row>
    <row r="188" spans="2:3">
      <c r="B188" s="171" t="s">
        <v>674</v>
      </c>
      <c r="C188" s="170">
        <v>0.77</v>
      </c>
    </row>
    <row r="189" spans="2:3">
      <c r="B189" s="171" t="s">
        <v>675</v>
      </c>
      <c r="C189" s="170">
        <v>0.77700000000000002</v>
      </c>
    </row>
    <row r="190" spans="2:3">
      <c r="B190" s="171" t="s">
        <v>676</v>
      </c>
      <c r="C190" s="170">
        <v>0.64400000000000002</v>
      </c>
    </row>
    <row r="191" spans="2:3">
      <c r="B191" s="171" t="s">
        <v>677</v>
      </c>
      <c r="C191" s="170">
        <v>0.51800000000000002</v>
      </c>
    </row>
    <row r="192" spans="2:3">
      <c r="B192" s="171" t="s">
        <v>678</v>
      </c>
      <c r="C192" s="170">
        <v>0.72099999999999997</v>
      </c>
    </row>
    <row r="193" spans="2:3">
      <c r="B193" s="171" t="s">
        <v>679</v>
      </c>
      <c r="C193" s="170">
        <v>0.50600000000000001</v>
      </c>
    </row>
    <row r="194" spans="2:3">
      <c r="B194" s="171" t="s">
        <v>680</v>
      </c>
      <c r="C194" s="170">
        <v>0.69399999999999995</v>
      </c>
    </row>
    <row r="195" spans="2:3">
      <c r="B195" s="171" t="s">
        <v>681</v>
      </c>
      <c r="C195" s="170">
        <v>0.745</v>
      </c>
    </row>
    <row r="196" spans="2:3">
      <c r="B196" s="171" t="s">
        <v>682</v>
      </c>
      <c r="C196" s="170">
        <v>0.76800000000000002</v>
      </c>
    </row>
    <row r="197" spans="2:3">
      <c r="B197" s="171" t="s">
        <v>683</v>
      </c>
      <c r="C197" s="170">
        <v>0.25800000000000001</v>
      </c>
    </row>
    <row r="198" spans="2:3">
      <c r="B198" s="171" t="s">
        <v>684</v>
      </c>
      <c r="C198" s="170">
        <v>0.56899999999999995</v>
      </c>
    </row>
    <row r="199" spans="2:3">
      <c r="B199" s="171" t="s">
        <v>685</v>
      </c>
      <c r="C199" s="170">
        <v>0.10199999999999999</v>
      </c>
    </row>
    <row r="200" spans="2:3">
      <c r="B200" s="171" t="s">
        <v>686</v>
      </c>
      <c r="C200" s="170">
        <v>0.218</v>
      </c>
    </row>
    <row r="201" spans="2:3">
      <c r="B201" s="171" t="s">
        <v>687</v>
      </c>
      <c r="C201" s="170">
        <v>0.745</v>
      </c>
    </row>
    <row r="202" spans="2:3">
      <c r="B202" s="171" t="s">
        <v>688</v>
      </c>
      <c r="C202" s="170">
        <v>0.73899999999999999</v>
      </c>
    </row>
    <row r="203" spans="2:3">
      <c r="B203" s="171" t="s">
        <v>689</v>
      </c>
      <c r="C203" s="170">
        <v>0.90100000000000002</v>
      </c>
    </row>
    <row r="204" spans="2:3">
      <c r="B204" s="171" t="s">
        <v>690</v>
      </c>
      <c r="C204" s="170">
        <v>0.41599999999999998</v>
      </c>
    </row>
    <row r="205" spans="2:3">
      <c r="B205" s="171" t="s">
        <v>691</v>
      </c>
      <c r="C205" s="170">
        <v>0.77200000000000002</v>
      </c>
    </row>
    <row r="206" spans="2:3">
      <c r="B206" s="171" t="s">
        <v>692</v>
      </c>
      <c r="C206" s="170">
        <v>0.156</v>
      </c>
    </row>
    <row r="207" spans="2:3">
      <c r="B207" s="171" t="s">
        <v>693</v>
      </c>
      <c r="C207" s="170">
        <v>0.49299999999999999</v>
      </c>
    </row>
    <row r="208" spans="2:3">
      <c r="B208" s="171" t="s">
        <v>694</v>
      </c>
      <c r="C208" s="170">
        <v>0.29699999999999999</v>
      </c>
    </row>
    <row r="209" spans="2:3">
      <c r="B209" s="171" t="s">
        <v>695</v>
      </c>
      <c r="C209" s="170">
        <v>0.30199999999999999</v>
      </c>
    </row>
    <row r="210" spans="2:3">
      <c r="B210" s="171" t="s">
        <v>696</v>
      </c>
      <c r="C210" s="170">
        <v>8.9999999999999993E-3</v>
      </c>
    </row>
    <row r="211" spans="2:3">
      <c r="B211" s="171" t="s">
        <v>697</v>
      </c>
      <c r="C211" s="170">
        <v>3.6999999999999998E-2</v>
      </c>
    </row>
    <row r="212" spans="2:3">
      <c r="B212" s="171" t="s">
        <v>698</v>
      </c>
      <c r="C212" s="170">
        <v>0.61899999999999999</v>
      </c>
    </row>
    <row r="213" spans="2:3">
      <c r="B213" s="171" t="s">
        <v>699</v>
      </c>
      <c r="C213" s="170">
        <v>0.67200000000000004</v>
      </c>
    </row>
    <row r="214" spans="2:3">
      <c r="B214" s="171" t="s">
        <v>700</v>
      </c>
      <c r="C214" s="170">
        <v>7.8E-2</v>
      </c>
    </row>
    <row r="215" spans="2:3">
      <c r="B215" s="171" t="s">
        <v>701</v>
      </c>
      <c r="C215" s="170">
        <v>0.38</v>
      </c>
    </row>
    <row r="216" spans="2:3">
      <c r="B216" s="171" t="s">
        <v>702</v>
      </c>
      <c r="C216" s="170">
        <v>0.54700000000000004</v>
      </c>
    </row>
    <row r="217" spans="2:3">
      <c r="B217" s="171" t="s">
        <v>703</v>
      </c>
      <c r="C217" s="170">
        <v>0.77500000000000002</v>
      </c>
    </row>
    <row r="218" spans="2:3">
      <c r="B218" s="171" t="s">
        <v>704</v>
      </c>
      <c r="C218" s="170">
        <v>0.71</v>
      </c>
    </row>
    <row r="219" spans="2:3">
      <c r="B219" s="171" t="s">
        <v>705</v>
      </c>
      <c r="C219" s="170">
        <v>0.77700000000000002</v>
      </c>
    </row>
    <row r="220" spans="2:3">
      <c r="B220" s="171" t="s">
        <v>706</v>
      </c>
      <c r="C220" s="170">
        <v>0.53400000000000003</v>
      </c>
    </row>
    <row r="221" spans="2:3">
      <c r="B221" s="171" t="s">
        <v>707</v>
      </c>
      <c r="C221" s="170">
        <v>0.48</v>
      </c>
    </row>
    <row r="222" spans="2:3">
      <c r="B222" s="171" t="s">
        <v>708</v>
      </c>
      <c r="C222" s="170">
        <v>0.375</v>
      </c>
    </row>
    <row r="223" spans="2:3">
      <c r="B223" s="171" t="s">
        <v>709</v>
      </c>
      <c r="C223" s="170">
        <v>0.68200000000000005</v>
      </c>
    </row>
    <row r="224" spans="2:3">
      <c r="B224" s="171" t="s">
        <v>710</v>
      </c>
      <c r="C224" s="170">
        <v>0.77700000000000002</v>
      </c>
    </row>
    <row r="225" spans="2:3">
      <c r="B225" s="171" t="s">
        <v>711</v>
      </c>
      <c r="C225" s="170">
        <v>0.77700000000000002</v>
      </c>
    </row>
    <row r="226" spans="2:3">
      <c r="B226" s="171" t="s">
        <v>712</v>
      </c>
      <c r="C226" s="170">
        <v>0.76700000000000002</v>
      </c>
    </row>
    <row r="227" spans="2:3">
      <c r="B227" s="171" t="s">
        <v>713</v>
      </c>
      <c r="C227" s="170">
        <v>0.09</v>
      </c>
    </row>
    <row r="228" spans="2:3">
      <c r="B228" s="171" t="s">
        <v>714</v>
      </c>
      <c r="C228" s="170">
        <v>0.35699999999999998</v>
      </c>
    </row>
    <row r="229" spans="2:3">
      <c r="B229" s="171" t="s">
        <v>715</v>
      </c>
      <c r="C229" s="170">
        <v>0.53</v>
      </c>
    </row>
    <row r="230" spans="2:3">
      <c r="B230" s="171" t="s">
        <v>716</v>
      </c>
      <c r="C230" s="170">
        <v>0.22500000000000001</v>
      </c>
    </row>
    <row r="231" spans="2:3">
      <c r="B231" s="171" t="s">
        <v>717</v>
      </c>
      <c r="C231" s="170">
        <v>0.40300000000000002</v>
      </c>
    </row>
    <row r="232" spans="2:3">
      <c r="B232" s="234" t="s">
        <v>718</v>
      </c>
      <c r="C232" s="57">
        <v>0.50800000000000001</v>
      </c>
    </row>
    <row r="233" spans="2:3">
      <c r="B233" s="234" t="s">
        <v>719</v>
      </c>
      <c r="C233" s="57">
        <v>0.25</v>
      </c>
    </row>
    <row r="234" spans="2:3">
      <c r="B234" s="234" t="s">
        <v>720</v>
      </c>
      <c r="C234" s="57">
        <v>0.434</v>
      </c>
    </row>
    <row r="235" spans="2:3">
      <c r="B235" s="234" t="s">
        <v>721</v>
      </c>
      <c r="C235" s="57">
        <v>0.20599999999999999</v>
      </c>
    </row>
    <row r="236" spans="2:3">
      <c r="B236" s="234" t="s">
        <v>722</v>
      </c>
      <c r="C236" s="57">
        <v>0.39600000000000002</v>
      </c>
    </row>
    <row r="237" spans="2:3">
      <c r="B237" s="234" t="s">
        <v>723</v>
      </c>
      <c r="C237" s="57">
        <v>0.39200000000000002</v>
      </c>
    </row>
    <row r="238" spans="2:3">
      <c r="B238" s="234" t="s">
        <v>724</v>
      </c>
      <c r="C238" s="57">
        <v>0.54200000000000004</v>
      </c>
    </row>
    <row r="239" spans="2:3">
      <c r="B239" s="234" t="s">
        <v>725</v>
      </c>
      <c r="C239" s="57">
        <v>0.77400000000000002</v>
      </c>
    </row>
    <row r="240" spans="2:3">
      <c r="B240" s="234" t="s">
        <v>726</v>
      </c>
      <c r="C240" s="57">
        <v>0.68600000000000005</v>
      </c>
    </row>
    <row r="241" spans="2:4">
      <c r="B241" s="234" t="s">
        <v>727</v>
      </c>
      <c r="C241" s="57">
        <v>0.502</v>
      </c>
      <c r="D241" s="234"/>
    </row>
    <row r="242" spans="2:4">
      <c r="B242" s="234" t="s">
        <v>728</v>
      </c>
      <c r="C242" s="57">
        <v>0.224</v>
      </c>
      <c r="D242" s="234"/>
    </row>
    <row r="243" spans="2:4">
      <c r="B243" s="234" t="s">
        <v>729</v>
      </c>
      <c r="C243" s="57">
        <v>0.32700000000000001</v>
      </c>
      <c r="D243" s="234"/>
    </row>
    <row r="244" spans="2:4">
      <c r="B244" s="234" t="s">
        <v>730</v>
      </c>
      <c r="C244" s="57">
        <v>0.252</v>
      </c>
      <c r="D244" s="234"/>
    </row>
    <row r="245" spans="2:4">
      <c r="B245" s="234" t="s">
        <v>731</v>
      </c>
      <c r="C245" s="57">
        <v>0.55300000000000005</v>
      </c>
      <c r="D245" s="234"/>
    </row>
    <row r="246" spans="2:4">
      <c r="B246" s="234" t="s">
        <v>732</v>
      </c>
      <c r="C246" s="57">
        <v>0.106</v>
      </c>
      <c r="D246" s="234"/>
    </row>
    <row r="247" spans="2:4">
      <c r="B247" s="234" t="s">
        <v>733</v>
      </c>
      <c r="C247" s="57">
        <v>0.7</v>
      </c>
      <c r="D247" s="234"/>
    </row>
    <row r="248" spans="2:4">
      <c r="B248" s="234" t="s">
        <v>734</v>
      </c>
      <c r="C248" s="57">
        <v>0.317</v>
      </c>
      <c r="D248" s="234"/>
    </row>
    <row r="249" spans="2:4">
      <c r="B249" s="234" t="s">
        <v>735</v>
      </c>
      <c r="C249" s="57">
        <v>0.54300000000000004</v>
      </c>
      <c r="D249" s="234"/>
    </row>
    <row r="250" spans="2:4">
      <c r="B250" s="234" t="s">
        <v>736</v>
      </c>
      <c r="C250" s="57">
        <v>0.48699999999999999</v>
      </c>
      <c r="D250" s="234"/>
    </row>
    <row r="251" spans="2:4">
      <c r="B251" s="234" t="s">
        <v>737</v>
      </c>
      <c r="C251" s="57">
        <v>0.56699999999999995</v>
      </c>
      <c r="D251" s="234"/>
    </row>
    <row r="252" spans="2:4">
      <c r="B252" s="234" t="s">
        <v>738</v>
      </c>
      <c r="C252" s="57">
        <v>0.48899999999999999</v>
      </c>
      <c r="D252" s="234"/>
    </row>
    <row r="253" spans="2:4">
      <c r="B253" s="234" t="s">
        <v>739</v>
      </c>
      <c r="C253" s="57">
        <v>0.45700000000000002</v>
      </c>
      <c r="D253" s="234"/>
    </row>
    <row r="254" spans="2:4">
      <c r="B254" s="234" t="s">
        <v>740</v>
      </c>
      <c r="C254" s="57">
        <v>0.36699999999999999</v>
      </c>
      <c r="D254" s="234"/>
    </row>
    <row r="255" spans="2:4">
      <c r="B255" s="234" t="s">
        <v>741</v>
      </c>
      <c r="C255" s="57">
        <v>0.72399999999999998</v>
      </c>
      <c r="D255" s="234"/>
    </row>
    <row r="256" spans="2:4">
      <c r="B256" s="234" t="s">
        <v>742</v>
      </c>
      <c r="C256" s="57">
        <v>0.442</v>
      </c>
      <c r="D256" s="234"/>
    </row>
    <row r="257" spans="2:4">
      <c r="B257" s="234" t="s">
        <v>743</v>
      </c>
      <c r="C257" s="57">
        <v>0.434</v>
      </c>
      <c r="D257" s="234"/>
    </row>
    <row r="258" spans="2:4">
      <c r="B258" s="234" t="s">
        <v>744</v>
      </c>
      <c r="C258" s="57">
        <v>0.308</v>
      </c>
      <c r="D258" s="243"/>
    </row>
    <row r="259" spans="2:4">
      <c r="B259" s="171" t="s">
        <v>745</v>
      </c>
      <c r="C259" s="170">
        <v>0.10100000000000001</v>
      </c>
      <c r="D259" s="243"/>
    </row>
    <row r="260" spans="2:4">
      <c r="B260" s="171" t="s">
        <v>746</v>
      </c>
      <c r="C260" s="170">
        <v>0.57499999999999996</v>
      </c>
      <c r="D260" s="243"/>
    </row>
    <row r="261" spans="2:4">
      <c r="B261" s="171" t="s">
        <v>747</v>
      </c>
      <c r="C261" s="170">
        <v>0.67300000000000004</v>
      </c>
      <c r="D261" s="243"/>
    </row>
    <row r="262" spans="2:4">
      <c r="B262" s="171" t="s">
        <v>748</v>
      </c>
      <c r="C262" s="170">
        <v>0.221</v>
      </c>
      <c r="D262" s="243"/>
    </row>
    <row r="263" spans="2:4">
      <c r="B263" s="171" t="s">
        <v>749</v>
      </c>
      <c r="C263" s="170">
        <v>0.64700000000000002</v>
      </c>
      <c r="D263" s="243"/>
    </row>
    <row r="264" spans="2:4">
      <c r="B264" s="171" t="s">
        <v>750</v>
      </c>
      <c r="C264" s="170">
        <v>0.51600000000000001</v>
      </c>
      <c r="D264" s="243"/>
    </row>
    <row r="265" spans="2:4">
      <c r="B265" s="173" t="s">
        <v>751</v>
      </c>
      <c r="C265" s="170">
        <v>0.54100000000000004</v>
      </c>
      <c r="D265" s="243"/>
    </row>
    <row r="266" spans="2:4">
      <c r="B266" s="173" t="s">
        <v>752</v>
      </c>
      <c r="C266" s="57">
        <v>0.192</v>
      </c>
      <c r="D266" s="243"/>
    </row>
    <row r="267" spans="2:4">
      <c r="B267" s="171" t="s">
        <v>753</v>
      </c>
      <c r="C267" s="57">
        <v>0.46200000000000002</v>
      </c>
      <c r="D267" s="243"/>
    </row>
    <row r="268" spans="2:4">
      <c r="B268" s="234"/>
      <c r="C268" s="234"/>
      <c r="D268" s="243"/>
    </row>
    <row r="269" spans="2:4">
      <c r="B269" s="234"/>
      <c r="C269" s="234"/>
      <c r="D269" s="243"/>
    </row>
    <row r="270" spans="2:4">
      <c r="B270" s="234"/>
      <c r="C270" s="234"/>
      <c r="D270" s="243"/>
    </row>
    <row r="271" spans="2:4">
      <c r="B271" s="234"/>
      <c r="C271" s="57"/>
      <c r="D271" s="243"/>
    </row>
    <row r="272" spans="2:4">
      <c r="B272" s="234"/>
      <c r="C272" s="57"/>
      <c r="D272" s="243"/>
    </row>
    <row r="273" spans="2:4">
      <c r="B273" s="234"/>
      <c r="C273" s="242"/>
      <c r="D273" s="243"/>
    </row>
    <row r="274" spans="2:4">
      <c r="B274" s="234"/>
      <c r="C274" s="242"/>
      <c r="D274" s="243"/>
    </row>
    <row r="275" spans="2:4">
      <c r="B275" s="234"/>
      <c r="C275" s="243"/>
      <c r="D275" s="243"/>
    </row>
  </sheetData>
  <phoneticPr fontId="24" type="noConversion"/>
  <hyperlinks>
    <hyperlink ref="Y27" r:id="rId1" xr:uid="{91B27DFB-4D40-4C94-A544-86A27686417E}"/>
  </hyperlinks>
  <pageMargins left="0.7" right="0.7" top="0.75" bottom="0.75" header="0.3" footer="0.3"/>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8D927-2A0E-7840-9711-F29254A522FF}">
  <dimension ref="A1:BZ108"/>
  <sheetViews>
    <sheetView showGridLines="0" zoomScaleNormal="100" workbookViewId="0">
      <selection activeCell="D109" sqref="D109"/>
    </sheetView>
  </sheetViews>
  <sheetFormatPr defaultColWidth="19.28515625" defaultRowHeight="15.2"/>
  <cols>
    <col min="1" max="1" width="33" style="79" customWidth="1"/>
    <col min="2" max="2" width="16.28515625" style="79" customWidth="1"/>
    <col min="3" max="3" width="12.140625" style="79" customWidth="1"/>
    <col min="4" max="4" width="20.140625" style="80" bestFit="1" customWidth="1"/>
    <col min="5" max="5" width="17.85546875" style="79" customWidth="1"/>
    <col min="6" max="6" width="18.85546875" style="79" bestFit="1" customWidth="1"/>
    <col min="7" max="7" width="15.7109375" style="79" customWidth="1"/>
    <col min="8" max="8" width="14" style="79" customWidth="1"/>
    <col min="9" max="9" width="25.85546875" style="79" customWidth="1"/>
    <col min="10" max="10" width="23.5703125" style="79" customWidth="1"/>
    <col min="11" max="11" width="10" style="79" customWidth="1"/>
    <col min="12" max="13" width="19.28515625" style="79"/>
    <col min="14" max="14" width="19.42578125" style="79" customWidth="1"/>
    <col min="15" max="16384" width="19.28515625" style="79"/>
  </cols>
  <sheetData>
    <row r="1" spans="1:11" s="89" customFormat="1" ht="21">
      <c r="A1" s="77" t="s">
        <v>754</v>
      </c>
      <c r="D1" s="90"/>
    </row>
    <row r="2" spans="1:11" s="89" customFormat="1" ht="21">
      <c r="A2" s="77"/>
      <c r="J2" s="81" t="s">
        <v>1</v>
      </c>
      <c r="K2" s="79"/>
    </row>
    <row r="3" spans="1:11" ht="15.6">
      <c r="A3" s="78"/>
      <c r="D3" s="79"/>
      <c r="J3" s="86" t="s">
        <v>3</v>
      </c>
      <c r="K3" s="99"/>
    </row>
    <row r="4" spans="1:11" ht="16.350000000000001" thickBot="1">
      <c r="A4" s="78"/>
      <c r="B4" s="110"/>
      <c r="C4" s="110"/>
      <c r="D4" s="110"/>
      <c r="E4" s="110"/>
      <c r="F4" s="110"/>
      <c r="G4" s="110"/>
      <c r="H4" s="110"/>
      <c r="J4" s="86" t="s">
        <v>5</v>
      </c>
      <c r="K4" s="199"/>
    </row>
    <row r="5" spans="1:11" ht="16.350000000000001" thickTop="1">
      <c r="B5" s="78" t="s">
        <v>755</v>
      </c>
      <c r="J5" s="86" t="s">
        <v>756</v>
      </c>
      <c r="K5" s="224"/>
    </row>
    <row r="6" spans="1:11" ht="15.6">
      <c r="B6" s="78"/>
    </row>
    <row r="7" spans="1:11" ht="62.85" thickBot="1">
      <c r="B7" s="91" t="s">
        <v>757</v>
      </c>
      <c r="C7" s="92" t="s">
        <v>30</v>
      </c>
      <c r="D7" s="93" t="s">
        <v>758</v>
      </c>
      <c r="E7" s="92" t="s">
        <v>759</v>
      </c>
      <c r="F7" s="92" t="s">
        <v>760</v>
      </c>
      <c r="G7" s="92" t="s">
        <v>761</v>
      </c>
      <c r="H7" s="92" t="s">
        <v>762</v>
      </c>
      <c r="J7" s="106" t="s">
        <v>763</v>
      </c>
    </row>
    <row r="8" spans="1:11" ht="30.6">
      <c r="B8" s="82" t="s">
        <v>299</v>
      </c>
      <c r="C8" s="83" t="s">
        <v>86</v>
      </c>
      <c r="D8" s="84">
        <v>50</v>
      </c>
      <c r="E8" s="85">
        <f>'Default EF'!G64</f>
        <v>0.82</v>
      </c>
      <c r="F8" s="83" t="s">
        <v>545</v>
      </c>
      <c r="G8" s="645">
        <v>100</v>
      </c>
      <c r="H8" s="645">
        <v>50</v>
      </c>
      <c r="J8" s="104" t="s">
        <v>764</v>
      </c>
    </row>
    <row r="9" spans="1:11" ht="30.6">
      <c r="B9" s="82" t="s">
        <v>765</v>
      </c>
      <c r="C9" s="83" t="s">
        <v>86</v>
      </c>
      <c r="D9" s="84">
        <v>100</v>
      </c>
      <c r="E9" s="85">
        <f>'Default EF'!G65</f>
        <v>0.49</v>
      </c>
      <c r="F9" s="83" t="s">
        <v>545</v>
      </c>
      <c r="G9" s="645"/>
      <c r="H9" s="645"/>
      <c r="J9" s="227">
        <f>(SUMPRODUCT(D8:D16,E8:E16)*(G8/C19)/(G8/C19+H8/C20))/G8</f>
        <v>0.67612533333333336</v>
      </c>
    </row>
    <row r="10" spans="1:11" ht="30.6">
      <c r="B10" s="82" t="s">
        <v>301</v>
      </c>
      <c r="C10" s="83" t="s">
        <v>86</v>
      </c>
      <c r="D10" s="84">
        <v>80</v>
      </c>
      <c r="E10" s="395">
        <f>'Default EF'!G67</f>
        <v>0.65500000000000003</v>
      </c>
      <c r="F10" s="83" t="s">
        <v>545</v>
      </c>
      <c r="G10" s="645"/>
      <c r="H10" s="645"/>
      <c r="J10" s="104" t="s">
        <v>766</v>
      </c>
    </row>
    <row r="11" spans="1:11" ht="30.6">
      <c r="B11" s="82" t="s">
        <v>302</v>
      </c>
      <c r="C11" s="83" t="s">
        <v>86</v>
      </c>
      <c r="D11" s="84">
        <v>75</v>
      </c>
      <c r="E11" s="395">
        <f>'Default EF'!G68</f>
        <v>1.2E-2</v>
      </c>
      <c r="F11" s="83" t="s">
        <v>545</v>
      </c>
      <c r="G11" s="645"/>
      <c r="H11" s="645"/>
      <c r="J11" s="227">
        <f>(SUMPRODUCT(D8:D16,E8:E16)*(H8/C20)/(G8/C19+H8/C20))/H8</f>
        <v>1.5454293333333333</v>
      </c>
    </row>
    <row r="12" spans="1:11" ht="30.6">
      <c r="B12" s="82" t="s">
        <v>303</v>
      </c>
      <c r="C12" s="83" t="s">
        <v>86</v>
      </c>
      <c r="D12" s="84">
        <v>66</v>
      </c>
      <c r="E12" s="395">
        <f>'Default EF'!G69</f>
        <v>2.4E-2</v>
      </c>
      <c r="F12" s="83" t="s">
        <v>545</v>
      </c>
      <c r="G12" s="645"/>
      <c r="H12" s="645"/>
      <c r="J12" s="105" t="s">
        <v>767</v>
      </c>
    </row>
    <row r="13" spans="1:11" ht="31.35" thickBot="1">
      <c r="B13" s="82" t="s">
        <v>304</v>
      </c>
      <c r="C13" s="83" t="s">
        <v>86</v>
      </c>
      <c r="D13" s="84"/>
      <c r="E13" s="395">
        <f>'Default EF'!G70</f>
        <v>1.0999999999999999E-2</v>
      </c>
      <c r="F13" s="83" t="s">
        <v>545</v>
      </c>
      <c r="G13" s="645"/>
      <c r="H13" s="645"/>
      <c r="J13" s="228" t="str">
        <f>IF(SUM(D8:D16)&gt;(G8/C19+H8/C20), "Pass", "Not Pass, Check input values")</f>
        <v>Pass</v>
      </c>
    </row>
    <row r="14" spans="1:11" ht="30.6">
      <c r="B14" s="82" t="s">
        <v>305</v>
      </c>
      <c r="C14" s="83" t="s">
        <v>86</v>
      </c>
      <c r="D14" s="84"/>
      <c r="E14" s="395">
        <f>'Default EF'!G71</f>
        <v>4.8000000000000001E-2</v>
      </c>
      <c r="F14" s="83" t="s">
        <v>545</v>
      </c>
      <c r="G14" s="645"/>
      <c r="H14" s="645"/>
    </row>
    <row r="15" spans="1:11" ht="30.6">
      <c r="B15" s="82" t="s">
        <v>306</v>
      </c>
      <c r="C15" s="83" t="s">
        <v>86</v>
      </c>
      <c r="D15" s="84"/>
      <c r="E15" s="395">
        <f>'Default EF'!G72</f>
        <v>0.23</v>
      </c>
      <c r="F15" s="83" t="s">
        <v>545</v>
      </c>
      <c r="G15" s="645"/>
      <c r="H15" s="645"/>
    </row>
    <row r="16" spans="1:11" ht="31.35" thickBot="1">
      <c r="B16" s="94" t="s">
        <v>307</v>
      </c>
      <c r="C16" s="95" t="s">
        <v>86</v>
      </c>
      <c r="D16" s="96"/>
      <c r="E16" s="395">
        <f>'Default EF'!G73</f>
        <v>6.4200000000000007E-2</v>
      </c>
      <c r="F16" s="95" t="s">
        <v>545</v>
      </c>
      <c r="G16" s="646"/>
      <c r="H16" s="646"/>
    </row>
    <row r="17" spans="2:14">
      <c r="B17" s="82"/>
      <c r="C17" s="83"/>
      <c r="E17" s="85"/>
      <c r="F17" s="83"/>
      <c r="G17" s="86"/>
      <c r="H17" s="86"/>
    </row>
    <row r="18" spans="2:14" ht="31.7" thickBot="1">
      <c r="B18" s="91" t="s">
        <v>768</v>
      </c>
      <c r="C18" s="92" t="s">
        <v>769</v>
      </c>
      <c r="D18" s="92" t="s">
        <v>770</v>
      </c>
      <c r="E18" s="87"/>
      <c r="G18" s="101" t="s">
        <v>771</v>
      </c>
      <c r="N18" s="109"/>
    </row>
    <row r="19" spans="2:14">
      <c r="B19" s="80" t="s">
        <v>772</v>
      </c>
      <c r="C19" s="225">
        <v>0.8</v>
      </c>
      <c r="D19" s="84"/>
      <c r="E19" s="87"/>
      <c r="G19" s="79" t="s">
        <v>773</v>
      </c>
    </row>
    <row r="20" spans="2:14" ht="15.95" thickBot="1">
      <c r="B20" s="100" t="s">
        <v>774</v>
      </c>
      <c r="C20" s="226">
        <v>0.35</v>
      </c>
      <c r="D20" s="96"/>
      <c r="E20" s="87"/>
      <c r="G20" s="79" t="s">
        <v>775</v>
      </c>
    </row>
    <row r="21" spans="2:14">
      <c r="B21" s="80"/>
      <c r="E21" s="87"/>
      <c r="G21" s="79" t="s">
        <v>776</v>
      </c>
    </row>
    <row r="22" spans="2:14">
      <c r="D22" s="79"/>
      <c r="E22" s="80"/>
    </row>
    <row r="23" spans="2:14">
      <c r="D23" s="79"/>
      <c r="E23" s="80"/>
    </row>
    <row r="25" spans="2:14" ht="15.95" thickBot="1">
      <c r="B25" s="110"/>
      <c r="C25" s="110"/>
      <c r="D25" s="111"/>
      <c r="E25" s="110"/>
      <c r="F25" s="110"/>
      <c r="G25" s="110"/>
      <c r="H25" s="110"/>
      <c r="I25" s="110"/>
      <c r="J25" s="110"/>
      <c r="K25" s="110"/>
      <c r="L25" s="110"/>
    </row>
    <row r="26" spans="2:14" ht="17.25" customHeight="1" thickTop="1"/>
    <row r="27" spans="2:14" ht="15.75">
      <c r="B27" s="107" t="s">
        <v>777</v>
      </c>
      <c r="L27"/>
    </row>
    <row r="28" spans="2:14" ht="49.7" thickBot="1">
      <c r="B28" s="97" t="s">
        <v>757</v>
      </c>
      <c r="C28" s="92" t="s">
        <v>30</v>
      </c>
      <c r="D28" s="93" t="s">
        <v>778</v>
      </c>
      <c r="E28" s="92" t="s">
        <v>759</v>
      </c>
      <c r="F28" s="92" t="s">
        <v>760</v>
      </c>
      <c r="N28" s="108"/>
    </row>
    <row r="29" spans="2:14" ht="30.6">
      <c r="B29" s="82" t="s">
        <v>299</v>
      </c>
      <c r="C29" s="83" t="s">
        <v>86</v>
      </c>
      <c r="D29" s="88">
        <v>0.26</v>
      </c>
      <c r="E29" s="85">
        <f>'Default EF'!G64</f>
        <v>0.82</v>
      </c>
      <c r="F29" s="83" t="s">
        <v>545</v>
      </c>
      <c r="I29" s="102"/>
    </row>
    <row r="30" spans="2:14" ht="30.6">
      <c r="B30" s="82" t="s">
        <v>765</v>
      </c>
      <c r="C30" s="83" t="s">
        <v>86</v>
      </c>
      <c r="D30" s="88">
        <v>0.38</v>
      </c>
      <c r="E30" s="85">
        <f>'Default EF'!G65</f>
        <v>0.49</v>
      </c>
      <c r="F30" s="83" t="s">
        <v>545</v>
      </c>
      <c r="I30" s="103"/>
    </row>
    <row r="31" spans="2:14" ht="30.6">
      <c r="B31" s="82" t="s">
        <v>301</v>
      </c>
      <c r="C31" s="83" t="s">
        <v>86</v>
      </c>
      <c r="D31" s="88"/>
      <c r="E31" s="395">
        <f>'Default EF'!G67</f>
        <v>0.65500000000000003</v>
      </c>
      <c r="F31" s="83" t="s">
        <v>545</v>
      </c>
    </row>
    <row r="32" spans="2:14" ht="30.6">
      <c r="B32" s="82" t="s">
        <v>302</v>
      </c>
      <c r="C32" s="83" t="s">
        <v>86</v>
      </c>
      <c r="D32" s="88">
        <v>0.25</v>
      </c>
      <c r="E32" s="395">
        <f>'Default EF'!G68</f>
        <v>1.2E-2</v>
      </c>
      <c r="F32" s="83" t="s">
        <v>545</v>
      </c>
    </row>
    <row r="33" spans="2:12" ht="31.35" thickBot="1">
      <c r="B33" s="82" t="s">
        <v>303</v>
      </c>
      <c r="C33" s="83" t="s">
        <v>86</v>
      </c>
      <c r="D33" s="88"/>
      <c r="E33" s="395">
        <f>'Default EF'!G69</f>
        <v>2.4E-2</v>
      </c>
      <c r="F33" s="83" t="s">
        <v>545</v>
      </c>
      <c r="J33" s="106" t="s">
        <v>763</v>
      </c>
    </row>
    <row r="34" spans="2:12" ht="31.5" customHeight="1">
      <c r="B34" s="82" t="s">
        <v>304</v>
      </c>
      <c r="C34" s="83" t="s">
        <v>86</v>
      </c>
      <c r="D34" s="88"/>
      <c r="E34" s="395">
        <f>'Default EF'!G70</f>
        <v>1.0999999999999999E-2</v>
      </c>
      <c r="F34" s="83" t="s">
        <v>545</v>
      </c>
      <c r="J34" s="104" t="s">
        <v>779</v>
      </c>
    </row>
    <row r="35" spans="2:12" ht="30.75" customHeight="1">
      <c r="B35" s="82" t="s">
        <v>305</v>
      </c>
      <c r="C35" s="83" t="s">
        <v>86</v>
      </c>
      <c r="D35" s="88"/>
      <c r="E35" s="395">
        <f>'Default EF'!G71</f>
        <v>4.8000000000000001E-2</v>
      </c>
      <c r="F35" s="83" t="s">
        <v>545</v>
      </c>
      <c r="J35" s="229">
        <f>SUMPRODUCT(D29:D37,E29:E37)</f>
        <v>0.42769999999999997</v>
      </c>
    </row>
    <row r="36" spans="2:12" ht="39" customHeight="1">
      <c r="B36" s="82" t="s">
        <v>306</v>
      </c>
      <c r="C36" s="83" t="s">
        <v>86</v>
      </c>
      <c r="D36" s="88">
        <v>0.11</v>
      </c>
      <c r="E36" s="395">
        <f>'Default EF'!G72</f>
        <v>0.23</v>
      </c>
      <c r="F36" s="83" t="s">
        <v>545</v>
      </c>
      <c r="J36" s="105" t="s">
        <v>780</v>
      </c>
    </row>
    <row r="37" spans="2:12" ht="30" customHeight="1" thickBot="1">
      <c r="B37" s="94" t="s">
        <v>307</v>
      </c>
      <c r="C37" s="95" t="s">
        <v>86</v>
      </c>
      <c r="D37" s="98"/>
      <c r="E37" s="395">
        <f>'Default EF'!G73</f>
        <v>6.4200000000000007E-2</v>
      </c>
      <c r="F37" s="95" t="s">
        <v>545</v>
      </c>
      <c r="J37" s="230" t="str">
        <f>IF(SUM(D29:D37)=100%, "Pass", "Not Pass, Check Power Mix Input")</f>
        <v>Pass</v>
      </c>
    </row>
    <row r="38" spans="2:12" ht="17.25" customHeight="1">
      <c r="B38" s="82"/>
      <c r="C38" s="83"/>
      <c r="D38" s="112"/>
      <c r="E38" s="85"/>
      <c r="F38" s="83"/>
      <c r="J38" s="113"/>
    </row>
    <row r="39" spans="2:12" ht="17.25" customHeight="1">
      <c r="B39" s="82"/>
      <c r="C39" s="83"/>
      <c r="D39" s="112"/>
      <c r="E39" s="85"/>
      <c r="F39" s="83"/>
      <c r="J39" s="113"/>
    </row>
    <row r="40" spans="2:12" ht="15.95" thickBot="1">
      <c r="B40" s="110"/>
      <c r="C40" s="110"/>
      <c r="D40" s="111"/>
      <c r="E40" s="110"/>
      <c r="F40" s="110"/>
      <c r="G40" s="110"/>
      <c r="H40" s="110"/>
      <c r="I40" s="110"/>
      <c r="J40" s="110"/>
      <c r="K40" s="110"/>
      <c r="L40" s="110"/>
    </row>
    <row r="41" spans="2:12" ht="15.95" thickTop="1">
      <c r="D41" s="79"/>
    </row>
    <row r="42" spans="2:12" ht="15.6">
      <c r="B42" s="78" t="s">
        <v>781</v>
      </c>
      <c r="D42" s="79"/>
    </row>
    <row r="44" spans="2:12" s="115" customFormat="1" ht="48.75" thickBot="1">
      <c r="B44" s="116" t="s">
        <v>782</v>
      </c>
      <c r="C44" s="116" t="s">
        <v>30</v>
      </c>
      <c r="D44" s="116" t="s">
        <v>31</v>
      </c>
      <c r="E44" s="116" t="s">
        <v>783</v>
      </c>
      <c r="F44" s="116" t="s">
        <v>784</v>
      </c>
      <c r="G44" s="116" t="s">
        <v>785</v>
      </c>
      <c r="H44" s="116" t="s">
        <v>786</v>
      </c>
      <c r="I44" s="114"/>
      <c r="J44" s="106" t="s">
        <v>763</v>
      </c>
    </row>
    <row r="45" spans="2:12" ht="32.1">
      <c r="B45" s="235" t="s">
        <v>787</v>
      </c>
      <c r="C45" s="235" t="s">
        <v>86</v>
      </c>
      <c r="D45" s="236">
        <v>50</v>
      </c>
      <c r="E45" s="236"/>
      <c r="F45" s="235">
        <f>D45-E45</f>
        <v>50</v>
      </c>
      <c r="G45" s="643">
        <v>50</v>
      </c>
      <c r="H45" s="236">
        <v>0.8</v>
      </c>
      <c r="I45" s="235"/>
      <c r="J45" s="114" t="s">
        <v>788</v>
      </c>
    </row>
    <row r="46" spans="2:12" ht="15.95">
      <c r="B46" s="235" t="s">
        <v>789</v>
      </c>
      <c r="C46" s="235" t="s">
        <v>86</v>
      </c>
      <c r="D46" s="236">
        <v>100</v>
      </c>
      <c r="E46" s="236"/>
      <c r="F46" s="235">
        <f t="shared" ref="F46:F54" si="0">D46-E46</f>
        <v>100</v>
      </c>
      <c r="G46" s="643"/>
      <c r="H46" s="236">
        <v>0</v>
      </c>
      <c r="I46" s="235"/>
      <c r="J46" s="237">
        <f>SUMPRODUCT(F45:F54,H45:H54)/(SUM(F45:F54))</f>
        <v>0.5</v>
      </c>
    </row>
    <row r="47" spans="2:12" ht="15.95">
      <c r="B47" s="235" t="s">
        <v>790</v>
      </c>
      <c r="C47" s="235" t="s">
        <v>86</v>
      </c>
      <c r="D47" s="236">
        <v>150</v>
      </c>
      <c r="E47" s="236">
        <v>100</v>
      </c>
      <c r="F47" s="235">
        <f t="shared" si="0"/>
        <v>50</v>
      </c>
      <c r="G47" s="643"/>
      <c r="H47" s="236">
        <v>1.2</v>
      </c>
      <c r="I47" s="235"/>
      <c r="J47" s="117" t="s">
        <v>791</v>
      </c>
    </row>
    <row r="48" spans="2:12" ht="16.7" thickBot="1">
      <c r="B48" s="235" t="s">
        <v>792</v>
      </c>
      <c r="C48" s="235" t="s">
        <v>86</v>
      </c>
      <c r="D48" s="236"/>
      <c r="E48" s="236"/>
      <c r="F48" s="235">
        <f t="shared" si="0"/>
        <v>0</v>
      </c>
      <c r="G48" s="643"/>
      <c r="H48" s="236"/>
      <c r="I48" s="235"/>
      <c r="J48" s="238">
        <f>SUM(F45:F54)-G45</f>
        <v>150</v>
      </c>
    </row>
    <row r="49" spans="2:14" ht="15.95">
      <c r="B49" s="235" t="s">
        <v>793</v>
      </c>
      <c r="C49" s="235" t="s">
        <v>86</v>
      </c>
      <c r="D49" s="236"/>
      <c r="E49" s="236"/>
      <c r="F49" s="235">
        <f t="shared" si="0"/>
        <v>0</v>
      </c>
      <c r="G49" s="643"/>
      <c r="H49" s="236"/>
      <c r="I49" s="235"/>
      <c r="J49" s="235"/>
    </row>
    <row r="50" spans="2:14" ht="15.95">
      <c r="B50" s="235" t="s">
        <v>794</v>
      </c>
      <c r="C50" s="235" t="s">
        <v>86</v>
      </c>
      <c r="D50" s="236"/>
      <c r="E50" s="236"/>
      <c r="F50" s="235">
        <f t="shared" si="0"/>
        <v>0</v>
      </c>
      <c r="G50" s="643"/>
      <c r="H50" s="236"/>
      <c r="I50" s="235"/>
      <c r="J50" s="235"/>
    </row>
    <row r="51" spans="2:14" ht="15.95">
      <c r="B51" s="235" t="s">
        <v>795</v>
      </c>
      <c r="C51" s="235" t="s">
        <v>86</v>
      </c>
      <c r="D51" s="236"/>
      <c r="E51" s="236"/>
      <c r="F51" s="235">
        <f t="shared" si="0"/>
        <v>0</v>
      </c>
      <c r="G51" s="643"/>
      <c r="H51" s="236"/>
      <c r="I51" s="235"/>
      <c r="J51" s="235"/>
    </row>
    <row r="52" spans="2:14" ht="15.95">
      <c r="B52" s="235" t="s">
        <v>796</v>
      </c>
      <c r="C52" s="235" t="s">
        <v>86</v>
      </c>
      <c r="D52" s="236"/>
      <c r="E52" s="236"/>
      <c r="F52" s="235">
        <f t="shared" si="0"/>
        <v>0</v>
      </c>
      <c r="G52" s="643"/>
      <c r="H52" s="236"/>
      <c r="I52" s="235"/>
      <c r="J52" s="235"/>
    </row>
    <row r="53" spans="2:14" ht="15.95">
      <c r="B53" s="235" t="s">
        <v>797</v>
      </c>
      <c r="C53" s="235" t="s">
        <v>86</v>
      </c>
      <c r="D53" s="236"/>
      <c r="E53" s="236"/>
      <c r="F53" s="235">
        <f t="shared" si="0"/>
        <v>0</v>
      </c>
      <c r="G53" s="643"/>
      <c r="H53" s="236"/>
      <c r="I53" s="235"/>
      <c r="J53" s="235"/>
    </row>
    <row r="54" spans="2:14" ht="16.7" thickBot="1">
      <c r="B54" s="239" t="s">
        <v>798</v>
      </c>
      <c r="C54" s="239" t="s">
        <v>86</v>
      </c>
      <c r="D54" s="240"/>
      <c r="E54" s="240"/>
      <c r="F54" s="239">
        <f t="shared" si="0"/>
        <v>0</v>
      </c>
      <c r="G54" s="644"/>
      <c r="H54" s="240"/>
      <c r="I54" s="235"/>
      <c r="J54" s="235"/>
    </row>
    <row r="55" spans="2:14" ht="15.95">
      <c r="B55" s="118" t="s">
        <v>799</v>
      </c>
      <c r="C55" s="235"/>
      <c r="D55" s="235"/>
      <c r="E55" s="235"/>
      <c r="F55" s="235"/>
      <c r="G55" s="235"/>
      <c r="H55" s="235"/>
      <c r="I55" s="235"/>
      <c r="J55" s="235"/>
    </row>
    <row r="56" spans="2:14" ht="15.95">
      <c r="B56" s="235"/>
      <c r="C56" s="235"/>
      <c r="D56" s="235"/>
      <c r="E56" s="235"/>
      <c r="F56" s="235"/>
      <c r="G56" s="235"/>
      <c r="H56" s="235"/>
      <c r="I56" s="235"/>
      <c r="J56" s="235"/>
    </row>
    <row r="57" spans="2:14" ht="15.95">
      <c r="B57" s="241" t="s">
        <v>800</v>
      </c>
      <c r="C57" s="235"/>
      <c r="D57" s="235"/>
      <c r="E57" s="235"/>
      <c r="F57" s="235"/>
      <c r="G57" s="235"/>
      <c r="H57" s="235"/>
      <c r="I57" s="235"/>
      <c r="J57" s="235"/>
    </row>
    <row r="58" spans="2:14" ht="15.95">
      <c r="C58" s="235"/>
      <c r="D58" s="235"/>
      <c r="E58" s="235"/>
      <c r="F58" s="235"/>
      <c r="G58" s="235"/>
      <c r="H58" s="235"/>
      <c r="I58" s="235"/>
      <c r="J58" s="235"/>
    </row>
    <row r="60" spans="2:14" ht="17.25" customHeight="1"/>
    <row r="61" spans="2:14" ht="15.6">
      <c r="B61" s="107" t="s">
        <v>801</v>
      </c>
      <c r="J61" s="107" t="s">
        <v>802</v>
      </c>
      <c r="L61" s="80"/>
    </row>
    <row r="62" spans="2:14" ht="49.7" thickBot="1">
      <c r="B62" s="97" t="s">
        <v>757</v>
      </c>
      <c r="C62" s="92" t="s">
        <v>30</v>
      </c>
      <c r="D62" s="93" t="s">
        <v>778</v>
      </c>
      <c r="E62" s="92" t="s">
        <v>759</v>
      </c>
      <c r="F62" s="92" t="s">
        <v>760</v>
      </c>
      <c r="J62" s="97" t="s">
        <v>757</v>
      </c>
      <c r="K62" s="92" t="s">
        <v>30</v>
      </c>
      <c r="L62" s="93" t="s">
        <v>778</v>
      </c>
      <c r="M62" s="92" t="s">
        <v>759</v>
      </c>
      <c r="N62" s="92" t="s">
        <v>760</v>
      </c>
    </row>
    <row r="63" spans="2:14" ht="30.6">
      <c r="B63" s="82" t="s">
        <v>299</v>
      </c>
      <c r="C63" s="83" t="s">
        <v>86</v>
      </c>
      <c r="D63" s="88">
        <v>0.65</v>
      </c>
      <c r="E63" s="85">
        <f>'Default EF'!G64</f>
        <v>0.82</v>
      </c>
      <c r="F63" s="83" t="s">
        <v>545</v>
      </c>
      <c r="I63" s="102"/>
      <c r="J63" s="82" t="s">
        <v>299</v>
      </c>
      <c r="K63" s="83" t="s">
        <v>86</v>
      </c>
      <c r="L63" s="88">
        <v>0.65</v>
      </c>
      <c r="M63" s="395">
        <f>'Default EF'!G78</f>
        <v>5.6000000000000001E-2</v>
      </c>
      <c r="N63" s="83" t="s">
        <v>545</v>
      </c>
    </row>
    <row r="64" spans="2:14" ht="30.6">
      <c r="B64" s="82" t="s">
        <v>765</v>
      </c>
      <c r="C64" s="83" t="s">
        <v>86</v>
      </c>
      <c r="D64" s="88">
        <v>0.33</v>
      </c>
      <c r="E64" s="85">
        <f>'Default EF'!G65</f>
        <v>0.49</v>
      </c>
      <c r="F64" s="83" t="s">
        <v>545</v>
      </c>
      <c r="I64" s="103"/>
      <c r="J64" s="82" t="s">
        <v>765</v>
      </c>
      <c r="K64" s="83" t="s">
        <v>86</v>
      </c>
      <c r="L64" s="88">
        <v>0.33</v>
      </c>
      <c r="M64" s="395">
        <f>'Default EF'!G79</f>
        <v>9.2600000000000002E-2</v>
      </c>
      <c r="N64" s="83" t="s">
        <v>545</v>
      </c>
    </row>
    <row r="65" spans="1:78" ht="30.6">
      <c r="B65" s="82" t="s">
        <v>301</v>
      </c>
      <c r="C65" s="83" t="s">
        <v>86</v>
      </c>
      <c r="D65" s="88"/>
      <c r="E65" s="395">
        <f>'Default EF'!G67</f>
        <v>0.65500000000000003</v>
      </c>
      <c r="F65" s="83" t="s">
        <v>545</v>
      </c>
      <c r="J65" s="82" t="s">
        <v>301</v>
      </c>
      <c r="K65" s="83" t="s">
        <v>86</v>
      </c>
      <c r="L65" s="88"/>
      <c r="M65" s="395">
        <f>'Default EF'!G80</f>
        <v>7.0000000000000007E-2</v>
      </c>
      <c r="N65" s="83" t="s">
        <v>545</v>
      </c>
    </row>
    <row r="66" spans="1:78" ht="30.6">
      <c r="B66" s="82" t="s">
        <v>302</v>
      </c>
      <c r="C66" s="83" t="s">
        <v>86</v>
      </c>
      <c r="D66" s="88">
        <v>0.01</v>
      </c>
      <c r="E66" s="395">
        <f>'Default EF'!G68</f>
        <v>1.2E-2</v>
      </c>
      <c r="F66" s="83" t="s">
        <v>545</v>
      </c>
      <c r="J66" s="82" t="s">
        <v>302</v>
      </c>
      <c r="K66" s="83" t="s">
        <v>86</v>
      </c>
      <c r="L66" s="88">
        <v>0.01</v>
      </c>
      <c r="M66" s="395">
        <f>'Default EF'!G81</f>
        <v>1.2E-2</v>
      </c>
      <c r="N66" s="83" t="s">
        <v>545</v>
      </c>
    </row>
    <row r="67" spans="1:78" ht="31.35" thickBot="1">
      <c r="B67" s="82" t="s">
        <v>303</v>
      </c>
      <c r="C67" s="83" t="s">
        <v>86</v>
      </c>
      <c r="D67" s="88"/>
      <c r="E67" s="395">
        <f>'Default EF'!G69</f>
        <v>2.4E-2</v>
      </c>
      <c r="F67" s="83" t="s">
        <v>545</v>
      </c>
      <c r="H67" s="106" t="s">
        <v>763</v>
      </c>
      <c r="J67" s="82" t="s">
        <v>303</v>
      </c>
      <c r="K67" s="83" t="s">
        <v>86</v>
      </c>
      <c r="L67" s="88"/>
      <c r="M67" s="395">
        <f>'Default EF'!G82</f>
        <v>2.4E-2</v>
      </c>
      <c r="N67" s="83" t="s">
        <v>545</v>
      </c>
      <c r="P67" s="106" t="s">
        <v>763</v>
      </c>
    </row>
    <row r="68" spans="1:78" ht="31.5" customHeight="1">
      <c r="B68" s="82" t="s">
        <v>304</v>
      </c>
      <c r="C68" s="83" t="s">
        <v>86</v>
      </c>
      <c r="D68" s="88"/>
      <c r="E68" s="395">
        <f>'Default EF'!G70</f>
        <v>1.0999999999999999E-2</v>
      </c>
      <c r="F68" s="83" t="s">
        <v>545</v>
      </c>
      <c r="H68" s="104" t="s">
        <v>803</v>
      </c>
      <c r="J68" s="82" t="s">
        <v>304</v>
      </c>
      <c r="K68" s="83" t="s">
        <v>86</v>
      </c>
      <c r="L68" s="88"/>
      <c r="M68" s="395">
        <f>'Default EF'!G83</f>
        <v>1.0999999999999999E-2</v>
      </c>
      <c r="N68" s="83" t="s">
        <v>545</v>
      </c>
      <c r="P68" s="104" t="s">
        <v>804</v>
      </c>
    </row>
    <row r="69" spans="1:78" ht="30.75" customHeight="1">
      <c r="B69" s="82" t="s">
        <v>305</v>
      </c>
      <c r="C69" s="83" t="s">
        <v>86</v>
      </c>
      <c r="D69" s="88"/>
      <c r="E69" s="395">
        <f>'Default EF'!G71</f>
        <v>4.8000000000000001E-2</v>
      </c>
      <c r="F69" s="83" t="s">
        <v>545</v>
      </c>
      <c r="H69" s="229">
        <f>SUMPRODUCT(D63:D71,E63:E71)</f>
        <v>0.69712000000000007</v>
      </c>
      <c r="J69" s="82" t="s">
        <v>305</v>
      </c>
      <c r="K69" s="83" t="s">
        <v>86</v>
      </c>
      <c r="L69" s="88"/>
      <c r="M69" s="395">
        <f>'Default EF'!G84</f>
        <v>4.8000000000000001E-2</v>
      </c>
      <c r="N69" s="83" t="s">
        <v>545</v>
      </c>
      <c r="P69" s="229">
        <f>SUMPRODUCT(L63:L71,M63:M71)</f>
        <v>6.9377999999999995E-2</v>
      </c>
    </row>
    <row r="70" spans="1:78" ht="39" customHeight="1">
      <c r="B70" s="82" t="s">
        <v>306</v>
      </c>
      <c r="C70" s="83" t="s">
        <v>86</v>
      </c>
      <c r="D70" s="88">
        <v>0.01</v>
      </c>
      <c r="E70" s="395">
        <f>'Default EF'!G72</f>
        <v>0.23</v>
      </c>
      <c r="F70" s="83" t="s">
        <v>545</v>
      </c>
      <c r="H70" s="105" t="s">
        <v>780</v>
      </c>
      <c r="J70" s="82" t="s">
        <v>306</v>
      </c>
      <c r="K70" s="83" t="s">
        <v>86</v>
      </c>
      <c r="L70" s="88">
        <v>0.01</v>
      </c>
      <c r="M70" s="395">
        <f>'Default EF'!G85</f>
        <v>0.23</v>
      </c>
      <c r="N70" s="83" t="s">
        <v>545</v>
      </c>
      <c r="P70" s="105" t="s">
        <v>780</v>
      </c>
    </row>
    <row r="71" spans="1:78" ht="30" customHeight="1" thickBot="1">
      <c r="B71" s="94" t="s">
        <v>307</v>
      </c>
      <c r="C71" s="95" t="s">
        <v>86</v>
      </c>
      <c r="D71" s="98"/>
      <c r="E71" s="395">
        <f>'Default EF'!G73</f>
        <v>6.4200000000000007E-2</v>
      </c>
      <c r="F71" s="95" t="s">
        <v>545</v>
      </c>
      <c r="H71" s="230" t="str">
        <f>IF(SUM(D63:D71)=100%, "Pass", "Not Pass, Check Power Mix Input")</f>
        <v>Pass</v>
      </c>
      <c r="J71" s="94" t="s">
        <v>307</v>
      </c>
      <c r="K71" s="95" t="s">
        <v>86</v>
      </c>
      <c r="L71" s="98"/>
      <c r="M71" s="395">
        <f>'Default EF'!G86</f>
        <v>6.4200000000000007E-2</v>
      </c>
      <c r="N71" s="95" t="s">
        <v>545</v>
      </c>
      <c r="P71" s="230" t="str">
        <f>IF(SUM(L63:L71)=100%, "Pass", "Not Pass, Check Power Mix Input")</f>
        <v>Pass</v>
      </c>
    </row>
    <row r="72" spans="1:78" ht="17.25" customHeight="1">
      <c r="B72" s="82"/>
      <c r="C72" s="83"/>
      <c r="D72" s="112"/>
      <c r="E72" s="85"/>
      <c r="F72" s="83"/>
      <c r="J72" s="113"/>
    </row>
    <row r="73" spans="1:78" ht="17.25" customHeight="1">
      <c r="B73" s="82"/>
      <c r="C73" s="83"/>
      <c r="D73" s="112"/>
      <c r="E73" s="85"/>
      <c r="F73" s="83"/>
      <c r="J73" s="113"/>
    </row>
    <row r="74" spans="1:78" ht="17.25" customHeight="1">
      <c r="A74" s="467"/>
      <c r="B74" s="107" t="s">
        <v>805</v>
      </c>
      <c r="C74" s="470"/>
      <c r="D74" s="471"/>
      <c r="E74" s="472"/>
      <c r="F74" s="470"/>
      <c r="J74" s="113"/>
    </row>
    <row r="75" spans="1:78" ht="17.25" customHeight="1">
      <c r="A75" s="82" t="s">
        <v>806</v>
      </c>
      <c r="C75" s="83" t="s">
        <v>86</v>
      </c>
      <c r="D75" s="112"/>
      <c r="E75" s="85"/>
      <c r="F75" s="83"/>
      <c r="J75" s="113"/>
    </row>
    <row r="76" spans="1:78" ht="17.25" customHeight="1">
      <c r="A76" s="467" t="s">
        <v>807</v>
      </c>
      <c r="B76" s="468">
        <f>SUM(H80,H91,H102)</f>
        <v>0</v>
      </c>
      <c r="C76" s="83" t="s">
        <v>808</v>
      </c>
      <c r="D76" s="112"/>
      <c r="E76" s="85"/>
      <c r="F76" s="83"/>
      <c r="J76" s="113"/>
    </row>
    <row r="77" spans="1:78" customFormat="1" ht="16.5" thickBot="1">
      <c r="A77" s="587" t="s">
        <v>258</v>
      </c>
      <c r="B77" s="587"/>
      <c r="C77" s="587"/>
      <c r="D77" s="587" t="s">
        <v>0</v>
      </c>
      <c r="E77" s="587"/>
      <c r="F77" s="587"/>
      <c r="G77" s="587"/>
      <c r="H77" s="587"/>
      <c r="I77" s="313"/>
      <c r="J77" s="106" t="s">
        <v>763</v>
      </c>
      <c r="N77" s="672"/>
      <c r="O77" s="672"/>
      <c r="P77" s="672"/>
      <c r="Q77" s="672"/>
      <c r="R77" s="672"/>
      <c r="S77" s="672"/>
      <c r="T77" s="672"/>
      <c r="U77" s="672"/>
      <c r="V77" s="672"/>
      <c r="W77" s="672"/>
      <c r="X77" s="672"/>
      <c r="Y77" s="672"/>
      <c r="Z77" s="672"/>
      <c r="AA77" s="672"/>
      <c r="AB77" s="672"/>
      <c r="AC77" s="672"/>
      <c r="AD77" s="672"/>
      <c r="AE77" s="672"/>
      <c r="AF77" s="672"/>
      <c r="AG77" s="672"/>
      <c r="AH77" s="672"/>
      <c r="AI77" s="672"/>
      <c r="AJ77" s="672"/>
      <c r="AK77" s="672"/>
      <c r="AL77" s="672"/>
      <c r="AM77" s="672"/>
      <c r="AN77" s="672"/>
      <c r="AO77" s="672"/>
      <c r="AP77" s="672"/>
      <c r="AQ77" s="672"/>
      <c r="AR77" s="672"/>
      <c r="AS77" s="672"/>
      <c r="AT77" s="672"/>
      <c r="AU77" s="672"/>
      <c r="AV77" s="672"/>
      <c r="AW77" s="672"/>
      <c r="AX77" s="672"/>
      <c r="AY77" s="672"/>
      <c r="AZ77" s="672"/>
      <c r="BA77" s="672"/>
      <c r="BB77" s="672"/>
      <c r="BC77" s="672"/>
      <c r="BD77" s="672"/>
      <c r="BE77" s="672"/>
      <c r="BF77" s="672"/>
      <c r="BG77" s="672"/>
      <c r="BH77" s="672"/>
      <c r="BI77" s="672"/>
      <c r="BJ77" s="672"/>
      <c r="BK77" s="672"/>
      <c r="BL77" s="672"/>
      <c r="BM77" s="672"/>
      <c r="BN77" s="672"/>
      <c r="BO77" s="672"/>
      <c r="BP77" s="672"/>
      <c r="BQ77" s="672"/>
      <c r="BR77" s="672"/>
      <c r="BS77" s="672"/>
      <c r="BT77" s="672"/>
      <c r="BU77" s="672"/>
      <c r="BV77" s="672"/>
      <c r="BW77" s="672"/>
      <c r="BX77" s="672"/>
      <c r="BY77" s="672"/>
      <c r="BZ77" s="672"/>
    </row>
    <row r="78" spans="1:78" customFormat="1" ht="44.25">
      <c r="A78" s="283" t="s">
        <v>259</v>
      </c>
      <c r="B78" s="294" t="s">
        <v>30</v>
      </c>
      <c r="C78" s="284" t="s">
        <v>260</v>
      </c>
      <c r="D78" s="285" t="s">
        <v>261</v>
      </c>
      <c r="E78" s="282" t="s">
        <v>32</v>
      </c>
      <c r="F78" s="282" t="s">
        <v>262</v>
      </c>
      <c r="G78" s="282" t="s">
        <v>263</v>
      </c>
      <c r="H78" s="284" t="s">
        <v>264</v>
      </c>
      <c r="I78" s="309" t="s">
        <v>265</v>
      </c>
      <c r="J78" s="104" t="s">
        <v>779</v>
      </c>
    </row>
    <row r="79" spans="1:78" customFormat="1" ht="15.6">
      <c r="A79" s="265"/>
      <c r="B79" s="295"/>
      <c r="C79" s="267"/>
      <c r="D79" s="268"/>
      <c r="E79" s="266"/>
      <c r="F79" s="266"/>
      <c r="G79" s="266"/>
      <c r="H79" s="267"/>
      <c r="J79" s="469" t="e">
        <f>B76/B75</f>
        <v>#DIV/0!</v>
      </c>
    </row>
    <row r="80" spans="1:78" customFormat="1" ht="15.75">
      <c r="A80" s="591" t="s">
        <v>282</v>
      </c>
      <c r="B80" s="592"/>
      <c r="C80" s="593"/>
      <c r="D80" s="269"/>
      <c r="E80" s="269"/>
      <c r="F80" s="269"/>
      <c r="G80" s="269"/>
      <c r="H80" s="381">
        <f>SUM(H81:H89)</f>
        <v>0</v>
      </c>
      <c r="J80" s="105"/>
    </row>
    <row r="81" spans="1:9" customFormat="1" ht="14.85">
      <c r="A81" s="270" t="s">
        <v>46</v>
      </c>
      <c r="B81" s="292" t="s">
        <v>44</v>
      </c>
      <c r="C81" s="278">
        <f>'Default EF'!G14</f>
        <v>2.6426992500000002</v>
      </c>
      <c r="D81" s="374"/>
      <c r="E81" s="374"/>
      <c r="F81" s="272" t="s">
        <v>45</v>
      </c>
      <c r="G81" s="272"/>
      <c r="H81" s="382">
        <f>IF(F81='Reference (hide)'!$A$1, (D81-E81)*$C81, (D81-E81)*G81)</f>
        <v>0</v>
      </c>
      <c r="I81" s="310" t="s">
        <v>269</v>
      </c>
    </row>
    <row r="82" spans="1:9" customFormat="1" ht="14.85">
      <c r="A82" s="270" t="s">
        <v>47</v>
      </c>
      <c r="B82" s="292" t="s">
        <v>44</v>
      </c>
      <c r="C82" s="278">
        <f>'Default EF'!G16</f>
        <v>2.4581595000000003</v>
      </c>
      <c r="D82" s="374"/>
      <c r="E82" s="374"/>
      <c r="F82" s="272" t="s">
        <v>45</v>
      </c>
      <c r="G82" s="272"/>
      <c r="H82" s="382">
        <f>IF(F82='Reference (hide)'!$A$1, (D82-E82)*$C82, (D82-E82)*G82)</f>
        <v>0</v>
      </c>
      <c r="I82" s="310" t="s">
        <v>269</v>
      </c>
    </row>
    <row r="83" spans="1:9" customFormat="1" ht="14.85">
      <c r="A83" s="270" t="s">
        <v>48</v>
      </c>
      <c r="B83" s="292" t="s">
        <v>44</v>
      </c>
      <c r="C83" s="278">
        <f>'Default EF'!G17</f>
        <v>1.8290947499999997</v>
      </c>
      <c r="D83" s="374"/>
      <c r="E83" s="374"/>
      <c r="F83" s="272" t="s">
        <v>45</v>
      </c>
      <c r="G83" s="272"/>
      <c r="H83" s="382">
        <f>IF(F83='Reference (hide)'!$A$1, (D83-E83)*$C83, (D83-E83)*G83)</f>
        <v>0</v>
      </c>
      <c r="I83" s="310" t="s">
        <v>269</v>
      </c>
    </row>
    <row r="84" spans="1:9" customFormat="1" ht="14.85">
      <c r="A84" s="270" t="s">
        <v>49</v>
      </c>
      <c r="B84" s="292" t="s">
        <v>44</v>
      </c>
      <c r="C84" s="278">
        <f>'Default EF'!G18</f>
        <v>1.2099622500000002</v>
      </c>
      <c r="D84" s="374"/>
      <c r="E84" s="374"/>
      <c r="F84" s="272" t="s">
        <v>45</v>
      </c>
      <c r="G84" s="272"/>
      <c r="H84" s="382">
        <f>IF(F84='Reference (hide)'!$A$1, (D84-E84)*$C84, (D84-E84)*G84)</f>
        <v>0</v>
      </c>
      <c r="I84" s="310" t="s">
        <v>269</v>
      </c>
    </row>
    <row r="85" spans="1:9" customFormat="1" ht="14.85">
      <c r="A85" s="270" t="s">
        <v>283</v>
      </c>
      <c r="B85" s="292" t="s">
        <v>275</v>
      </c>
      <c r="C85" s="271">
        <f>'Default EF'!G19</f>
        <v>2.9487799999999998E-3</v>
      </c>
      <c r="D85" s="374"/>
      <c r="E85" s="374"/>
      <c r="F85" s="272" t="s">
        <v>45</v>
      </c>
      <c r="G85" s="272"/>
      <c r="H85" s="382">
        <f>IF(F85='Reference (hide)'!$A$1, (D85-E85)*$C85, (D85-E85)*G85)</f>
        <v>0</v>
      </c>
      <c r="I85" s="310" t="s">
        <v>269</v>
      </c>
    </row>
    <row r="86" spans="1:9" customFormat="1" ht="14.85">
      <c r="A86" s="270" t="s">
        <v>284</v>
      </c>
      <c r="B86" s="292" t="s">
        <v>275</v>
      </c>
      <c r="C86" s="271">
        <f>'Default EF'!G20</f>
        <v>2.6854800000000001E-3</v>
      </c>
      <c r="D86" s="374"/>
      <c r="E86" s="374"/>
      <c r="F86" s="272" t="s">
        <v>45</v>
      </c>
      <c r="G86" s="272"/>
      <c r="H86" s="382">
        <f>IF(F86='Reference (hide)'!$A$1, (D86-E86)*$C86, (D86-E86)*G86)</f>
        <v>0</v>
      </c>
      <c r="I86" s="310" t="s">
        <v>269</v>
      </c>
    </row>
    <row r="87" spans="1:9" customFormat="1" ht="14.85">
      <c r="A87" s="270" t="s">
        <v>53</v>
      </c>
      <c r="B87" s="292" t="s">
        <v>275</v>
      </c>
      <c r="C87" s="271">
        <f>'Default EF'!G21</f>
        <v>1.6159529430000001E-3</v>
      </c>
      <c r="D87" s="374"/>
      <c r="E87" s="374"/>
      <c r="F87" s="272" t="s">
        <v>45</v>
      </c>
      <c r="G87" s="272"/>
      <c r="H87" s="382">
        <f>IF(F87='Reference (hide)'!$A$1, (D87-E87)*$C87, (D87-E87)*G87)</f>
        <v>0</v>
      </c>
      <c r="I87" s="310" t="s">
        <v>269</v>
      </c>
    </row>
    <row r="88" spans="1:9" customFormat="1" ht="14.85">
      <c r="A88" s="270" t="s">
        <v>285</v>
      </c>
      <c r="B88" s="292" t="s">
        <v>277</v>
      </c>
      <c r="C88" s="271">
        <f>'Default EF'!G22</f>
        <v>2.2102717812691286E-3</v>
      </c>
      <c r="D88" s="374"/>
      <c r="E88" s="374"/>
      <c r="F88" s="272" t="s">
        <v>45</v>
      </c>
      <c r="G88" s="272"/>
      <c r="H88" s="382">
        <f>IF(F88='Reference (hide)'!$A$1, (D88-E88)*$C88, (D88-E88)*G88)</f>
        <v>0</v>
      </c>
      <c r="I88" s="310" t="s">
        <v>269</v>
      </c>
    </row>
    <row r="89" spans="1:9" customFormat="1" ht="14.85">
      <c r="A89" s="270" t="s">
        <v>285</v>
      </c>
      <c r="B89" s="292" t="s">
        <v>279</v>
      </c>
      <c r="C89" s="278">
        <f>'Default EF'!G23</f>
        <v>5.8470000000000001E-2</v>
      </c>
      <c r="D89" s="374"/>
      <c r="E89" s="374"/>
      <c r="F89" s="272" t="s">
        <v>45</v>
      </c>
      <c r="G89" s="272"/>
      <c r="H89" s="382">
        <f>IF(F89='Reference (hide)'!$A$1, (D89-E89)*$C89, (D89-E89)*G89)</f>
        <v>0</v>
      </c>
      <c r="I89" s="310" t="s">
        <v>269</v>
      </c>
    </row>
    <row r="90" spans="1:9" customFormat="1" ht="14.85">
      <c r="A90" s="120"/>
      <c r="B90" s="296"/>
      <c r="C90" s="250"/>
      <c r="D90" s="249"/>
      <c r="E90" s="249"/>
      <c r="F90" s="249"/>
      <c r="G90" s="249"/>
      <c r="H90" s="383"/>
      <c r="I90" s="311"/>
    </row>
    <row r="91" spans="1:9" customFormat="1" ht="14.85">
      <c r="A91" s="591" t="s">
        <v>286</v>
      </c>
      <c r="B91" s="591"/>
      <c r="C91" s="591"/>
      <c r="D91" s="259"/>
      <c r="E91" s="260"/>
      <c r="F91" s="260"/>
      <c r="G91" s="260"/>
      <c r="H91" s="289">
        <f>SUM(H92:H100)</f>
        <v>0</v>
      </c>
      <c r="I91" s="311"/>
    </row>
    <row r="92" spans="1:9" customFormat="1" ht="14.85">
      <c r="A92" s="270" t="s">
        <v>287</v>
      </c>
      <c r="B92" s="292" t="s">
        <v>44</v>
      </c>
      <c r="C92" s="278">
        <f>'Default EF'!J14</f>
        <v>0.39248999999999995</v>
      </c>
      <c r="D92" s="375">
        <f t="shared" ref="D92:E94" si="1">D81</f>
        <v>0</v>
      </c>
      <c r="E92" s="375">
        <f t="shared" si="1"/>
        <v>0</v>
      </c>
      <c r="F92" s="272" t="s">
        <v>45</v>
      </c>
      <c r="G92" s="272"/>
      <c r="H92" s="382">
        <f>IF(F92='Reference (hide)'!$A$1, (D92-E92)*$C92, (D92-E92)*G92)</f>
        <v>0</v>
      </c>
      <c r="I92" s="310" t="s">
        <v>267</v>
      </c>
    </row>
    <row r="93" spans="1:9" customFormat="1" ht="14.85">
      <c r="A93" s="270" t="s">
        <v>288</v>
      </c>
      <c r="B93" s="292" t="s">
        <v>44</v>
      </c>
      <c r="C93" s="278">
        <f>'Default EF'!J16</f>
        <v>0.37925999999999999</v>
      </c>
      <c r="D93" s="375">
        <f t="shared" si="1"/>
        <v>0</v>
      </c>
      <c r="E93" s="375">
        <f t="shared" si="1"/>
        <v>0</v>
      </c>
      <c r="F93" s="272" t="s">
        <v>45</v>
      </c>
      <c r="G93" s="272"/>
      <c r="H93" s="382">
        <f>IF(F93='Reference (hide)'!$A$1, (D93-E93)*$C93, (D93-E93)*G93)</f>
        <v>0</v>
      </c>
      <c r="I93" s="310"/>
    </row>
    <row r="94" spans="1:9" customFormat="1" ht="14.85">
      <c r="A94" s="270" t="s">
        <v>289</v>
      </c>
      <c r="B94" s="292" t="s">
        <v>44</v>
      </c>
      <c r="C94" s="278">
        <f>'Default EF'!J17</f>
        <v>0.27782999999999997</v>
      </c>
      <c r="D94" s="375">
        <f t="shared" si="1"/>
        <v>0</v>
      </c>
      <c r="E94" s="375">
        <f t="shared" si="1"/>
        <v>0</v>
      </c>
      <c r="F94" s="272" t="s">
        <v>45</v>
      </c>
      <c r="G94" s="272"/>
      <c r="H94" s="382">
        <f>IF(F94='Reference (hide)'!$A$1, (D94-E94)*$C94, (D94-E94)*G94)</f>
        <v>0</v>
      </c>
      <c r="I94" s="310"/>
    </row>
    <row r="95" spans="1:9" customFormat="1" ht="14.85">
      <c r="A95" s="270" t="s">
        <v>290</v>
      </c>
      <c r="B95" s="292" t="s">
        <v>44</v>
      </c>
      <c r="C95" s="278">
        <f>'Default EF'!J18</f>
        <v>0.17493</v>
      </c>
      <c r="D95" s="375">
        <f>D84</f>
        <v>0</v>
      </c>
      <c r="E95" s="375">
        <f>E84</f>
        <v>0</v>
      </c>
      <c r="F95" s="272" t="s">
        <v>45</v>
      </c>
      <c r="G95" s="272"/>
      <c r="H95" s="382">
        <f>IF(F95='Reference (hide)'!$A$1, (D95-E95)*$C95, (D95-E95)*G95)</f>
        <v>0</v>
      </c>
      <c r="I95" s="310"/>
    </row>
    <row r="96" spans="1:9" customFormat="1" ht="14.85">
      <c r="A96" s="270" t="s">
        <v>291</v>
      </c>
      <c r="B96" s="292" t="s">
        <v>275</v>
      </c>
      <c r="C96" s="271">
        <f>'Default EF'!J19</f>
        <v>4.2533119999999989E-4</v>
      </c>
      <c r="D96" s="375">
        <f t="shared" ref="D96:E100" si="2">D85</f>
        <v>0</v>
      </c>
      <c r="E96" s="375">
        <f>E86</f>
        <v>0</v>
      </c>
      <c r="F96" s="272" t="s">
        <v>45</v>
      </c>
      <c r="G96" s="272"/>
      <c r="H96" s="382">
        <f>IF(F96='Reference (hide)'!$A$1, (D96-E96)*$C96, (D96-E96)*G96)</f>
        <v>0</v>
      </c>
      <c r="I96" s="310"/>
    </row>
    <row r="97" spans="1:12" customFormat="1" ht="14.85">
      <c r="A97" s="270" t="s">
        <v>292</v>
      </c>
      <c r="B97" s="292" t="s">
        <v>275</v>
      </c>
      <c r="C97" s="271">
        <f>'Default EF'!J20</f>
        <v>5.9092319999999989E-4</v>
      </c>
      <c r="D97" s="375">
        <f t="shared" si="2"/>
        <v>0</v>
      </c>
      <c r="E97" s="375">
        <f>E85</f>
        <v>0</v>
      </c>
      <c r="F97" s="272" t="s">
        <v>45</v>
      </c>
      <c r="G97" s="272"/>
      <c r="H97" s="382">
        <f>IF(F97='Reference (hide)'!$A$1, (D97-E97)*$C97, (D97-E97)*G97)</f>
        <v>0</v>
      </c>
      <c r="I97" s="310"/>
    </row>
    <row r="98" spans="1:12" customFormat="1" ht="14.85">
      <c r="A98" s="270" t="s">
        <v>293</v>
      </c>
      <c r="B98" s="292" t="s">
        <v>275</v>
      </c>
      <c r="C98" s="271">
        <f>'Default EF'!J21</f>
        <v>1.7956026000000001E-4</v>
      </c>
      <c r="D98" s="375">
        <f t="shared" si="2"/>
        <v>0</v>
      </c>
      <c r="E98" s="375">
        <f t="shared" si="2"/>
        <v>0</v>
      </c>
      <c r="F98" s="272" t="s">
        <v>45</v>
      </c>
      <c r="G98" s="272"/>
      <c r="H98" s="382">
        <f>IF(F98='Reference (hide)'!$A$1, (D98-E98)*$C98, (D98-E98)*G98)</f>
        <v>0</v>
      </c>
      <c r="I98" s="310"/>
    </row>
    <row r="99" spans="1:12" customFormat="1" ht="14.85">
      <c r="A99" s="270" t="s">
        <v>294</v>
      </c>
      <c r="B99" s="292" t="s">
        <v>277</v>
      </c>
      <c r="C99" s="271">
        <f>'Default EF'!J22</f>
        <v>3.2887573964497034E-4</v>
      </c>
      <c r="D99" s="375">
        <f t="shared" si="2"/>
        <v>0</v>
      </c>
      <c r="E99" s="375">
        <f t="shared" si="2"/>
        <v>0</v>
      </c>
      <c r="F99" s="272" t="s">
        <v>45</v>
      </c>
      <c r="G99" s="272"/>
      <c r="H99" s="382">
        <f>IF(F99='Reference (hide)'!$A$1, (D99-E99)*$C99, (D99-E99)*G99)</f>
        <v>0</v>
      </c>
      <c r="I99" s="310"/>
    </row>
    <row r="100" spans="1:12" customFormat="1" ht="14.85">
      <c r="A100" s="270" t="s">
        <v>294</v>
      </c>
      <c r="B100" s="292" t="s">
        <v>279</v>
      </c>
      <c r="C100" s="271">
        <f>'Default EF'!J23</f>
        <v>8.6999999999999994E-3</v>
      </c>
      <c r="D100" s="375">
        <f t="shared" si="2"/>
        <v>0</v>
      </c>
      <c r="E100" s="375">
        <f t="shared" si="2"/>
        <v>0</v>
      </c>
      <c r="F100" s="272" t="s">
        <v>45</v>
      </c>
      <c r="G100" s="272"/>
      <c r="H100" s="382">
        <f>IF(F100='Reference (hide)'!$A$1, (D100-E100)*$C100, (D100-E100)*G100)</f>
        <v>0</v>
      </c>
      <c r="I100" s="310"/>
    </row>
    <row r="101" spans="1:12" customFormat="1" ht="14.85">
      <c r="A101" s="273"/>
      <c r="B101" s="296"/>
      <c r="C101" s="250"/>
      <c r="D101" s="248"/>
      <c r="E101" s="249"/>
      <c r="F101" s="249"/>
      <c r="G101" s="249"/>
      <c r="H101" s="383"/>
      <c r="I101" s="311"/>
    </row>
    <row r="102" spans="1:12" customFormat="1" ht="14.45" customHeight="1">
      <c r="A102" s="591" t="s">
        <v>295</v>
      </c>
      <c r="B102" s="591"/>
      <c r="C102" s="591"/>
      <c r="D102" s="274"/>
      <c r="E102" s="269"/>
      <c r="F102" s="269"/>
      <c r="G102" s="269"/>
      <c r="H102" s="381">
        <f>SUM(H103:H105)</f>
        <v>0</v>
      </c>
      <c r="I102" s="311"/>
    </row>
    <row r="103" spans="1:12" customFormat="1" ht="14.45" customHeight="1">
      <c r="A103" s="270" t="s">
        <v>296</v>
      </c>
      <c r="B103" s="292" t="s">
        <v>44</v>
      </c>
      <c r="C103" s="278">
        <f>'Default EF'!G57</f>
        <v>0.11</v>
      </c>
      <c r="D103" s="272"/>
      <c r="E103" s="272"/>
      <c r="F103" s="272" t="s">
        <v>45</v>
      </c>
      <c r="G103" s="272"/>
      <c r="H103" s="382">
        <f>IF(F103='Reference (hide)'!$A$1, (D103-E103)*$C103, (D103-E103)*G103)</f>
        <v>0</v>
      </c>
      <c r="I103" s="310"/>
    </row>
    <row r="104" spans="1:12" customFormat="1" ht="14.45" customHeight="1">
      <c r="A104" s="270" t="s">
        <v>297</v>
      </c>
      <c r="B104" s="292" t="s">
        <v>44</v>
      </c>
      <c r="C104" s="278">
        <f>'Default EF'!G58</f>
        <v>0.36</v>
      </c>
      <c r="D104" s="272"/>
      <c r="E104" s="272"/>
      <c r="F104" s="272" t="s">
        <v>45</v>
      </c>
      <c r="G104" s="272"/>
      <c r="H104" s="382">
        <f>IF(F104='Reference (hide)'!$A$1, (D104-E104)*$C104, (D104-E104)*G104)</f>
        <v>0</v>
      </c>
      <c r="I104" s="310"/>
    </row>
    <row r="105" spans="1:12" customFormat="1" ht="14.85">
      <c r="A105" s="270" t="s">
        <v>285</v>
      </c>
      <c r="B105" s="292" t="s">
        <v>277</v>
      </c>
      <c r="C105" s="271">
        <f>'Default EF'!G59</f>
        <v>3.2000000000000003E-4</v>
      </c>
      <c r="D105" s="272"/>
      <c r="E105" s="272"/>
      <c r="F105" s="272" t="s">
        <v>45</v>
      </c>
      <c r="G105" s="272"/>
      <c r="H105" s="382">
        <f>IF(F105='Reference (hide)'!$A$1, (D105-E105)*$C105, (D105-E105)*G105)</f>
        <v>0</v>
      </c>
      <c r="I105" s="310"/>
    </row>
    <row r="106" spans="1:12" ht="17.25" customHeight="1">
      <c r="A106" s="594" t="s">
        <v>311</v>
      </c>
      <c r="B106" s="595"/>
      <c r="C106" s="596"/>
      <c r="D106" s="275" t="s">
        <v>256</v>
      </c>
      <c r="E106" s="276" t="s">
        <v>256</v>
      </c>
      <c r="F106" s="276" t="s">
        <v>256</v>
      </c>
      <c r="G106" s="276" t="s">
        <v>256</v>
      </c>
      <c r="H106" s="384">
        <f>SUM(H80,H91,H102)</f>
        <v>0</v>
      </c>
      <c r="J106" s="113"/>
    </row>
    <row r="107" spans="1:12" ht="15.95" thickBot="1">
      <c r="A107" s="110"/>
      <c r="B107" s="110"/>
      <c r="C107" s="110"/>
      <c r="D107" s="111"/>
      <c r="E107" s="110"/>
      <c r="F107" s="110"/>
      <c r="G107" s="110"/>
      <c r="H107" s="110"/>
      <c r="I107" s="110"/>
      <c r="J107" s="110"/>
      <c r="K107" s="110"/>
      <c r="L107" s="110"/>
    </row>
    <row r="108" spans="1:12" ht="15.95" thickTop="1"/>
  </sheetData>
  <mergeCells count="22">
    <mergeCell ref="A102:C102"/>
    <mergeCell ref="A106:C106"/>
    <mergeCell ref="BL77:BP77"/>
    <mergeCell ref="BQ77:BU77"/>
    <mergeCell ref="BV77:BZ77"/>
    <mergeCell ref="A80:C80"/>
    <mergeCell ref="A91:C91"/>
    <mergeCell ref="AM77:AQ77"/>
    <mergeCell ref="AR77:AV77"/>
    <mergeCell ref="AW77:BA77"/>
    <mergeCell ref="BB77:BF77"/>
    <mergeCell ref="BG77:BK77"/>
    <mergeCell ref="N77:R77"/>
    <mergeCell ref="S77:W77"/>
    <mergeCell ref="X77:AB77"/>
    <mergeCell ref="AC77:AG77"/>
    <mergeCell ref="AH77:AL77"/>
    <mergeCell ref="G45:G54"/>
    <mergeCell ref="G8:G16"/>
    <mergeCell ref="H8:H16"/>
    <mergeCell ref="A77:C77"/>
    <mergeCell ref="D77:H77"/>
  </mergeCells>
  <conditionalFormatting sqref="J13 J37:J39 H71 J72:J76">
    <cfRule type="containsText" dxfId="2" priority="3" stopIfTrue="1" operator="containsText" text="Not Pass">
      <formula>NOT(ISERROR(SEARCH("Not Pass",H13)))</formula>
    </cfRule>
  </conditionalFormatting>
  <conditionalFormatting sqref="J81:J106">
    <cfRule type="containsText" dxfId="1" priority="2" stopIfTrue="1" operator="containsText" text="Not Pass">
      <formula>NOT(ISERROR(SEARCH("Not Pass",J81)))</formula>
    </cfRule>
  </conditionalFormatting>
  <conditionalFormatting sqref="P71">
    <cfRule type="containsText" dxfId="0" priority="1" stopIfTrue="1" operator="containsText" text="Not Pass">
      <formula>NOT(ISERROR(SEARCH("Not Pass",P71)))</formula>
    </cfRule>
  </conditionalFormatting>
  <dataValidations disablePrompts="1" count="1">
    <dataValidation type="list" allowBlank="1" showInputMessage="1" showErrorMessage="1" sqref="C21" xr:uid="{218717ED-1CCF-6E4F-83E2-BFE19F1C4E56}">
      <formula1>"Default, Site-specific"</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4A4C952-AC70-4D8F-A26E-A8D6DD9E2F3E}">
          <x14:formula1>
            <xm:f>'Reference (hide)'!$A$1:$A$2</xm:f>
          </x14:formula1>
          <xm:sqref>F81:F89 F92:F100 F103:F105</xm:sqref>
        </x14:dataValidation>
        <x14:dataValidation type="list" allowBlank="1" showInputMessage="1" showErrorMessage="1" xr:uid="{22B66577-1B79-418E-8929-E15C3F4982AE}">
          <x14:formula1>
            <xm:f>'Reference (hide)'!$D$1:$D$2</xm:f>
          </x14:formula1>
          <xm:sqref>I81:I89 I92:I100 I103:I105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C2D9A-F202-45AA-AC24-89C533AB346E}">
  <dimension ref="A1:E5"/>
  <sheetViews>
    <sheetView workbookViewId="0">
      <selection activeCell="U24" sqref="U24"/>
    </sheetView>
  </sheetViews>
  <sheetFormatPr defaultColWidth="8.85546875" defaultRowHeight="14.85"/>
  <cols>
    <col min="1" max="1" width="7.42578125" bestFit="1" customWidth="1"/>
    <col min="2" max="2" width="9.28515625" bestFit="1" customWidth="1"/>
    <col min="3" max="3" width="13.140625" bestFit="1" customWidth="1"/>
  </cols>
  <sheetData>
    <row r="1" spans="1:5">
      <c r="A1" t="s">
        <v>45</v>
      </c>
      <c r="B1" t="s">
        <v>45</v>
      </c>
      <c r="C1" t="s">
        <v>809</v>
      </c>
      <c r="D1" t="s">
        <v>269</v>
      </c>
      <c r="E1" t="s">
        <v>45</v>
      </c>
    </row>
    <row r="2" spans="1:5">
      <c r="A2" t="s">
        <v>318</v>
      </c>
      <c r="B2" t="s">
        <v>810</v>
      </c>
      <c r="C2" t="s">
        <v>811</v>
      </c>
      <c r="D2" t="s">
        <v>267</v>
      </c>
      <c r="E2" t="s">
        <v>365</v>
      </c>
    </row>
    <row r="4" spans="1:5">
      <c r="A4" t="s">
        <v>812</v>
      </c>
    </row>
    <row r="5" spans="1:5">
      <c r="A5" t="s">
        <v>813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5A9A-48AD-469D-B040-DC1BBD786BCC}">
  <dimension ref="B1:V275"/>
  <sheetViews>
    <sheetView showGridLines="0" topLeftCell="A50" zoomScale="90" zoomScaleNormal="90" workbookViewId="0">
      <selection activeCell="L76" sqref="L76"/>
    </sheetView>
  </sheetViews>
  <sheetFormatPr defaultColWidth="10.85546875" defaultRowHeight="15.95"/>
  <cols>
    <col min="1" max="1" width="2.85546875" style="174" customWidth="1"/>
    <col min="2" max="2" width="35.28515625" style="174" customWidth="1"/>
    <col min="3" max="3" width="25.85546875" style="174" customWidth="1"/>
    <col min="4" max="4" width="10.85546875" style="174"/>
    <col min="5" max="5" width="36.7109375" style="177" customWidth="1"/>
    <col min="6" max="6" width="18.28515625" style="177" customWidth="1"/>
    <col min="7" max="8" width="12.28515625" style="177" customWidth="1"/>
    <col min="9" max="9" width="35.28515625" style="177" customWidth="1"/>
    <col min="10" max="10" width="12.7109375" style="174" customWidth="1"/>
    <col min="11" max="11" width="10.85546875" style="174"/>
    <col min="12" max="12" width="55.28515625" style="177" customWidth="1"/>
    <col min="13" max="17" width="11.28515625" style="174" customWidth="1"/>
    <col min="18" max="18" width="15" style="174" customWidth="1"/>
    <col min="19" max="16384" width="10.85546875" style="174"/>
  </cols>
  <sheetData>
    <row r="1" spans="2:20">
      <c r="B1" s="175" t="s">
        <v>404</v>
      </c>
      <c r="C1" s="234"/>
      <c r="D1" s="234"/>
      <c r="E1" s="176" t="s">
        <v>405</v>
      </c>
      <c r="F1" s="242"/>
      <c r="G1" s="242"/>
      <c r="H1" s="242"/>
      <c r="I1" s="242"/>
      <c r="J1" s="234"/>
      <c r="K1" s="234"/>
      <c r="L1" s="242"/>
      <c r="M1" s="234"/>
      <c r="N1" s="234"/>
      <c r="O1" s="234"/>
      <c r="P1" s="234"/>
      <c r="Q1" s="234"/>
      <c r="R1" s="178" t="s">
        <v>406</v>
      </c>
      <c r="S1" s="234"/>
      <c r="T1" s="234"/>
    </row>
    <row r="2" spans="2:20" ht="16.7" thickBot="1">
      <c r="B2" s="231" t="s">
        <v>90</v>
      </c>
      <c r="C2" s="232" t="s">
        <v>407</v>
      </c>
      <c r="D2" s="234"/>
      <c r="E2" s="234"/>
      <c r="F2" s="234"/>
      <c r="G2" s="234"/>
      <c r="H2" s="234"/>
      <c r="I2" s="234"/>
      <c r="J2" s="234"/>
      <c r="K2" s="234"/>
      <c r="L2" s="242"/>
      <c r="M2" s="234"/>
      <c r="N2" s="234"/>
      <c r="O2" s="234"/>
      <c r="P2" s="234"/>
      <c r="Q2" s="234"/>
      <c r="R2" s="179" t="s">
        <v>408</v>
      </c>
      <c r="S2" s="179" t="s">
        <v>409</v>
      </c>
      <c r="T2" s="179" t="s">
        <v>259</v>
      </c>
    </row>
    <row r="3" spans="2:20" ht="16.7" thickBot="1">
      <c r="B3" s="171" t="s">
        <v>410</v>
      </c>
      <c r="C3" s="170">
        <v>9.4E-2</v>
      </c>
      <c r="D3" s="234"/>
      <c r="E3" s="186" t="s">
        <v>411</v>
      </c>
      <c r="F3" s="186" t="s">
        <v>30</v>
      </c>
      <c r="G3" s="186" t="s">
        <v>412</v>
      </c>
      <c r="H3" s="186"/>
      <c r="I3" s="186" t="s">
        <v>259</v>
      </c>
      <c r="J3" s="234"/>
      <c r="K3" s="234"/>
      <c r="L3" s="242"/>
      <c r="M3" s="234"/>
      <c r="N3" s="234"/>
      <c r="O3" s="234"/>
      <c r="P3" s="234"/>
      <c r="Q3" s="234"/>
      <c r="R3" s="242" t="s">
        <v>413</v>
      </c>
      <c r="S3" s="242">
        <v>1</v>
      </c>
      <c r="T3" s="242" t="s">
        <v>414</v>
      </c>
    </row>
    <row r="4" spans="2:20" ht="32.1">
      <c r="B4" s="171" t="s">
        <v>415</v>
      </c>
      <c r="C4" s="170">
        <v>2.4E-2</v>
      </c>
      <c r="D4" s="234"/>
      <c r="E4" s="182" t="s">
        <v>101</v>
      </c>
      <c r="F4" s="182" t="s">
        <v>102</v>
      </c>
      <c r="G4" s="182">
        <v>3.0960000000000001</v>
      </c>
      <c r="H4" s="182"/>
      <c r="I4" s="183" t="s">
        <v>416</v>
      </c>
      <c r="J4" s="234"/>
      <c r="K4" s="234"/>
      <c r="L4" s="242"/>
      <c r="M4" s="234"/>
      <c r="N4" s="234"/>
      <c r="O4" s="234"/>
      <c r="P4" s="234"/>
      <c r="Q4" s="234"/>
      <c r="R4" s="242" t="s">
        <v>417</v>
      </c>
      <c r="S4" s="242">
        <v>28</v>
      </c>
      <c r="T4" s="242" t="s">
        <v>414</v>
      </c>
    </row>
    <row r="5" spans="2:20" ht="32.1">
      <c r="B5" s="171" t="s">
        <v>418</v>
      </c>
      <c r="C5" s="170">
        <v>0.49399999999999999</v>
      </c>
      <c r="D5" s="234"/>
      <c r="E5" s="182" t="s">
        <v>103</v>
      </c>
      <c r="F5" s="182" t="s">
        <v>102</v>
      </c>
      <c r="G5" s="182">
        <v>15.048</v>
      </c>
      <c r="H5" s="182"/>
      <c r="I5" s="183" t="s">
        <v>416</v>
      </c>
      <c r="J5" s="234"/>
      <c r="K5" s="234"/>
      <c r="L5" s="242"/>
      <c r="M5" s="234"/>
      <c r="N5" s="234"/>
      <c r="O5" s="234"/>
      <c r="P5" s="234"/>
      <c r="Q5" s="234"/>
      <c r="R5" s="242" t="s">
        <v>419</v>
      </c>
      <c r="S5" s="242">
        <v>265</v>
      </c>
      <c r="T5" s="242" t="s">
        <v>414</v>
      </c>
    </row>
    <row r="6" spans="2:20" ht="32.1">
      <c r="B6" s="171" t="s">
        <v>420</v>
      </c>
      <c r="C6" s="170">
        <v>0.77700000000000002</v>
      </c>
      <c r="D6" s="234"/>
      <c r="E6" s="182" t="s">
        <v>104</v>
      </c>
      <c r="F6" s="182" t="s">
        <v>102</v>
      </c>
      <c r="G6" s="182">
        <v>5.7480000000000002</v>
      </c>
      <c r="H6" s="182"/>
      <c r="I6" s="183" t="s">
        <v>416</v>
      </c>
      <c r="J6" s="234"/>
      <c r="K6" s="234"/>
      <c r="L6" s="242"/>
      <c r="M6" s="234"/>
      <c r="N6" s="234"/>
      <c r="O6" s="234"/>
      <c r="P6" s="234"/>
      <c r="Q6" s="234"/>
      <c r="R6" s="242" t="s">
        <v>421</v>
      </c>
      <c r="S6" s="242">
        <v>6630</v>
      </c>
      <c r="T6" s="242" t="s">
        <v>414</v>
      </c>
    </row>
    <row r="7" spans="2:20" ht="32.85" thickBot="1">
      <c r="B7" s="171" t="s">
        <v>422</v>
      </c>
      <c r="C7" s="170">
        <v>0.14199999999999999</v>
      </c>
      <c r="D7" s="234"/>
      <c r="E7" s="184" t="s">
        <v>105</v>
      </c>
      <c r="F7" s="184" t="s">
        <v>102</v>
      </c>
      <c r="G7" s="184">
        <v>2.9849999999999999</v>
      </c>
      <c r="H7" s="184"/>
      <c r="I7" s="185" t="s">
        <v>416</v>
      </c>
      <c r="J7" s="234"/>
      <c r="K7" s="234"/>
      <c r="L7" s="242"/>
      <c r="M7" s="234"/>
      <c r="N7" s="234"/>
      <c r="O7" s="234"/>
      <c r="P7" s="234"/>
      <c r="Q7" s="234"/>
      <c r="R7" s="242" t="s">
        <v>423</v>
      </c>
      <c r="S7" s="242">
        <v>11100</v>
      </c>
      <c r="T7" s="242" t="s">
        <v>414</v>
      </c>
    </row>
    <row r="8" spans="2:20">
      <c r="B8" s="171" t="s">
        <v>424</v>
      </c>
      <c r="C8" s="170">
        <v>0.74299999999999999</v>
      </c>
      <c r="D8" s="234"/>
      <c r="E8" s="242"/>
      <c r="F8" s="242"/>
      <c r="G8" s="242"/>
      <c r="H8" s="242"/>
      <c r="I8" s="242"/>
      <c r="J8" s="234"/>
      <c r="K8" s="234"/>
      <c r="L8" s="242"/>
      <c r="M8" s="234"/>
      <c r="N8" s="234"/>
      <c r="O8" s="234"/>
      <c r="P8" s="234"/>
      <c r="Q8" s="234"/>
      <c r="R8" s="234"/>
      <c r="S8" s="234"/>
      <c r="T8" s="234"/>
    </row>
    <row r="9" spans="2:20">
      <c r="B9" s="171" t="s">
        <v>425</v>
      </c>
      <c r="C9" s="170">
        <v>0.307</v>
      </c>
      <c r="D9" s="234"/>
      <c r="E9" s="242"/>
      <c r="F9" s="242"/>
      <c r="G9" s="242"/>
      <c r="H9" s="242"/>
      <c r="I9" s="242"/>
      <c r="J9" s="234"/>
      <c r="K9" s="234"/>
      <c r="L9" s="242"/>
      <c r="M9" s="234"/>
      <c r="N9" s="234"/>
      <c r="O9" s="234"/>
      <c r="P9" s="234"/>
      <c r="Q9" s="234"/>
      <c r="R9" s="234"/>
      <c r="S9" s="234"/>
      <c r="T9" s="234"/>
    </row>
    <row r="10" spans="2:20">
      <c r="B10" s="171" t="s">
        <v>426</v>
      </c>
      <c r="C10" s="170">
        <v>0.20799999999999999</v>
      </c>
      <c r="D10" s="234"/>
      <c r="E10" s="242"/>
      <c r="F10" s="242"/>
      <c r="G10" s="242"/>
      <c r="H10" s="242"/>
      <c r="I10" s="242"/>
      <c r="J10" s="234"/>
      <c r="K10" s="234"/>
      <c r="L10" s="242"/>
      <c r="M10" s="234"/>
      <c r="N10" s="234"/>
      <c r="O10" s="234"/>
      <c r="P10" s="234"/>
      <c r="Q10" s="234"/>
      <c r="R10" s="234"/>
      <c r="S10" s="234"/>
      <c r="T10" s="234"/>
    </row>
    <row r="11" spans="2:20">
      <c r="B11" s="171" t="s">
        <v>427</v>
      </c>
      <c r="C11" s="170">
        <v>0.66300000000000003</v>
      </c>
      <c r="D11" s="234"/>
      <c r="E11" s="176" t="s">
        <v>428</v>
      </c>
      <c r="F11" s="242"/>
      <c r="G11" s="242"/>
      <c r="H11" s="242"/>
      <c r="I11" s="242"/>
      <c r="J11" s="234"/>
      <c r="K11" s="234"/>
      <c r="L11" s="242"/>
      <c r="M11" s="234"/>
      <c r="N11" s="234"/>
      <c r="O11" s="234"/>
      <c r="P11" s="234"/>
      <c r="Q11" s="234"/>
      <c r="R11" s="234"/>
      <c r="S11" s="234"/>
      <c r="T11" s="234"/>
    </row>
    <row r="12" spans="2:20">
      <c r="B12" s="171" t="s">
        <v>429</v>
      </c>
      <c r="C12" s="170">
        <v>0.87</v>
      </c>
      <c r="D12" s="234"/>
      <c r="E12" s="242"/>
      <c r="F12" s="242"/>
      <c r="G12" s="242"/>
      <c r="H12" s="242"/>
      <c r="I12" s="242"/>
      <c r="J12" s="234"/>
      <c r="K12" s="234"/>
      <c r="L12" s="242"/>
      <c r="M12" s="180"/>
      <c r="N12" s="180"/>
      <c r="O12" s="180"/>
      <c r="P12" s="180"/>
      <c r="Q12" s="180"/>
      <c r="R12" s="234"/>
      <c r="S12" s="234"/>
      <c r="T12" s="234"/>
    </row>
    <row r="13" spans="2:20" ht="30.95">
      <c r="B13" s="234" t="s">
        <v>430</v>
      </c>
      <c r="C13" s="57">
        <v>0.9</v>
      </c>
      <c r="D13" s="234"/>
      <c r="E13" s="326" t="s">
        <v>431</v>
      </c>
      <c r="F13" s="327" t="s">
        <v>30</v>
      </c>
      <c r="G13" s="327" t="s">
        <v>432</v>
      </c>
      <c r="H13" s="327" t="s">
        <v>433</v>
      </c>
      <c r="I13" s="327" t="s">
        <v>259</v>
      </c>
      <c r="J13" s="327" t="s">
        <v>434</v>
      </c>
      <c r="K13" s="327" t="s">
        <v>433</v>
      </c>
      <c r="L13" s="327" t="s">
        <v>259</v>
      </c>
      <c r="M13" s="181"/>
      <c r="N13" s="181" t="s">
        <v>435</v>
      </c>
      <c r="O13" s="181"/>
      <c r="P13" s="181" t="s">
        <v>436</v>
      </c>
      <c r="Q13" s="181"/>
      <c r="R13" s="234"/>
      <c r="S13" s="234"/>
      <c r="T13" s="234"/>
    </row>
    <row r="14" spans="2:20">
      <c r="B14" s="234" t="s">
        <v>437</v>
      </c>
      <c r="C14" s="57">
        <v>0.69</v>
      </c>
      <c r="D14" s="234"/>
      <c r="E14" s="328" t="s">
        <v>46</v>
      </c>
      <c r="F14" s="328" t="s">
        <v>44</v>
      </c>
      <c r="G14" s="329">
        <v>2.6426992500000002</v>
      </c>
      <c r="H14" s="329" t="s">
        <v>438</v>
      </c>
      <c r="I14" s="330" t="s">
        <v>439</v>
      </c>
      <c r="J14" s="329">
        <f>14.7/(1000/P14)</f>
        <v>0.39248999999999995</v>
      </c>
      <c r="K14" s="331" t="s">
        <v>440</v>
      </c>
      <c r="L14" s="332" t="s">
        <v>441</v>
      </c>
      <c r="M14" s="233">
        <f t="shared" ref="M14:M21" si="0">J14/(J14+G14)</f>
        <v>0.12931318862571747</v>
      </c>
      <c r="N14" s="233"/>
      <c r="O14" s="233"/>
      <c r="P14" s="277">
        <v>26.7</v>
      </c>
      <c r="Q14" s="233"/>
      <c r="R14" s="234"/>
      <c r="S14" s="234"/>
      <c r="T14" s="234"/>
    </row>
    <row r="15" spans="2:20">
      <c r="B15" s="234" t="s">
        <v>442</v>
      </c>
      <c r="C15" s="57">
        <v>0.93</v>
      </c>
      <c r="D15" s="234"/>
      <c r="E15" s="328" t="s">
        <v>42</v>
      </c>
      <c r="F15" s="328" t="s">
        <v>44</v>
      </c>
      <c r="G15" s="329">
        <v>2.6868254999999999</v>
      </c>
      <c r="H15" s="329"/>
      <c r="I15" s="330" t="s">
        <v>443</v>
      </c>
      <c r="J15" s="329">
        <f t="shared" ref="J15:J17" si="1">14.7/(1000/P15)</f>
        <v>0.41453999999999996</v>
      </c>
      <c r="K15" s="329"/>
      <c r="L15" s="332" t="s">
        <v>441</v>
      </c>
      <c r="M15" s="233">
        <f t="shared" si="0"/>
        <v>0.13366370393944216</v>
      </c>
      <c r="N15" s="233"/>
      <c r="O15" s="233"/>
      <c r="P15" s="277">
        <v>28.2</v>
      </c>
      <c r="Q15" s="233"/>
      <c r="R15" s="234"/>
      <c r="S15" s="234"/>
      <c r="T15" s="234"/>
    </row>
    <row r="16" spans="2:20">
      <c r="B16" s="234" t="s">
        <v>444</v>
      </c>
      <c r="C16" s="57">
        <v>0.52</v>
      </c>
      <c r="D16" s="234"/>
      <c r="E16" s="328" t="s">
        <v>47</v>
      </c>
      <c r="F16" s="328" t="s">
        <v>44</v>
      </c>
      <c r="G16" s="329">
        <v>2.4581595000000003</v>
      </c>
      <c r="H16" s="329"/>
      <c r="I16" s="330" t="s">
        <v>439</v>
      </c>
      <c r="J16" s="329">
        <f t="shared" si="1"/>
        <v>0.37925999999999999</v>
      </c>
      <c r="K16" s="329"/>
      <c r="L16" s="332" t="s">
        <v>441</v>
      </c>
      <c r="M16" s="233">
        <f t="shared" si="0"/>
        <v>0.13366370393944216</v>
      </c>
      <c r="N16" s="233"/>
      <c r="O16" s="233"/>
      <c r="P16" s="277">
        <v>25.8</v>
      </c>
      <c r="Q16" s="233"/>
      <c r="R16" s="234"/>
      <c r="S16" s="234"/>
      <c r="T16" s="234"/>
    </row>
    <row r="17" spans="2:22">
      <c r="B17" s="234" t="s">
        <v>445</v>
      </c>
      <c r="C17" s="57">
        <v>0.19</v>
      </c>
      <c r="D17" s="234"/>
      <c r="E17" s="328" t="s">
        <v>48</v>
      </c>
      <c r="F17" s="328" t="s">
        <v>44</v>
      </c>
      <c r="G17" s="329">
        <v>1.8290947499999997</v>
      </c>
      <c r="H17" s="329"/>
      <c r="I17" s="330" t="s">
        <v>439</v>
      </c>
      <c r="J17" s="329">
        <f t="shared" si="1"/>
        <v>0.27782999999999997</v>
      </c>
      <c r="K17" s="329"/>
      <c r="L17" s="332" t="s">
        <v>441</v>
      </c>
      <c r="M17" s="233">
        <f t="shared" si="0"/>
        <v>0.13186517458680003</v>
      </c>
      <c r="N17" s="233"/>
      <c r="O17" s="233"/>
      <c r="P17" s="277">
        <v>18.899999999999999</v>
      </c>
      <c r="Q17" s="233"/>
      <c r="R17" s="234"/>
      <c r="S17" s="234"/>
      <c r="T17" s="234"/>
      <c r="U17" s="234"/>
      <c r="V17" s="234"/>
    </row>
    <row r="18" spans="2:22">
      <c r="B18" s="234" t="s">
        <v>446</v>
      </c>
      <c r="C18" s="57">
        <v>1.0900000000000001</v>
      </c>
      <c r="D18" s="234"/>
      <c r="E18" s="328" t="s">
        <v>49</v>
      </c>
      <c r="F18" s="328" t="s">
        <v>44</v>
      </c>
      <c r="G18" s="329">
        <v>1.2099622500000002</v>
      </c>
      <c r="H18" s="329"/>
      <c r="I18" s="330" t="s">
        <v>439</v>
      </c>
      <c r="J18" s="329">
        <f>14.7/(1000/P18)</f>
        <v>0.17493</v>
      </c>
      <c r="K18" s="329"/>
      <c r="L18" s="332" t="s">
        <v>441</v>
      </c>
      <c r="M18" s="233">
        <f t="shared" si="0"/>
        <v>0.12631307598118191</v>
      </c>
      <c r="N18" s="233"/>
      <c r="O18" s="233"/>
      <c r="P18" s="277">
        <v>11.9</v>
      </c>
      <c r="Q18" s="233"/>
      <c r="R18" s="234"/>
      <c r="S18" s="234"/>
      <c r="T18" s="234"/>
      <c r="U18" s="234"/>
      <c r="V18" s="234"/>
    </row>
    <row r="19" spans="2:22">
      <c r="B19" s="234" t="s">
        <v>447</v>
      </c>
      <c r="C19" s="57">
        <v>0.7</v>
      </c>
      <c r="D19" s="234"/>
      <c r="E19" s="328" t="s">
        <v>50</v>
      </c>
      <c r="F19" s="328" t="s">
        <v>448</v>
      </c>
      <c r="G19" s="333">
        <f>3.137*N19/1000</f>
        <v>2.9487799999999998E-3</v>
      </c>
      <c r="H19" s="329"/>
      <c r="I19" s="330" t="s">
        <v>439</v>
      </c>
      <c r="J19" s="333">
        <f>(11.2/(1000/P19))/(1000/N19)</f>
        <v>4.2533119999999989E-4</v>
      </c>
      <c r="K19" s="329" t="s">
        <v>449</v>
      </c>
      <c r="L19" s="332" t="s">
        <v>441</v>
      </c>
      <c r="M19" s="233">
        <f>J19/(J19+G19)</f>
        <v>0.12605725620424127</v>
      </c>
      <c r="N19" s="277">
        <v>0.94</v>
      </c>
      <c r="O19" s="233" t="s">
        <v>450</v>
      </c>
      <c r="P19" s="277">
        <v>40.4</v>
      </c>
      <c r="Q19" s="233"/>
      <c r="R19" s="234"/>
      <c r="S19" s="234"/>
      <c r="T19" s="234"/>
      <c r="U19" s="234"/>
      <c r="V19" s="234"/>
    </row>
    <row r="20" spans="2:22">
      <c r="B20" s="171" t="s">
        <v>451</v>
      </c>
      <c r="C20" s="170">
        <v>8.2000000000000003E-2</v>
      </c>
      <c r="D20" s="234"/>
      <c r="E20" s="328" t="s">
        <v>52</v>
      </c>
      <c r="F20" s="328" t="s">
        <v>448</v>
      </c>
      <c r="G20" s="333">
        <f>3.197*N20/1000</f>
        <v>2.6854800000000001E-3</v>
      </c>
      <c r="H20" s="329"/>
      <c r="I20" s="330" t="s">
        <v>439</v>
      </c>
      <c r="J20" s="333">
        <f>(11.2/(1000/P20))/(1000/N20)</f>
        <v>4.0454399999999995E-4</v>
      </c>
      <c r="K20" s="329" t="s">
        <v>449</v>
      </c>
      <c r="L20" s="332" t="s">
        <v>441</v>
      </c>
      <c r="M20" s="233">
        <f t="shared" si="0"/>
        <v>0.13091937150002717</v>
      </c>
      <c r="N20" s="277">
        <v>0.84</v>
      </c>
      <c r="O20" s="233" t="s">
        <v>450</v>
      </c>
      <c r="P20" s="277">
        <v>43</v>
      </c>
      <c r="Q20" s="233"/>
      <c r="R20" s="234"/>
      <c r="S20" s="234"/>
      <c r="T20" s="234"/>
      <c r="U20" s="234"/>
      <c r="V20" s="234"/>
    </row>
    <row r="21" spans="2:22">
      <c r="B21" s="171" t="s">
        <v>452</v>
      </c>
      <c r="C21" s="170">
        <v>0.58799999999999997</v>
      </c>
      <c r="D21" s="234"/>
      <c r="E21" s="328" t="s">
        <v>53</v>
      </c>
      <c r="F21" s="328" t="s">
        <v>448</v>
      </c>
      <c r="G21" s="333">
        <f>2.99250545*N21/1000</f>
        <v>1.6159529430000001E-3</v>
      </c>
      <c r="H21" s="329"/>
      <c r="I21" s="330" t="s">
        <v>439</v>
      </c>
      <c r="J21" s="333">
        <f>(7.03/(1000/P21))/(1000/N21)</f>
        <v>1.7956026000000001E-4</v>
      </c>
      <c r="K21" s="329" t="s">
        <v>449</v>
      </c>
      <c r="L21" s="332" t="s">
        <v>441</v>
      </c>
      <c r="M21" s="233">
        <f t="shared" si="0"/>
        <v>0.10000497891075658</v>
      </c>
      <c r="N21" s="277">
        <v>0.54</v>
      </c>
      <c r="O21" s="233" t="s">
        <v>450</v>
      </c>
      <c r="P21" s="277">
        <v>47.3</v>
      </c>
      <c r="Q21" s="233"/>
      <c r="R21" s="234"/>
      <c r="S21" s="234"/>
      <c r="T21" s="234"/>
      <c r="U21" s="234"/>
      <c r="V21" s="234"/>
    </row>
    <row r="22" spans="2:22">
      <c r="B22" s="171" t="s">
        <v>453</v>
      </c>
      <c r="C22" s="170">
        <v>0.499</v>
      </c>
      <c r="D22" s="234"/>
      <c r="E22" s="328" t="s">
        <v>54</v>
      </c>
      <c r="F22" s="328" t="s">
        <v>277</v>
      </c>
      <c r="G22" s="333">
        <f>(G23/(1470.3/55.58))</f>
        <v>2.1271078011290212E-3</v>
      </c>
      <c r="H22" s="329"/>
      <c r="I22" s="330" t="s">
        <v>439</v>
      </c>
      <c r="J22" s="333">
        <f>(8.7/(1470.3*1000/55.58))</f>
        <v>3.2887573964497034E-4</v>
      </c>
      <c r="K22" s="329" t="s">
        <v>454</v>
      </c>
      <c r="L22" s="332" t="s">
        <v>441</v>
      </c>
      <c r="M22" s="233">
        <f>J22/(J22+G22)</f>
        <v>0.13390795751885481</v>
      </c>
      <c r="N22" s="234"/>
      <c r="O22" s="234"/>
      <c r="P22" s="277"/>
      <c r="Q22" s="233"/>
      <c r="R22" s="234"/>
      <c r="S22" s="234">
        <v>229</v>
      </c>
      <c r="T22" s="234">
        <f>S22/1333</f>
        <v>0.17179294823705926</v>
      </c>
      <c r="U22" s="234">
        <f>T22*G22</f>
        <v>3.6542212037400288E-4</v>
      </c>
      <c r="V22" s="234">
        <f>T22*J22</f>
        <v>5.649853291725297E-5</v>
      </c>
    </row>
    <row r="23" spans="2:22">
      <c r="B23" s="171" t="s">
        <v>455</v>
      </c>
      <c r="C23" s="170">
        <v>0.58599999999999997</v>
      </c>
      <c r="D23" s="234"/>
      <c r="E23" s="328" t="s">
        <v>54</v>
      </c>
      <c r="F23" s="334" t="s">
        <v>279</v>
      </c>
      <c r="G23" s="483">
        <f>56.27/1000</f>
        <v>5.6270000000000001E-2</v>
      </c>
      <c r="H23" s="334"/>
      <c r="I23" s="330" t="s">
        <v>439</v>
      </c>
      <c r="J23" s="334">
        <f>8.7/1000</f>
        <v>8.6999999999999994E-3</v>
      </c>
      <c r="K23" s="329" t="s">
        <v>456</v>
      </c>
      <c r="L23" s="332" t="s">
        <v>441</v>
      </c>
      <c r="M23" s="233">
        <f>J23/(J23+G23)</f>
        <v>0.13390795751885484</v>
      </c>
      <c r="N23" s="85"/>
      <c r="O23" s="85"/>
      <c r="P23" s="85"/>
      <c r="Q23" s="85"/>
      <c r="R23" s="234"/>
      <c r="S23" s="234"/>
      <c r="T23" s="234"/>
      <c r="U23" s="234"/>
      <c r="V23" s="234"/>
    </row>
    <row r="24" spans="2:22">
      <c r="B24" s="171" t="s">
        <v>457</v>
      </c>
      <c r="C24" s="170">
        <v>0.747</v>
      </c>
      <c r="D24" s="234"/>
      <c r="E24" s="328" t="s">
        <v>55</v>
      </c>
      <c r="F24" s="328" t="s">
        <v>44</v>
      </c>
      <c r="G24" s="335">
        <v>0</v>
      </c>
      <c r="H24" s="335"/>
      <c r="I24" s="335" t="s">
        <v>458</v>
      </c>
      <c r="J24" s="329">
        <v>8.3999999999999995E-3</v>
      </c>
      <c r="K24" s="329"/>
      <c r="L24" s="332" t="s">
        <v>441</v>
      </c>
      <c r="M24" s="85"/>
      <c r="N24" s="234"/>
      <c r="O24" s="85"/>
      <c r="P24" s="85"/>
      <c r="Q24" s="85"/>
      <c r="R24" s="234"/>
      <c r="S24" s="234"/>
      <c r="T24" s="234"/>
      <c r="U24" s="234"/>
      <c r="V24" s="234"/>
    </row>
    <row r="25" spans="2:22">
      <c r="B25" s="171" t="s">
        <v>459</v>
      </c>
      <c r="C25" s="170">
        <v>0.48699999999999999</v>
      </c>
      <c r="D25" s="234"/>
      <c r="E25" s="328" t="s">
        <v>57</v>
      </c>
      <c r="F25" s="328" t="s">
        <v>44</v>
      </c>
      <c r="G25" s="335">
        <v>0</v>
      </c>
      <c r="H25" s="335"/>
      <c r="I25" s="335" t="s">
        <v>458</v>
      </c>
      <c r="J25" s="336">
        <v>0.66</v>
      </c>
      <c r="K25" s="336"/>
      <c r="L25" s="337" t="s">
        <v>460</v>
      </c>
      <c r="M25" s="85"/>
      <c r="N25" s="85"/>
      <c r="O25" s="85"/>
      <c r="P25" s="85"/>
      <c r="Q25" s="85"/>
      <c r="R25" s="234"/>
      <c r="S25" s="234"/>
      <c r="T25" s="234"/>
      <c r="U25" s="234"/>
      <c r="V25" s="234"/>
    </row>
    <row r="26" spans="2:22">
      <c r="B26" s="171" t="s">
        <v>462</v>
      </c>
      <c r="C26" s="170">
        <v>0.161</v>
      </c>
      <c r="D26" s="234"/>
      <c r="E26" s="328" t="s">
        <v>58</v>
      </c>
      <c r="F26" s="328" t="s">
        <v>44</v>
      </c>
      <c r="G26" s="328">
        <v>0</v>
      </c>
      <c r="H26" s="328"/>
      <c r="I26" s="328" t="s">
        <v>458</v>
      </c>
      <c r="J26" s="345">
        <f>1.2648</f>
        <v>1.2647999999999999</v>
      </c>
      <c r="K26" s="345"/>
      <c r="L26" s="346" t="s">
        <v>441</v>
      </c>
      <c r="M26" s="85"/>
      <c r="N26" s="85"/>
      <c r="O26" s="85"/>
      <c r="P26" s="85"/>
      <c r="Q26" s="85"/>
      <c r="R26" s="234"/>
      <c r="S26" s="234"/>
      <c r="T26" s="234"/>
      <c r="U26" s="234"/>
      <c r="V26" s="234"/>
    </row>
    <row r="27" spans="2:22" ht="30.6">
      <c r="B27" s="171" t="s">
        <v>463</v>
      </c>
      <c r="C27" s="170">
        <v>0.115</v>
      </c>
      <c r="D27" s="234"/>
      <c r="E27" s="328" t="s">
        <v>111</v>
      </c>
      <c r="F27" s="328" t="s">
        <v>44</v>
      </c>
      <c r="G27" s="335">
        <v>0</v>
      </c>
      <c r="H27" s="335"/>
      <c r="I27" s="335" t="s">
        <v>458</v>
      </c>
      <c r="J27" s="336">
        <v>15.5</v>
      </c>
      <c r="K27" s="336"/>
      <c r="L27" s="337" t="s">
        <v>464</v>
      </c>
      <c r="M27" s="85"/>
      <c r="N27" s="85"/>
      <c r="O27" s="85"/>
      <c r="P27" s="85"/>
      <c r="Q27" s="85"/>
      <c r="R27" s="234"/>
      <c r="S27" s="234"/>
      <c r="T27" s="234"/>
      <c r="U27" s="234"/>
      <c r="V27" s="234"/>
    </row>
    <row r="28" spans="2:22" ht="30.6">
      <c r="B28" s="171" t="s">
        <v>468</v>
      </c>
      <c r="C28" s="170">
        <v>0.57199999999999995</v>
      </c>
      <c r="D28" s="234"/>
      <c r="E28" s="328" t="s">
        <v>59</v>
      </c>
      <c r="F28" s="328" t="s">
        <v>44</v>
      </c>
      <c r="G28" s="335">
        <v>0</v>
      </c>
      <c r="H28" s="335"/>
      <c r="I28" s="335" t="s">
        <v>458</v>
      </c>
      <c r="J28" s="336">
        <v>15.6</v>
      </c>
      <c r="K28" s="336"/>
      <c r="L28" s="337" t="s">
        <v>469</v>
      </c>
      <c r="M28" s="85"/>
      <c r="N28" s="85"/>
      <c r="O28" s="85"/>
      <c r="P28" s="85"/>
      <c r="Q28" s="85"/>
      <c r="R28" s="234"/>
      <c r="S28" s="234"/>
      <c r="T28" s="234"/>
      <c r="U28" s="234"/>
      <c r="V28" s="234"/>
    </row>
    <row r="29" spans="2:22" ht="30.6">
      <c r="B29" s="171" t="s">
        <v>472</v>
      </c>
      <c r="C29" s="170">
        <v>0.77700000000000002</v>
      </c>
      <c r="D29" s="234"/>
      <c r="E29" s="328" t="s">
        <v>109</v>
      </c>
      <c r="F29" s="328" t="s">
        <v>44</v>
      </c>
      <c r="G29" s="335">
        <v>0</v>
      </c>
      <c r="H29" s="335"/>
      <c r="I29" s="335" t="s">
        <v>458</v>
      </c>
      <c r="J29" s="339">
        <v>0</v>
      </c>
      <c r="K29" s="339"/>
      <c r="L29" s="337" t="s">
        <v>473</v>
      </c>
      <c r="M29" s="85"/>
      <c r="N29" s="85"/>
      <c r="O29" s="85"/>
      <c r="P29" s="85"/>
      <c r="Q29" s="85"/>
      <c r="R29" s="234"/>
      <c r="S29" s="234"/>
      <c r="T29" s="234"/>
      <c r="U29" s="234"/>
      <c r="V29" s="234"/>
    </row>
    <row r="30" spans="2:22">
      <c r="B30" s="171" t="s">
        <v>476</v>
      </c>
      <c r="C30" s="170">
        <v>2.4E-2</v>
      </c>
      <c r="D30" s="234"/>
      <c r="E30" s="328" t="s">
        <v>112</v>
      </c>
      <c r="F30" s="334" t="s">
        <v>44</v>
      </c>
      <c r="G30" s="340">
        <v>0</v>
      </c>
      <c r="H30" s="340"/>
      <c r="I30" s="335" t="s">
        <v>458</v>
      </c>
      <c r="J30" s="341" t="s">
        <v>477</v>
      </c>
      <c r="K30" s="341"/>
      <c r="L30" s="340"/>
      <c r="M30" s="85"/>
      <c r="N30" s="85"/>
      <c r="O30" s="85"/>
      <c r="P30" s="85"/>
      <c r="Q30" s="85"/>
      <c r="R30" s="234"/>
      <c r="S30" s="234"/>
      <c r="T30" s="234"/>
      <c r="U30" s="234"/>
      <c r="V30" s="234"/>
    </row>
    <row r="31" spans="2:22">
      <c r="B31" s="171" t="s">
        <v>480</v>
      </c>
      <c r="C31" s="170">
        <v>0.32800000000000001</v>
      </c>
      <c r="D31" s="234"/>
      <c r="E31" s="328" t="s">
        <v>60</v>
      </c>
      <c r="F31" s="328" t="s">
        <v>44</v>
      </c>
      <c r="G31" s="335" t="s">
        <v>481</v>
      </c>
      <c r="H31" s="335"/>
      <c r="I31" s="335" t="s">
        <v>481</v>
      </c>
      <c r="J31" s="335">
        <v>0.39700000000000002</v>
      </c>
      <c r="K31" s="335"/>
      <c r="L31" s="337" t="s">
        <v>482</v>
      </c>
      <c r="M31" s="85"/>
      <c r="N31" s="85"/>
      <c r="O31" s="85"/>
      <c r="P31" s="85"/>
      <c r="Q31" s="85"/>
      <c r="R31" s="234"/>
      <c r="S31" s="234"/>
      <c r="T31" s="234"/>
      <c r="U31" s="234"/>
      <c r="V31" s="234"/>
    </row>
    <row r="32" spans="2:22">
      <c r="B32" s="171" t="s">
        <v>483</v>
      </c>
      <c r="C32" s="170">
        <v>0.72099999999999997</v>
      </c>
      <c r="D32" s="234"/>
      <c r="E32" s="328" t="s">
        <v>63</v>
      </c>
      <c r="F32" s="328" t="s">
        <v>44</v>
      </c>
      <c r="G32" s="335" t="s">
        <v>481</v>
      </c>
      <c r="H32" s="335"/>
      <c r="I32" s="335" t="s">
        <v>481</v>
      </c>
      <c r="J32" s="328">
        <v>2.62</v>
      </c>
      <c r="K32" s="328" t="s">
        <v>440</v>
      </c>
      <c r="L32" s="328" t="s">
        <v>441</v>
      </c>
      <c r="M32" s="85"/>
      <c r="N32" s="85"/>
      <c r="O32" s="85"/>
      <c r="P32" s="85"/>
      <c r="Q32" s="85"/>
      <c r="R32" s="234"/>
      <c r="S32" s="234"/>
      <c r="T32" s="234"/>
      <c r="U32" s="234"/>
      <c r="V32" s="234"/>
    </row>
    <row r="33" spans="2:17" ht="60.95">
      <c r="B33" s="171" t="s">
        <v>484</v>
      </c>
      <c r="C33" s="170">
        <v>1.052</v>
      </c>
      <c r="D33" s="234"/>
      <c r="E33" s="328" t="s">
        <v>64</v>
      </c>
      <c r="F33" s="328" t="s">
        <v>44</v>
      </c>
      <c r="G33" s="335" t="s">
        <v>481</v>
      </c>
      <c r="H33" s="335"/>
      <c r="I33" s="335" t="s">
        <v>481</v>
      </c>
      <c r="J33" s="338">
        <v>0.82080900000000012</v>
      </c>
      <c r="K33" s="338"/>
      <c r="L33" s="337" t="s">
        <v>485</v>
      </c>
      <c r="M33" s="86"/>
      <c r="N33" s="86"/>
      <c r="O33" s="86"/>
      <c r="P33" s="86"/>
      <c r="Q33" s="86"/>
    </row>
    <row r="34" spans="2:17">
      <c r="B34" s="171" t="s">
        <v>486</v>
      </c>
      <c r="C34" s="170">
        <v>6.2E-2</v>
      </c>
      <c r="D34" s="234"/>
      <c r="E34" s="328" t="s">
        <v>65</v>
      </c>
      <c r="F34" s="328" t="s">
        <v>44</v>
      </c>
      <c r="G34" s="328" t="s">
        <v>481</v>
      </c>
      <c r="H34" s="328"/>
      <c r="I34" s="328" t="s">
        <v>481</v>
      </c>
      <c r="J34" s="345">
        <v>1.7499</v>
      </c>
      <c r="K34" s="345"/>
      <c r="L34" s="346" t="s">
        <v>441</v>
      </c>
      <c r="M34" s="86"/>
      <c r="N34" s="86"/>
      <c r="O34" s="86"/>
      <c r="P34" s="86"/>
      <c r="Q34" s="86"/>
    </row>
    <row r="35" spans="2:17">
      <c r="B35" s="171" t="s">
        <v>487</v>
      </c>
      <c r="C35" s="170">
        <v>0.75900000000000001</v>
      </c>
      <c r="D35" s="234"/>
      <c r="E35" s="242" t="s">
        <v>341</v>
      </c>
      <c r="F35" s="328" t="s">
        <v>44</v>
      </c>
      <c r="G35" s="328" t="s">
        <v>481</v>
      </c>
      <c r="H35" s="328"/>
      <c r="I35" s="328" t="s">
        <v>481</v>
      </c>
      <c r="J35" s="234">
        <v>1.89</v>
      </c>
      <c r="K35" s="331" t="s">
        <v>440</v>
      </c>
      <c r="L35" s="346" t="s">
        <v>441</v>
      </c>
      <c r="M35" s="86"/>
      <c r="N35" s="86"/>
      <c r="O35" s="86"/>
      <c r="P35" s="86"/>
      <c r="Q35" s="86"/>
    </row>
    <row r="36" spans="2:17" ht="60.95">
      <c r="B36" s="171" t="s">
        <v>488</v>
      </c>
      <c r="C36" s="170">
        <v>0.499</v>
      </c>
      <c r="D36" s="234"/>
      <c r="E36" s="328" t="s">
        <v>66</v>
      </c>
      <c r="F36" s="328" t="s">
        <v>44</v>
      </c>
      <c r="G36" s="335" t="s">
        <v>481</v>
      </c>
      <c r="H36" s="335"/>
      <c r="I36" s="335" t="s">
        <v>481</v>
      </c>
      <c r="J36" s="338">
        <v>0.66500000000000004</v>
      </c>
      <c r="K36" s="338"/>
      <c r="L36" s="337" t="s">
        <v>489</v>
      </c>
      <c r="M36" s="86"/>
      <c r="N36" s="86"/>
      <c r="O36" s="86"/>
      <c r="P36" s="86"/>
      <c r="Q36" s="86"/>
    </row>
    <row r="37" spans="2:17">
      <c r="B37" s="171" t="s">
        <v>490</v>
      </c>
      <c r="C37" s="170">
        <v>0.41</v>
      </c>
      <c r="D37" s="234"/>
      <c r="E37" s="328" t="s">
        <v>67</v>
      </c>
      <c r="F37" s="328" t="s">
        <v>44</v>
      </c>
      <c r="G37" s="335">
        <v>0</v>
      </c>
      <c r="H37" s="335"/>
      <c r="I37" s="335" t="s">
        <v>458</v>
      </c>
      <c r="J37" s="328">
        <v>1.1200000000000001</v>
      </c>
      <c r="K37" s="328"/>
      <c r="L37" s="328" t="s">
        <v>441</v>
      </c>
      <c r="M37" s="86"/>
      <c r="N37" s="86"/>
      <c r="O37" s="86"/>
      <c r="P37" s="86"/>
      <c r="Q37" s="86"/>
    </row>
    <row r="38" spans="2:17">
      <c r="B38" s="171" t="s">
        <v>491</v>
      </c>
      <c r="C38" s="170">
        <v>0.65900000000000003</v>
      </c>
      <c r="D38" s="234"/>
      <c r="E38" s="328" t="s">
        <v>69</v>
      </c>
      <c r="F38" s="328" t="s">
        <v>44</v>
      </c>
      <c r="G38" s="329">
        <v>0.39290472000000004</v>
      </c>
      <c r="H38" s="328"/>
      <c r="I38" s="332" t="s">
        <v>492</v>
      </c>
      <c r="J38" s="329">
        <v>0.41492000000000001</v>
      </c>
      <c r="K38" s="328"/>
      <c r="L38" s="328" t="s">
        <v>441</v>
      </c>
      <c r="M38" s="86"/>
      <c r="N38" s="86"/>
      <c r="O38" s="86"/>
      <c r="P38" s="86"/>
      <c r="Q38" s="86"/>
    </row>
    <row r="39" spans="2:17">
      <c r="B39" s="171" t="s">
        <v>493</v>
      </c>
      <c r="C39" s="170">
        <v>0.308</v>
      </c>
      <c r="D39" s="234"/>
      <c r="E39" s="328" t="s">
        <v>70</v>
      </c>
      <c r="F39" s="328" t="s">
        <v>44</v>
      </c>
      <c r="G39" s="328">
        <v>0</v>
      </c>
      <c r="H39" s="328"/>
      <c r="I39" s="328" t="s">
        <v>458</v>
      </c>
      <c r="J39" s="328">
        <v>1.022</v>
      </c>
      <c r="K39" s="328"/>
      <c r="L39" s="328" t="s">
        <v>494</v>
      </c>
      <c r="M39" s="86"/>
      <c r="N39" s="86"/>
      <c r="O39" s="86"/>
      <c r="P39" s="86"/>
      <c r="Q39" s="86"/>
    </row>
    <row r="40" spans="2:17">
      <c r="B40" s="171" t="s">
        <v>495</v>
      </c>
      <c r="C40" s="170">
        <v>0.27300000000000002</v>
      </c>
      <c r="D40" s="234"/>
      <c r="E40" s="328" t="s">
        <v>71</v>
      </c>
      <c r="F40" s="328" t="s">
        <v>496</v>
      </c>
      <c r="G40" s="336">
        <v>0.77573496000000008</v>
      </c>
      <c r="H40" s="335"/>
      <c r="I40" s="332" t="s">
        <v>492</v>
      </c>
      <c r="J40" s="345">
        <v>0.79</v>
      </c>
      <c r="K40" s="345"/>
      <c r="L40" s="328" t="s">
        <v>441</v>
      </c>
      <c r="M40" s="86"/>
      <c r="N40" s="86"/>
      <c r="O40" s="86"/>
      <c r="P40" s="86"/>
      <c r="Q40" s="86"/>
    </row>
    <row r="41" spans="2:17">
      <c r="B41" s="171" t="s">
        <v>497</v>
      </c>
      <c r="C41" s="170">
        <v>0.64400000000000002</v>
      </c>
      <c r="D41" s="234"/>
      <c r="E41" s="328" t="s">
        <v>72</v>
      </c>
      <c r="F41" s="328" t="s">
        <v>74</v>
      </c>
      <c r="G41" s="336">
        <v>0.22163856000000001</v>
      </c>
      <c r="H41" s="335"/>
      <c r="I41" s="332" t="s">
        <v>492</v>
      </c>
      <c r="J41" s="328">
        <v>1.88</v>
      </c>
      <c r="K41" s="328" t="s">
        <v>440</v>
      </c>
      <c r="L41" s="328" t="s">
        <v>441</v>
      </c>
      <c r="M41" s="86"/>
      <c r="N41" s="86"/>
      <c r="O41" s="86"/>
      <c r="P41" s="86"/>
      <c r="Q41" s="86"/>
    </row>
    <row r="42" spans="2:17" ht="45.75">
      <c r="B42" s="171" t="s">
        <v>498</v>
      </c>
      <c r="C42" s="170">
        <v>0.49099999999999999</v>
      </c>
      <c r="D42" s="234"/>
      <c r="E42" s="328" t="s">
        <v>77</v>
      </c>
      <c r="F42" s="328" t="s">
        <v>78</v>
      </c>
      <c r="G42" s="336">
        <v>0.23171304000000001</v>
      </c>
      <c r="H42" s="335"/>
      <c r="I42" s="342" t="s">
        <v>499</v>
      </c>
      <c r="J42" s="335" t="s">
        <v>481</v>
      </c>
      <c r="K42" s="335"/>
      <c r="L42" s="335" t="s">
        <v>481</v>
      </c>
      <c r="M42" s="86"/>
      <c r="N42" s="86"/>
      <c r="O42" s="86"/>
      <c r="P42" s="86"/>
      <c r="Q42" s="86"/>
    </row>
    <row r="43" spans="2:17" ht="30.6">
      <c r="B43" s="171" t="s">
        <v>500</v>
      </c>
      <c r="C43" s="170">
        <v>0.22700000000000001</v>
      </c>
      <c r="D43" s="234"/>
      <c r="E43" s="328" t="s">
        <v>79</v>
      </c>
      <c r="F43" s="343" t="s">
        <v>501</v>
      </c>
      <c r="G43" s="329">
        <v>3.60666384</v>
      </c>
      <c r="H43" s="328" t="s">
        <v>438</v>
      </c>
      <c r="I43" s="332" t="s">
        <v>492</v>
      </c>
      <c r="J43" s="328" t="s">
        <v>481</v>
      </c>
      <c r="K43" s="328"/>
      <c r="L43" s="328" t="s">
        <v>481</v>
      </c>
      <c r="M43" s="86"/>
      <c r="N43" s="86"/>
      <c r="O43" s="86"/>
      <c r="P43" s="86"/>
      <c r="Q43" s="86"/>
    </row>
    <row r="44" spans="2:17">
      <c r="B44" s="171" t="s">
        <v>503</v>
      </c>
      <c r="C44" s="170">
        <v>0.11899999999999999</v>
      </c>
      <c r="D44" s="234"/>
      <c r="E44" s="328" t="s">
        <v>80</v>
      </c>
      <c r="F44" s="328" t="s">
        <v>504</v>
      </c>
      <c r="G44" s="329">
        <v>3.5159935199999999</v>
      </c>
      <c r="H44" s="328" t="s">
        <v>438</v>
      </c>
      <c r="I44" s="332" t="s">
        <v>492</v>
      </c>
      <c r="J44" s="328" t="s">
        <v>481</v>
      </c>
      <c r="K44" s="328"/>
      <c r="L44" s="328" t="s">
        <v>481</v>
      </c>
      <c r="M44" s="86"/>
      <c r="N44" s="86"/>
      <c r="O44" s="86"/>
      <c r="P44" s="86"/>
      <c r="Q44" s="86"/>
    </row>
    <row r="45" spans="2:17">
      <c r="B45" s="243" t="s">
        <v>507</v>
      </c>
      <c r="C45" s="57">
        <v>0.67</v>
      </c>
      <c r="D45" s="234"/>
      <c r="E45" s="328" t="s">
        <v>82</v>
      </c>
      <c r="F45" s="328" t="s">
        <v>83</v>
      </c>
      <c r="G45" s="335">
        <v>0.1</v>
      </c>
      <c r="H45" s="335"/>
      <c r="I45" s="335" t="s">
        <v>508</v>
      </c>
      <c r="J45" s="335" t="s">
        <v>481</v>
      </c>
      <c r="K45" s="335"/>
      <c r="L45" s="335" t="s">
        <v>481</v>
      </c>
      <c r="M45" s="86"/>
      <c r="N45" s="86"/>
      <c r="O45" s="86"/>
      <c r="P45" s="86"/>
      <c r="Q45" s="86"/>
    </row>
    <row r="46" spans="2:17">
      <c r="B46" s="234" t="s">
        <v>510</v>
      </c>
      <c r="C46" s="57">
        <v>1.9699999999999999E-2</v>
      </c>
      <c r="D46" s="234"/>
      <c r="E46" s="328" t="s">
        <v>114</v>
      </c>
      <c r="F46" s="328" t="s">
        <v>511</v>
      </c>
      <c r="G46" s="335">
        <v>0.48</v>
      </c>
      <c r="H46" s="335"/>
      <c r="I46" s="335" t="s">
        <v>512</v>
      </c>
      <c r="J46" s="335" t="s">
        <v>481</v>
      </c>
      <c r="K46" s="335"/>
      <c r="L46" s="335" t="s">
        <v>481</v>
      </c>
      <c r="M46" s="86"/>
      <c r="N46" s="86"/>
      <c r="O46" s="86"/>
      <c r="P46" s="86"/>
      <c r="Q46" s="86"/>
    </row>
    <row r="47" spans="2:17">
      <c r="B47" s="234" t="s">
        <v>514</v>
      </c>
      <c r="C47" s="57">
        <v>1.2999999999999999E-3</v>
      </c>
      <c r="D47" s="234"/>
      <c r="E47" s="328" t="s">
        <v>120</v>
      </c>
      <c r="F47" s="328" t="s">
        <v>515</v>
      </c>
      <c r="G47" s="335">
        <v>0.41</v>
      </c>
      <c r="H47" s="335"/>
      <c r="I47" s="335" t="s">
        <v>516</v>
      </c>
      <c r="J47" s="335" t="s">
        <v>481</v>
      </c>
      <c r="K47" s="335"/>
      <c r="L47" s="335" t="s">
        <v>481</v>
      </c>
      <c r="M47" s="234"/>
      <c r="N47" s="234"/>
      <c r="O47" s="234"/>
      <c r="P47" s="234"/>
      <c r="Q47" s="234"/>
    </row>
    <row r="48" spans="2:17">
      <c r="B48" s="234" t="s">
        <v>518</v>
      </c>
      <c r="C48" s="57">
        <v>0.27</v>
      </c>
      <c r="D48" s="234"/>
      <c r="E48" s="328" t="s">
        <v>121</v>
      </c>
      <c r="F48" s="328" t="s">
        <v>515</v>
      </c>
      <c r="G48" s="335">
        <v>0.41</v>
      </c>
      <c r="H48" s="335"/>
      <c r="I48" s="335" t="s">
        <v>516</v>
      </c>
      <c r="J48" s="335" t="s">
        <v>481</v>
      </c>
      <c r="K48" s="335"/>
      <c r="L48" s="335" t="s">
        <v>481</v>
      </c>
      <c r="M48" s="234"/>
      <c r="N48" s="234"/>
      <c r="O48" s="234"/>
      <c r="P48" s="234"/>
      <c r="Q48" s="234"/>
    </row>
    <row r="49" spans="2:12">
      <c r="B49" s="234" t="s">
        <v>519</v>
      </c>
      <c r="C49" s="57">
        <v>2.8000000000000001E-2</v>
      </c>
      <c r="D49" s="234"/>
      <c r="E49" s="328" t="s">
        <v>122</v>
      </c>
      <c r="F49" s="328" t="s">
        <v>515</v>
      </c>
      <c r="G49" s="335">
        <v>0.66</v>
      </c>
      <c r="H49" s="335"/>
      <c r="I49" s="335" t="s">
        <v>516</v>
      </c>
      <c r="J49" s="335" t="s">
        <v>481</v>
      </c>
      <c r="K49" s="335"/>
      <c r="L49" s="335" t="s">
        <v>481</v>
      </c>
    </row>
    <row r="50" spans="2:12">
      <c r="B50" s="234" t="s">
        <v>521</v>
      </c>
      <c r="C50" s="57">
        <v>0.2</v>
      </c>
      <c r="D50" s="234"/>
      <c r="E50" s="328" t="s">
        <v>123</v>
      </c>
      <c r="F50" s="328" t="s">
        <v>515</v>
      </c>
      <c r="G50" s="335">
        <v>0.72</v>
      </c>
      <c r="H50" s="335"/>
      <c r="I50" s="335" t="s">
        <v>516</v>
      </c>
      <c r="J50" s="335" t="s">
        <v>481</v>
      </c>
      <c r="K50" s="335"/>
      <c r="L50" s="335" t="s">
        <v>481</v>
      </c>
    </row>
    <row r="51" spans="2:12" ht="16.5" customHeight="1">
      <c r="B51" s="234" t="s">
        <v>523</v>
      </c>
      <c r="C51" s="57">
        <v>0.76</v>
      </c>
      <c r="D51" s="234"/>
      <c r="E51" s="328" t="s">
        <v>321</v>
      </c>
      <c r="F51" s="328" t="s">
        <v>44</v>
      </c>
      <c r="G51" s="335"/>
      <c r="H51" s="335"/>
      <c r="I51" s="335"/>
      <c r="J51" s="328">
        <v>0.14000000000000001</v>
      </c>
      <c r="K51" s="328" t="s">
        <v>440</v>
      </c>
      <c r="L51" s="328" t="s">
        <v>441</v>
      </c>
    </row>
    <row r="52" spans="2:12">
      <c r="B52" s="234" t="s">
        <v>524</v>
      </c>
      <c r="C52" s="57">
        <v>0.89</v>
      </c>
      <c r="D52" s="234"/>
      <c r="E52" s="328" t="s">
        <v>525</v>
      </c>
      <c r="F52" s="328" t="s">
        <v>44</v>
      </c>
      <c r="G52" s="335"/>
      <c r="H52" s="335"/>
      <c r="I52" s="335"/>
      <c r="J52" s="328">
        <v>8.0000000000000002E-3</v>
      </c>
      <c r="K52" s="328" t="s">
        <v>440</v>
      </c>
      <c r="L52" s="328" t="s">
        <v>441</v>
      </c>
    </row>
    <row r="53" spans="2:12">
      <c r="B53" s="234" t="s">
        <v>527</v>
      </c>
      <c r="C53" s="57">
        <v>0.03</v>
      </c>
      <c r="D53" s="234"/>
      <c r="E53" s="328" t="s">
        <v>528</v>
      </c>
      <c r="F53" s="328" t="s">
        <v>44</v>
      </c>
      <c r="G53" s="335"/>
      <c r="H53" s="335"/>
      <c r="I53" s="335"/>
      <c r="J53" s="328">
        <v>1.1120000000000001</v>
      </c>
      <c r="K53" s="328" t="s">
        <v>440</v>
      </c>
      <c r="L53" s="328" t="s">
        <v>441</v>
      </c>
    </row>
    <row r="54" spans="2:12">
      <c r="B54" s="234" t="s">
        <v>529</v>
      </c>
      <c r="C54" s="57">
        <v>0.71</v>
      </c>
      <c r="D54" s="234"/>
      <c r="E54" s="242"/>
      <c r="F54" s="242"/>
      <c r="G54" s="242"/>
      <c r="H54" s="242"/>
      <c r="I54" s="242"/>
      <c r="J54" s="234"/>
      <c r="K54" s="234"/>
      <c r="L54" s="242"/>
    </row>
    <row r="55" spans="2:12">
      <c r="B55" s="234" t="s">
        <v>530</v>
      </c>
      <c r="C55" s="57">
        <v>1.5E-3</v>
      </c>
      <c r="D55" s="234"/>
      <c r="E55" s="334" t="s">
        <v>531</v>
      </c>
      <c r="F55" s="334"/>
      <c r="G55" s="334"/>
      <c r="H55" s="334"/>
      <c r="I55" s="334"/>
      <c r="J55" s="234"/>
      <c r="K55" s="234"/>
      <c r="L55" s="242"/>
    </row>
    <row r="56" spans="2:12">
      <c r="B56" s="243" t="s">
        <v>532</v>
      </c>
      <c r="C56" s="57">
        <v>0.71</v>
      </c>
      <c r="D56" s="234"/>
      <c r="E56" s="334" t="s">
        <v>431</v>
      </c>
      <c r="F56" s="334" t="s">
        <v>30</v>
      </c>
      <c r="G56" s="334" t="s">
        <v>432</v>
      </c>
      <c r="H56" s="334" t="s">
        <v>433</v>
      </c>
      <c r="I56" s="334" t="s">
        <v>259</v>
      </c>
      <c r="J56" s="234"/>
      <c r="K56" s="234"/>
      <c r="L56" s="242"/>
    </row>
    <row r="57" spans="2:12">
      <c r="B57" s="234" t="s">
        <v>533</v>
      </c>
      <c r="C57" s="57">
        <v>0.113</v>
      </c>
      <c r="D57" s="234"/>
      <c r="E57" s="334" t="s">
        <v>296</v>
      </c>
      <c r="F57" s="334" t="s">
        <v>44</v>
      </c>
      <c r="G57" s="334">
        <v>0.11</v>
      </c>
      <c r="H57" s="334" t="s">
        <v>438</v>
      </c>
      <c r="I57" s="334" t="s">
        <v>534</v>
      </c>
      <c r="J57" s="234"/>
      <c r="K57" s="234"/>
      <c r="L57" s="242"/>
    </row>
    <row r="58" spans="2:12">
      <c r="B58" s="171" t="s">
        <v>535</v>
      </c>
      <c r="C58" s="170">
        <v>0.75900000000000001</v>
      </c>
      <c r="D58" s="234"/>
      <c r="E58" s="473" t="s">
        <v>297</v>
      </c>
      <c r="F58" s="474" t="s">
        <v>44</v>
      </c>
      <c r="G58" s="334">
        <v>0.36</v>
      </c>
      <c r="H58" s="334"/>
      <c r="I58" s="334" t="s">
        <v>536</v>
      </c>
      <c r="J58" s="234"/>
      <c r="K58" s="234"/>
      <c r="L58" s="242"/>
    </row>
    <row r="59" spans="2:12">
      <c r="B59" s="171" t="s">
        <v>537</v>
      </c>
      <c r="C59" s="170">
        <v>2.9000000000000001E-2</v>
      </c>
      <c r="D59" s="234"/>
      <c r="E59" s="473" t="s">
        <v>285</v>
      </c>
      <c r="F59" s="474" t="s">
        <v>277</v>
      </c>
      <c r="G59" s="334">
        <v>3.2000000000000003E-4</v>
      </c>
      <c r="H59" s="334"/>
      <c r="I59" s="334" t="s">
        <v>538</v>
      </c>
      <c r="J59" s="234"/>
      <c r="K59" s="234"/>
      <c r="L59" s="242"/>
    </row>
    <row r="60" spans="2:12">
      <c r="B60" s="171" t="s">
        <v>539</v>
      </c>
      <c r="C60" s="170">
        <v>0.747</v>
      </c>
      <c r="D60" s="234"/>
      <c r="E60" s="244"/>
      <c r="F60" s="245"/>
      <c r="G60" s="242"/>
      <c r="H60" s="242"/>
      <c r="I60" s="242"/>
      <c r="J60" s="234"/>
      <c r="K60" s="234"/>
      <c r="L60" s="242"/>
    </row>
    <row r="61" spans="2:12">
      <c r="B61" s="171" t="s">
        <v>540</v>
      </c>
      <c r="C61" s="170">
        <v>0.442</v>
      </c>
      <c r="D61" s="234"/>
      <c r="E61" s="242"/>
      <c r="F61" s="242"/>
      <c r="G61" s="242"/>
      <c r="H61" s="242"/>
      <c r="I61" s="242"/>
      <c r="J61" s="234"/>
      <c r="K61" s="234"/>
      <c r="L61" s="242"/>
    </row>
    <row r="62" spans="2:12">
      <c r="B62" s="171" t="s">
        <v>541</v>
      </c>
      <c r="C62" s="170">
        <v>0.58399999999999996</v>
      </c>
      <c r="D62" s="234"/>
      <c r="E62" s="242"/>
      <c r="F62" s="242"/>
      <c r="G62" s="242"/>
      <c r="H62" s="242"/>
      <c r="I62" s="242"/>
      <c r="J62" s="234"/>
      <c r="K62" s="234"/>
      <c r="L62" s="242"/>
    </row>
    <row r="63" spans="2:12">
      <c r="B63" s="171" t="s">
        <v>542</v>
      </c>
      <c r="C63" s="170">
        <v>0.23899999999999999</v>
      </c>
      <c r="D63" s="234"/>
      <c r="E63" s="334" t="s">
        <v>298</v>
      </c>
      <c r="F63" s="334"/>
      <c r="G63" s="334" t="s">
        <v>543</v>
      </c>
      <c r="H63" s="334" t="s">
        <v>433</v>
      </c>
      <c r="I63" s="334" t="s">
        <v>259</v>
      </c>
      <c r="J63" s="234"/>
      <c r="K63" s="234"/>
      <c r="L63" s="242"/>
    </row>
    <row r="64" spans="2:12">
      <c r="B64" s="171" t="s">
        <v>544</v>
      </c>
      <c r="C64" s="170">
        <v>0.77400000000000002</v>
      </c>
      <c r="D64" s="234"/>
      <c r="E64" s="334" t="s">
        <v>299</v>
      </c>
      <c r="F64" s="334" t="s">
        <v>86</v>
      </c>
      <c r="G64" s="334">
        <v>0.82</v>
      </c>
      <c r="H64" s="334" t="s">
        <v>438</v>
      </c>
      <c r="I64" s="334" t="s">
        <v>545</v>
      </c>
      <c r="J64" s="234"/>
      <c r="K64" s="234"/>
      <c r="L64" s="242"/>
    </row>
    <row r="65" spans="2:9">
      <c r="B65" s="171" t="s">
        <v>546</v>
      </c>
      <c r="C65" s="170">
        <v>0.36199999999999999</v>
      </c>
      <c r="D65" s="234"/>
      <c r="E65" s="334" t="s">
        <v>285</v>
      </c>
      <c r="F65" s="334" t="s">
        <v>86</v>
      </c>
      <c r="G65" s="334">
        <v>0.49</v>
      </c>
      <c r="H65" s="334"/>
      <c r="I65" s="334"/>
    </row>
    <row r="66" spans="2:9">
      <c r="B66" s="171" t="s">
        <v>547</v>
      </c>
      <c r="C66" s="170">
        <v>2.5000000000000001E-2</v>
      </c>
      <c r="D66" s="234"/>
      <c r="E66" s="334" t="s">
        <v>300</v>
      </c>
      <c r="F66" s="334" t="s">
        <v>86</v>
      </c>
      <c r="G66" s="334"/>
      <c r="H66" s="334"/>
      <c r="I66" s="334"/>
    </row>
    <row r="67" spans="2:9">
      <c r="B67" s="171" t="s">
        <v>549</v>
      </c>
      <c r="C67" s="170">
        <v>0.59099999999999997</v>
      </c>
      <c r="D67" s="234"/>
      <c r="E67" s="334" t="s">
        <v>301</v>
      </c>
      <c r="F67" s="334" t="s">
        <v>86</v>
      </c>
      <c r="G67" s="485">
        <v>0.65500000000000003</v>
      </c>
      <c r="H67" s="334"/>
      <c r="I67" s="334"/>
    </row>
    <row r="68" spans="2:9">
      <c r="B68" s="171" t="s">
        <v>550</v>
      </c>
      <c r="C68" s="170">
        <v>3.1E-2</v>
      </c>
      <c r="D68" s="234"/>
      <c r="E68" s="334" t="s">
        <v>302</v>
      </c>
      <c r="F68" s="334" t="s">
        <v>86</v>
      </c>
      <c r="G68" s="485">
        <v>1.2E-2</v>
      </c>
      <c r="H68" s="334"/>
      <c r="I68" s="334"/>
    </row>
    <row r="69" spans="2:9">
      <c r="B69" s="171" t="s">
        <v>551</v>
      </c>
      <c r="C69" s="170">
        <v>0.33400000000000002</v>
      </c>
      <c r="D69" s="234"/>
      <c r="E69" s="334" t="s">
        <v>303</v>
      </c>
      <c r="F69" s="334" t="s">
        <v>86</v>
      </c>
      <c r="G69" s="485">
        <v>2.4E-2</v>
      </c>
      <c r="H69" s="334"/>
      <c r="I69" s="334"/>
    </row>
    <row r="70" spans="2:9">
      <c r="B70" s="171" t="s">
        <v>552</v>
      </c>
      <c r="C70" s="170">
        <v>0.13400000000000001</v>
      </c>
      <c r="D70" s="234"/>
      <c r="E70" s="334" t="s">
        <v>304</v>
      </c>
      <c r="F70" s="334" t="s">
        <v>86</v>
      </c>
      <c r="G70" s="485">
        <v>1.0999999999999999E-2</v>
      </c>
      <c r="H70" s="334"/>
      <c r="I70" s="334"/>
    </row>
    <row r="71" spans="2:9">
      <c r="B71" s="171" t="s">
        <v>553</v>
      </c>
      <c r="C71" s="170">
        <v>0.72399999999999998</v>
      </c>
      <c r="D71" s="234"/>
      <c r="E71" s="334" t="s">
        <v>305</v>
      </c>
      <c r="F71" s="334" t="s">
        <v>86</v>
      </c>
      <c r="G71" s="485">
        <v>4.8000000000000001E-2</v>
      </c>
      <c r="H71" s="334"/>
      <c r="I71" s="334"/>
    </row>
    <row r="72" spans="2:9">
      <c r="B72" s="171" t="s">
        <v>554</v>
      </c>
      <c r="C72" s="170">
        <v>0.621</v>
      </c>
      <c r="D72" s="234"/>
      <c r="E72" s="334" t="s">
        <v>306</v>
      </c>
      <c r="F72" s="334" t="s">
        <v>86</v>
      </c>
      <c r="G72" s="485">
        <v>0.23</v>
      </c>
      <c r="H72" s="334"/>
      <c r="I72" s="334"/>
    </row>
    <row r="73" spans="2:9">
      <c r="B73" s="171" t="s">
        <v>555</v>
      </c>
      <c r="C73" s="170">
        <v>0.437</v>
      </c>
      <c r="D73" s="234"/>
      <c r="E73" s="334" t="s">
        <v>307</v>
      </c>
      <c r="F73" s="334" t="s">
        <v>86</v>
      </c>
      <c r="G73" s="485">
        <v>6.4200000000000007E-2</v>
      </c>
      <c r="H73" s="334"/>
      <c r="I73" s="334"/>
    </row>
    <row r="74" spans="2:9">
      <c r="B74" s="171" t="s">
        <v>556</v>
      </c>
      <c r="C74" s="170">
        <v>0.109</v>
      </c>
      <c r="D74" s="234"/>
      <c r="E74" s="334" t="s">
        <v>557</v>
      </c>
      <c r="F74" s="334" t="s">
        <v>86</v>
      </c>
      <c r="G74" s="334" t="s">
        <v>558</v>
      </c>
      <c r="H74" s="334"/>
      <c r="I74" s="334"/>
    </row>
    <row r="75" spans="2:9">
      <c r="B75" s="171" t="s">
        <v>559</v>
      </c>
      <c r="C75" s="170">
        <v>0.75800000000000001</v>
      </c>
      <c r="D75" s="234"/>
      <c r="E75" s="242"/>
      <c r="F75" s="242"/>
      <c r="G75" s="242"/>
      <c r="H75" s="242"/>
      <c r="I75" s="242"/>
    </row>
    <row r="76" spans="2:9">
      <c r="B76" s="171" t="s">
        <v>560</v>
      </c>
      <c r="C76" s="170">
        <v>0.6</v>
      </c>
      <c r="D76" s="234"/>
      <c r="E76" s="242"/>
      <c r="F76" s="242"/>
      <c r="G76" s="242"/>
      <c r="H76" s="242"/>
      <c r="I76" s="242"/>
    </row>
    <row r="77" spans="2:9">
      <c r="B77" s="171" t="s">
        <v>562</v>
      </c>
      <c r="C77" s="170">
        <v>0.67500000000000004</v>
      </c>
      <c r="D77" s="234"/>
      <c r="E77" s="242"/>
      <c r="F77" s="242"/>
      <c r="G77" s="242"/>
      <c r="H77" s="242"/>
      <c r="I77" s="242"/>
    </row>
    <row r="78" spans="2:9">
      <c r="B78" s="171" t="s">
        <v>564</v>
      </c>
      <c r="C78" s="170">
        <v>0.156</v>
      </c>
      <c r="D78" s="234"/>
      <c r="E78" s="242"/>
      <c r="F78" s="242"/>
      <c r="G78" s="242"/>
      <c r="H78" s="242"/>
      <c r="I78" s="242"/>
    </row>
    <row r="79" spans="2:9">
      <c r="B79" s="171" t="s">
        <v>565</v>
      </c>
      <c r="C79" s="170">
        <v>0.48699999999999999</v>
      </c>
      <c r="D79" s="234"/>
      <c r="E79" s="242"/>
      <c r="F79" s="242"/>
      <c r="G79" s="242"/>
      <c r="H79" s="242"/>
      <c r="I79" s="242"/>
    </row>
    <row r="80" spans="2:9">
      <c r="B80" s="171" t="s">
        <v>566</v>
      </c>
      <c r="C80" s="170">
        <v>0.29799999999999999</v>
      </c>
      <c r="D80" s="234"/>
      <c r="E80" s="242"/>
      <c r="F80" s="242"/>
      <c r="G80" s="242"/>
      <c r="H80" s="242"/>
      <c r="I80" s="242"/>
    </row>
    <row r="81" spans="2:3">
      <c r="B81" s="171" t="s">
        <v>567</v>
      </c>
      <c r="C81" s="170">
        <v>0.29299999999999998</v>
      </c>
    </row>
    <row r="82" spans="2:3">
      <c r="B82" s="171" t="s">
        <v>568</v>
      </c>
      <c r="C82" s="170">
        <v>0.68600000000000005</v>
      </c>
    </row>
    <row r="83" spans="2:3">
      <c r="B83" s="171" t="s">
        <v>569</v>
      </c>
      <c r="C83" s="170">
        <v>0.77500000000000002</v>
      </c>
    </row>
    <row r="84" spans="2:3">
      <c r="B84" s="171" t="s">
        <v>570</v>
      </c>
      <c r="C84" s="170">
        <v>0.41</v>
      </c>
    </row>
    <row r="85" spans="2:3">
      <c r="B85" s="171" t="s">
        <v>571</v>
      </c>
      <c r="C85" s="170">
        <v>2.4E-2</v>
      </c>
    </row>
    <row r="86" spans="2:3">
      <c r="B86" s="171" t="s">
        <v>572</v>
      </c>
      <c r="C86" s="170">
        <v>0.23100000000000001</v>
      </c>
    </row>
    <row r="87" spans="2:3">
      <c r="B87" s="171" t="s">
        <v>573</v>
      </c>
      <c r="C87" s="170">
        <v>0.216</v>
      </c>
    </row>
    <row r="88" spans="2:3">
      <c r="B88" s="171" t="s">
        <v>574</v>
      </c>
      <c r="C88" s="170">
        <v>0.51500000000000001</v>
      </c>
    </row>
    <row r="89" spans="2:3">
      <c r="B89" s="171" t="s">
        <v>575</v>
      </c>
      <c r="C89" s="170">
        <v>0.44700000000000001</v>
      </c>
    </row>
    <row r="90" spans="2:3">
      <c r="B90" s="171" t="s">
        <v>576</v>
      </c>
      <c r="C90" s="170">
        <v>0.33400000000000002</v>
      </c>
    </row>
    <row r="91" spans="2:3">
      <c r="B91" s="171" t="s">
        <v>577</v>
      </c>
      <c r="C91" s="170">
        <v>6.9000000000000006E-2</v>
      </c>
    </row>
    <row r="92" spans="2:3">
      <c r="B92" s="171" t="s">
        <v>578</v>
      </c>
      <c r="C92" s="170">
        <v>5.0999999999999997E-2</v>
      </c>
    </row>
    <row r="93" spans="2:3">
      <c r="B93" s="171" t="s">
        <v>579</v>
      </c>
      <c r="C93" s="170">
        <v>0.28999999999999998</v>
      </c>
    </row>
    <row r="94" spans="2:3">
      <c r="B94" s="171" t="s">
        <v>580</v>
      </c>
      <c r="C94" s="170">
        <v>0.501</v>
      </c>
    </row>
    <row r="95" spans="2:3">
      <c r="B95" s="171" t="s">
        <v>581</v>
      </c>
      <c r="C95" s="170">
        <v>0.32300000000000001</v>
      </c>
    </row>
    <row r="96" spans="2:3">
      <c r="B96" s="171" t="s">
        <v>582</v>
      </c>
      <c r="C96" s="170">
        <v>0.76900000000000002</v>
      </c>
    </row>
    <row r="97" spans="2:3">
      <c r="B97" s="171" t="s">
        <v>583</v>
      </c>
      <c r="C97" s="170">
        <v>0.13400000000000001</v>
      </c>
    </row>
    <row r="98" spans="2:3">
      <c r="B98" s="171" t="s">
        <v>584</v>
      </c>
      <c r="C98" s="170">
        <v>0.311</v>
      </c>
    </row>
    <row r="99" spans="2:3">
      <c r="B99" s="171" t="s">
        <v>585</v>
      </c>
      <c r="C99" s="170">
        <v>0.26100000000000001</v>
      </c>
    </row>
    <row r="100" spans="2:3">
      <c r="B100" s="171" t="s">
        <v>586</v>
      </c>
      <c r="C100" s="170">
        <v>0.77700000000000002</v>
      </c>
    </row>
    <row r="101" spans="2:3">
      <c r="B101" s="171" t="s">
        <v>587</v>
      </c>
      <c r="C101" s="170">
        <v>0.47899999999999998</v>
      </c>
    </row>
    <row r="102" spans="2:3">
      <c r="B102" s="171" t="s">
        <v>588</v>
      </c>
      <c r="C102" s="170">
        <v>0.17199999999999999</v>
      </c>
    </row>
    <row r="103" spans="2:3">
      <c r="B103" s="171" t="s">
        <v>589</v>
      </c>
      <c r="C103" s="170">
        <v>0.76500000000000001</v>
      </c>
    </row>
    <row r="104" spans="2:3">
      <c r="B104" s="171" t="s">
        <v>590</v>
      </c>
      <c r="C104" s="170">
        <v>0.68400000000000005</v>
      </c>
    </row>
    <row r="105" spans="2:3">
      <c r="B105" s="171" t="s">
        <v>591</v>
      </c>
      <c r="C105" s="170">
        <v>0.747</v>
      </c>
    </row>
    <row r="106" spans="2:3">
      <c r="B106" s="171" t="s">
        <v>592</v>
      </c>
      <c r="C106" s="170">
        <v>0.41399999999999998</v>
      </c>
    </row>
    <row r="107" spans="2:3">
      <c r="B107" s="171" t="s">
        <v>593</v>
      </c>
      <c r="C107" s="170">
        <v>0.54300000000000004</v>
      </c>
    </row>
    <row r="108" spans="2:3">
      <c r="B108" s="171" t="s">
        <v>594</v>
      </c>
      <c r="C108" s="170">
        <v>0.74199999999999999</v>
      </c>
    </row>
    <row r="109" spans="2:3">
      <c r="B109" s="171" t="s">
        <v>595</v>
      </c>
      <c r="C109" s="170">
        <v>0.76800000000000002</v>
      </c>
    </row>
    <row r="110" spans="2:3">
      <c r="B110" s="171" t="s">
        <v>596</v>
      </c>
      <c r="C110" s="170">
        <v>0.6</v>
      </c>
    </row>
    <row r="111" spans="2:3">
      <c r="B111" s="171" t="s">
        <v>597</v>
      </c>
      <c r="C111" s="170">
        <v>0.23300000000000001</v>
      </c>
    </row>
    <row r="112" spans="2:3">
      <c r="B112" s="171" t="s">
        <v>598</v>
      </c>
      <c r="C112" s="170">
        <v>0.77500000000000002</v>
      </c>
    </row>
    <row r="113" spans="2:3">
      <c r="B113" s="171" t="s">
        <v>599</v>
      </c>
      <c r="C113" s="170">
        <v>0.216</v>
      </c>
    </row>
    <row r="114" spans="2:3">
      <c r="B114" s="171" t="s">
        <v>600</v>
      </c>
      <c r="C114" s="170">
        <v>0</v>
      </c>
    </row>
    <row r="115" spans="2:3">
      <c r="B115" s="171" t="s">
        <v>601</v>
      </c>
      <c r="C115" s="170">
        <v>0.79</v>
      </c>
    </row>
    <row r="116" spans="2:3">
      <c r="B116" s="171" t="s">
        <v>602</v>
      </c>
      <c r="C116" s="170">
        <v>0.71799999999999997</v>
      </c>
    </row>
    <row r="117" spans="2:3">
      <c r="B117" s="171" t="s">
        <v>603</v>
      </c>
      <c r="C117" s="170">
        <v>0.53700000000000003</v>
      </c>
    </row>
    <row r="118" spans="2:3">
      <c r="B118" s="171" t="s">
        <v>604</v>
      </c>
      <c r="C118" s="170">
        <v>0.58499999999999996</v>
      </c>
    </row>
    <row r="119" spans="2:3">
      <c r="B119" s="171" t="s">
        <v>605</v>
      </c>
      <c r="C119" s="170">
        <v>0.27900000000000003</v>
      </c>
    </row>
    <row r="120" spans="2:3">
      <c r="B120" s="171" t="s">
        <v>606</v>
      </c>
      <c r="C120" s="170">
        <v>0.66300000000000003</v>
      </c>
    </row>
    <row r="121" spans="2:3">
      <c r="B121" s="171" t="s">
        <v>607</v>
      </c>
      <c r="C121" s="170">
        <v>0.21299999999999999</v>
      </c>
    </row>
    <row r="122" spans="2:3">
      <c r="B122" s="171" t="s">
        <v>608</v>
      </c>
      <c r="C122" s="170">
        <v>0.63500000000000001</v>
      </c>
    </row>
    <row r="123" spans="2:3">
      <c r="B123" s="171" t="s">
        <v>609</v>
      </c>
      <c r="C123" s="170">
        <v>0.46600000000000003</v>
      </c>
    </row>
    <row r="124" spans="2:3">
      <c r="B124" s="171" t="s">
        <v>610</v>
      </c>
      <c r="C124" s="170">
        <v>0.45500000000000002</v>
      </c>
    </row>
    <row r="125" spans="2:3">
      <c r="B125" s="171" t="s">
        <v>611</v>
      </c>
      <c r="C125" s="170">
        <v>0.83499999999999996</v>
      </c>
    </row>
    <row r="126" spans="2:3">
      <c r="B126" s="171" t="s">
        <v>612</v>
      </c>
      <c r="C126" s="170">
        <v>0.121</v>
      </c>
    </row>
    <row r="127" spans="2:3">
      <c r="B127" s="171" t="s">
        <v>613</v>
      </c>
      <c r="C127" s="170">
        <v>0.65600000000000003</v>
      </c>
    </row>
    <row r="128" spans="2:3">
      <c r="B128" s="171" t="s">
        <v>614</v>
      </c>
      <c r="C128" s="170">
        <v>1.0009999999999999</v>
      </c>
    </row>
    <row r="129" spans="2:3">
      <c r="B129" s="171" t="s">
        <v>615</v>
      </c>
      <c r="C129" s="170">
        <v>0.498</v>
      </c>
    </row>
    <row r="130" spans="2:3">
      <c r="B130" s="171" t="s">
        <v>616</v>
      </c>
      <c r="C130" s="170">
        <v>0.10100000000000001</v>
      </c>
    </row>
    <row r="131" spans="2:3">
      <c r="B131" s="171" t="s">
        <v>617</v>
      </c>
      <c r="C131" s="170">
        <v>0.46200000000000002</v>
      </c>
    </row>
    <row r="132" spans="2:3">
      <c r="B132" s="171" t="s">
        <v>618</v>
      </c>
      <c r="C132" s="170">
        <v>0.107</v>
      </c>
    </row>
    <row r="133" spans="2:3">
      <c r="B133" s="171" t="s">
        <v>619</v>
      </c>
      <c r="C133" s="170">
        <v>0.63900000000000001</v>
      </c>
    </row>
    <row r="134" spans="2:3">
      <c r="B134" s="171" t="s">
        <v>620</v>
      </c>
      <c r="C134" s="170">
        <v>2.4E-2</v>
      </c>
    </row>
    <row r="135" spans="2:3">
      <c r="B135" s="171" t="s">
        <v>621</v>
      </c>
      <c r="C135" s="170">
        <v>0.76900000000000002</v>
      </c>
    </row>
    <row r="136" spans="2:3">
      <c r="B136" s="171" t="s">
        <v>622</v>
      </c>
      <c r="C136" s="170">
        <v>0.51300000000000001</v>
      </c>
    </row>
    <row r="137" spans="2:3">
      <c r="B137" s="171" t="s">
        <v>623</v>
      </c>
      <c r="C137" s="170">
        <v>4.4999999999999998E-2</v>
      </c>
    </row>
    <row r="138" spans="2:3">
      <c r="B138" s="171" t="s">
        <v>624</v>
      </c>
      <c r="C138" s="170">
        <v>5.8999999999999997E-2</v>
      </c>
    </row>
    <row r="139" spans="2:3">
      <c r="B139" s="171" t="s">
        <v>625</v>
      </c>
      <c r="C139" s="170">
        <v>0.77700000000000002</v>
      </c>
    </row>
    <row r="140" spans="2:3">
      <c r="B140" s="171" t="s">
        <v>626</v>
      </c>
      <c r="C140" s="170">
        <v>0.51500000000000001</v>
      </c>
    </row>
    <row r="141" spans="2:3">
      <c r="B141" s="171" t="s">
        <v>627</v>
      </c>
      <c r="C141" s="170">
        <v>8.8999999999999996E-2</v>
      </c>
    </row>
    <row r="142" spans="2:3">
      <c r="B142" s="171" t="s">
        <v>628</v>
      </c>
      <c r="C142" s="170">
        <v>0.64800000000000002</v>
      </c>
    </row>
    <row r="143" spans="2:3">
      <c r="B143" s="171" t="s">
        <v>629</v>
      </c>
      <c r="C143" s="170">
        <v>0.77300000000000002</v>
      </c>
    </row>
    <row r="144" spans="2:3">
      <c r="B144" s="171" t="s">
        <v>630</v>
      </c>
      <c r="C144" s="170">
        <v>0.48699999999999999</v>
      </c>
    </row>
    <row r="145" spans="2:3">
      <c r="B145" s="171" t="s">
        <v>631</v>
      </c>
      <c r="C145" s="170">
        <v>0.379</v>
      </c>
    </row>
    <row r="146" spans="2:3">
      <c r="B146" s="171" t="s">
        <v>632</v>
      </c>
      <c r="C146" s="170">
        <v>0.73499999999999999</v>
      </c>
    </row>
    <row r="147" spans="2:3">
      <c r="B147" s="171" t="s">
        <v>633</v>
      </c>
      <c r="C147" s="170">
        <v>0.317</v>
      </c>
    </row>
    <row r="148" spans="2:3">
      <c r="B148" s="171" t="s">
        <v>634</v>
      </c>
      <c r="C148" s="170">
        <v>0.71599999999999997</v>
      </c>
    </row>
    <row r="149" spans="2:3">
      <c r="B149" s="171" t="s">
        <v>635</v>
      </c>
      <c r="C149" s="170">
        <v>0.43099999999999999</v>
      </c>
    </row>
    <row r="150" spans="2:3">
      <c r="B150" s="171" t="s">
        <v>636</v>
      </c>
      <c r="C150" s="170">
        <v>0.92300000000000004</v>
      </c>
    </row>
    <row r="151" spans="2:3">
      <c r="B151" s="171" t="s">
        <v>637</v>
      </c>
      <c r="C151" s="170">
        <v>0.97399999999999998</v>
      </c>
    </row>
    <row r="152" spans="2:3">
      <c r="B152" s="171" t="s">
        <v>638</v>
      </c>
      <c r="C152" s="170">
        <v>0.40500000000000003</v>
      </c>
    </row>
    <row r="153" spans="2:3">
      <c r="B153" s="171" t="s">
        <v>639</v>
      </c>
      <c r="C153" s="170">
        <v>0.77700000000000002</v>
      </c>
    </row>
    <row r="154" spans="2:3">
      <c r="B154" s="171" t="s">
        <v>640</v>
      </c>
      <c r="C154" s="170">
        <v>0.66800000000000004</v>
      </c>
    </row>
    <row r="155" spans="2:3">
      <c r="B155" s="171" t="s">
        <v>641</v>
      </c>
      <c r="C155" s="170">
        <v>0.151</v>
      </c>
    </row>
    <row r="156" spans="2:3">
      <c r="B156" s="171" t="s">
        <v>642</v>
      </c>
      <c r="C156" s="170">
        <v>3.7999999999999999E-2</v>
      </c>
    </row>
    <row r="157" spans="2:3">
      <c r="B157" s="171" t="s">
        <v>643</v>
      </c>
      <c r="C157" s="170">
        <v>0.77700000000000002</v>
      </c>
    </row>
    <row r="158" spans="2:3">
      <c r="B158" s="171" t="s">
        <v>644</v>
      </c>
      <c r="C158" s="170">
        <v>2.4E-2</v>
      </c>
    </row>
    <row r="159" spans="2:3">
      <c r="B159" s="171" t="s">
        <v>645</v>
      </c>
      <c r="C159" s="170">
        <v>0.32800000000000001</v>
      </c>
    </row>
    <row r="160" spans="2:3">
      <c r="B160" s="171" t="s">
        <v>646</v>
      </c>
      <c r="C160" s="170">
        <v>0.498</v>
      </c>
    </row>
    <row r="161" spans="2:3">
      <c r="B161" s="171" t="s">
        <v>647</v>
      </c>
      <c r="C161" s="170">
        <v>0.68799999999999994</v>
      </c>
    </row>
    <row r="162" spans="2:3">
      <c r="B162" s="171" t="s">
        <v>648</v>
      </c>
      <c r="C162" s="170">
        <v>0.10100000000000001</v>
      </c>
    </row>
    <row r="163" spans="2:3">
      <c r="B163" s="171" t="s">
        <v>649</v>
      </c>
      <c r="C163" s="170">
        <v>0.32800000000000001</v>
      </c>
    </row>
    <row r="164" spans="2:3">
      <c r="B164" s="171" t="s">
        <v>650</v>
      </c>
      <c r="C164" s="170">
        <v>0.80800000000000005</v>
      </c>
    </row>
    <row r="165" spans="2:3">
      <c r="B165" s="171" t="s">
        <v>651</v>
      </c>
      <c r="C165" s="170">
        <v>0.40899999999999997</v>
      </c>
    </row>
    <row r="166" spans="2:3">
      <c r="B166" s="171" t="s">
        <v>652</v>
      </c>
      <c r="C166" s="170">
        <v>0.77700000000000002</v>
      </c>
    </row>
    <row r="167" spans="2:3">
      <c r="B167" s="171" t="s">
        <v>653</v>
      </c>
      <c r="C167" s="170">
        <v>0.16200000000000001</v>
      </c>
    </row>
    <row r="168" spans="2:3">
      <c r="B168" s="171" t="s">
        <v>654</v>
      </c>
      <c r="C168" s="170">
        <v>0.81</v>
      </c>
    </row>
    <row r="169" spans="2:3">
      <c r="B169" s="171" t="s">
        <v>655</v>
      </c>
      <c r="C169" s="170">
        <v>0</v>
      </c>
    </row>
    <row r="170" spans="2:3">
      <c r="B170" s="171" t="s">
        <v>656</v>
      </c>
      <c r="C170" s="170">
        <v>0.499</v>
      </c>
    </row>
    <row r="171" spans="2:3">
      <c r="B171" s="171" t="s">
        <v>657</v>
      </c>
      <c r="C171" s="170">
        <v>0.47</v>
      </c>
    </row>
    <row r="172" spans="2:3">
      <c r="B172" s="171" t="s">
        <v>658</v>
      </c>
      <c r="C172" s="170">
        <v>0.77600000000000002</v>
      </c>
    </row>
    <row r="173" spans="2:3">
      <c r="B173" s="171" t="s">
        <v>659</v>
      </c>
      <c r="C173" s="170">
        <v>0.155</v>
      </c>
    </row>
    <row r="174" spans="2:3">
      <c r="B174" s="171" t="s">
        <v>660</v>
      </c>
      <c r="C174" s="170">
        <v>0.55400000000000005</v>
      </c>
    </row>
    <row r="175" spans="2:3">
      <c r="B175" s="171" t="s">
        <v>661</v>
      </c>
      <c r="C175" s="170">
        <v>2.8000000000000001E-2</v>
      </c>
    </row>
    <row r="176" spans="2:3">
      <c r="B176" s="171" t="s">
        <v>662</v>
      </c>
      <c r="C176" s="170">
        <v>0.2</v>
      </c>
    </row>
    <row r="177" spans="2:3">
      <c r="B177" s="171" t="s">
        <v>663</v>
      </c>
      <c r="C177" s="170">
        <v>0.70799999999999996</v>
      </c>
    </row>
    <row r="178" spans="2:3">
      <c r="B178" s="171" t="s">
        <v>664</v>
      </c>
      <c r="C178" s="170">
        <v>0.71</v>
      </c>
    </row>
    <row r="179" spans="2:3">
      <c r="B179" s="171" t="s">
        <v>665</v>
      </c>
      <c r="C179" s="170">
        <v>0.19800000000000001</v>
      </c>
    </row>
    <row r="180" spans="2:3">
      <c r="B180" s="171" t="s">
        <v>666</v>
      </c>
      <c r="C180" s="170">
        <v>0.59499999999999997</v>
      </c>
    </row>
    <row r="181" spans="2:3">
      <c r="B181" s="171" t="s">
        <v>667</v>
      </c>
      <c r="C181" s="170">
        <v>0.498</v>
      </c>
    </row>
    <row r="182" spans="2:3">
      <c r="B182" s="171" t="s">
        <v>668</v>
      </c>
      <c r="C182" s="170">
        <v>0.54</v>
      </c>
    </row>
    <row r="183" spans="2:3">
      <c r="B183" s="171" t="s">
        <v>669</v>
      </c>
      <c r="C183" s="170">
        <v>0.3</v>
      </c>
    </row>
    <row r="184" spans="2:3">
      <c r="B184" s="171" t="s">
        <v>670</v>
      </c>
      <c r="C184" s="170">
        <v>0.31</v>
      </c>
    </row>
    <row r="185" spans="2:3">
      <c r="B185" s="171" t="s">
        <v>671</v>
      </c>
      <c r="C185" s="170">
        <v>0.312</v>
      </c>
    </row>
    <row r="186" spans="2:3">
      <c r="B186" s="171" t="s">
        <v>672</v>
      </c>
      <c r="C186" s="170">
        <v>0.77700000000000002</v>
      </c>
    </row>
    <row r="187" spans="2:3">
      <c r="B187" s="171" t="s">
        <v>673</v>
      </c>
      <c r="C187" s="170">
        <v>0.747</v>
      </c>
    </row>
    <row r="188" spans="2:3">
      <c r="B188" s="171" t="s">
        <v>674</v>
      </c>
      <c r="C188" s="170">
        <v>0.77</v>
      </c>
    </row>
    <row r="189" spans="2:3">
      <c r="B189" s="171" t="s">
        <v>675</v>
      </c>
      <c r="C189" s="170">
        <v>0.77700000000000002</v>
      </c>
    </row>
    <row r="190" spans="2:3">
      <c r="B190" s="171" t="s">
        <v>676</v>
      </c>
      <c r="C190" s="170">
        <v>0.64400000000000002</v>
      </c>
    </row>
    <row r="191" spans="2:3">
      <c r="B191" s="171" t="s">
        <v>677</v>
      </c>
      <c r="C191" s="170">
        <v>0.51800000000000002</v>
      </c>
    </row>
    <row r="192" spans="2:3">
      <c r="B192" s="171" t="s">
        <v>678</v>
      </c>
      <c r="C192" s="170">
        <v>0.72099999999999997</v>
      </c>
    </row>
    <row r="193" spans="2:3">
      <c r="B193" s="171" t="s">
        <v>679</v>
      </c>
      <c r="C193" s="170">
        <v>0.50600000000000001</v>
      </c>
    </row>
    <row r="194" spans="2:3">
      <c r="B194" s="171" t="s">
        <v>680</v>
      </c>
      <c r="C194" s="170">
        <v>0.69399999999999995</v>
      </c>
    </row>
    <row r="195" spans="2:3">
      <c r="B195" s="171" t="s">
        <v>681</v>
      </c>
      <c r="C195" s="170">
        <v>0.745</v>
      </c>
    </row>
    <row r="196" spans="2:3">
      <c r="B196" s="171" t="s">
        <v>682</v>
      </c>
      <c r="C196" s="170">
        <v>0.76800000000000002</v>
      </c>
    </row>
    <row r="197" spans="2:3">
      <c r="B197" s="171" t="s">
        <v>683</v>
      </c>
      <c r="C197" s="170">
        <v>0.25800000000000001</v>
      </c>
    </row>
    <row r="198" spans="2:3">
      <c r="B198" s="171" t="s">
        <v>684</v>
      </c>
      <c r="C198" s="170">
        <v>0.56899999999999995</v>
      </c>
    </row>
    <row r="199" spans="2:3">
      <c r="B199" s="171" t="s">
        <v>685</v>
      </c>
      <c r="C199" s="170">
        <v>0.10199999999999999</v>
      </c>
    </row>
    <row r="200" spans="2:3">
      <c r="B200" s="171" t="s">
        <v>686</v>
      </c>
      <c r="C200" s="170">
        <v>0.218</v>
      </c>
    </row>
    <row r="201" spans="2:3">
      <c r="B201" s="171" t="s">
        <v>687</v>
      </c>
      <c r="C201" s="170">
        <v>0.745</v>
      </c>
    </row>
    <row r="202" spans="2:3">
      <c r="B202" s="171" t="s">
        <v>688</v>
      </c>
      <c r="C202" s="170">
        <v>0.73899999999999999</v>
      </c>
    </row>
    <row r="203" spans="2:3">
      <c r="B203" s="171" t="s">
        <v>689</v>
      </c>
      <c r="C203" s="170">
        <v>0.90100000000000002</v>
      </c>
    </row>
    <row r="204" spans="2:3">
      <c r="B204" s="171" t="s">
        <v>690</v>
      </c>
      <c r="C204" s="170">
        <v>0.41599999999999998</v>
      </c>
    </row>
    <row r="205" spans="2:3">
      <c r="B205" s="171" t="s">
        <v>691</v>
      </c>
      <c r="C205" s="170">
        <v>0.77200000000000002</v>
      </c>
    </row>
    <row r="206" spans="2:3">
      <c r="B206" s="171" t="s">
        <v>692</v>
      </c>
      <c r="C206" s="170">
        <v>0.156</v>
      </c>
    </row>
    <row r="207" spans="2:3">
      <c r="B207" s="171" t="s">
        <v>693</v>
      </c>
      <c r="C207" s="170">
        <v>0.49299999999999999</v>
      </c>
    </row>
    <row r="208" spans="2:3">
      <c r="B208" s="171" t="s">
        <v>694</v>
      </c>
      <c r="C208" s="170">
        <v>0.29699999999999999</v>
      </c>
    </row>
    <row r="209" spans="2:3">
      <c r="B209" s="171" t="s">
        <v>695</v>
      </c>
      <c r="C209" s="170">
        <v>0.30199999999999999</v>
      </c>
    </row>
    <row r="210" spans="2:3">
      <c r="B210" s="171" t="s">
        <v>696</v>
      </c>
      <c r="C210" s="170">
        <v>8.9999999999999993E-3</v>
      </c>
    </row>
    <row r="211" spans="2:3">
      <c r="B211" s="171" t="s">
        <v>697</v>
      </c>
      <c r="C211" s="170">
        <v>3.6999999999999998E-2</v>
      </c>
    </row>
    <row r="212" spans="2:3">
      <c r="B212" s="171" t="s">
        <v>698</v>
      </c>
      <c r="C212" s="170">
        <v>0.61899999999999999</v>
      </c>
    </row>
    <row r="213" spans="2:3">
      <c r="B213" s="171" t="s">
        <v>699</v>
      </c>
      <c r="C213" s="170">
        <v>0.67200000000000004</v>
      </c>
    </row>
    <row r="214" spans="2:3">
      <c r="B214" s="171" t="s">
        <v>700</v>
      </c>
      <c r="C214" s="170">
        <v>7.8E-2</v>
      </c>
    </row>
    <row r="215" spans="2:3">
      <c r="B215" s="171" t="s">
        <v>701</v>
      </c>
      <c r="C215" s="170">
        <v>0.38</v>
      </c>
    </row>
    <row r="216" spans="2:3">
      <c r="B216" s="171" t="s">
        <v>702</v>
      </c>
      <c r="C216" s="170">
        <v>0.54700000000000004</v>
      </c>
    </row>
    <row r="217" spans="2:3">
      <c r="B217" s="171" t="s">
        <v>703</v>
      </c>
      <c r="C217" s="170">
        <v>0.77500000000000002</v>
      </c>
    </row>
    <row r="218" spans="2:3">
      <c r="B218" s="171" t="s">
        <v>704</v>
      </c>
      <c r="C218" s="170">
        <v>0.71</v>
      </c>
    </row>
    <row r="219" spans="2:3">
      <c r="B219" s="171" t="s">
        <v>705</v>
      </c>
      <c r="C219" s="170">
        <v>0.77700000000000002</v>
      </c>
    </row>
    <row r="220" spans="2:3">
      <c r="B220" s="171" t="s">
        <v>706</v>
      </c>
      <c r="C220" s="170">
        <v>0.53400000000000003</v>
      </c>
    </row>
    <row r="221" spans="2:3">
      <c r="B221" s="171" t="s">
        <v>707</v>
      </c>
      <c r="C221" s="170">
        <v>0.48</v>
      </c>
    </row>
    <row r="222" spans="2:3">
      <c r="B222" s="171" t="s">
        <v>708</v>
      </c>
      <c r="C222" s="170">
        <v>0.375</v>
      </c>
    </row>
    <row r="223" spans="2:3">
      <c r="B223" s="171" t="s">
        <v>709</v>
      </c>
      <c r="C223" s="170">
        <v>0.68200000000000005</v>
      </c>
    </row>
    <row r="224" spans="2:3">
      <c r="B224" s="171" t="s">
        <v>710</v>
      </c>
      <c r="C224" s="170">
        <v>0.77700000000000002</v>
      </c>
    </row>
    <row r="225" spans="2:3">
      <c r="B225" s="171" t="s">
        <v>711</v>
      </c>
      <c r="C225" s="170">
        <v>0.77700000000000002</v>
      </c>
    </row>
    <row r="226" spans="2:3">
      <c r="B226" s="171" t="s">
        <v>712</v>
      </c>
      <c r="C226" s="170">
        <v>0.76700000000000002</v>
      </c>
    </row>
    <row r="227" spans="2:3">
      <c r="B227" s="171" t="s">
        <v>713</v>
      </c>
      <c r="C227" s="170">
        <v>0.09</v>
      </c>
    </row>
    <row r="228" spans="2:3">
      <c r="B228" s="171" t="s">
        <v>714</v>
      </c>
      <c r="C228" s="170">
        <v>0.35699999999999998</v>
      </c>
    </row>
    <row r="229" spans="2:3">
      <c r="B229" s="171" t="s">
        <v>715</v>
      </c>
      <c r="C229" s="170">
        <v>0.53</v>
      </c>
    </row>
    <row r="230" spans="2:3">
      <c r="B230" s="171" t="s">
        <v>716</v>
      </c>
      <c r="C230" s="170">
        <v>0.22500000000000001</v>
      </c>
    </row>
    <row r="231" spans="2:3">
      <c r="B231" s="171" t="s">
        <v>717</v>
      </c>
      <c r="C231" s="170">
        <v>0.40300000000000002</v>
      </c>
    </row>
    <row r="232" spans="2:3">
      <c r="B232" s="234" t="s">
        <v>718</v>
      </c>
      <c r="C232" s="57">
        <v>0.50800000000000001</v>
      </c>
    </row>
    <row r="233" spans="2:3">
      <c r="B233" s="234" t="s">
        <v>719</v>
      </c>
      <c r="C233" s="57">
        <v>0.25</v>
      </c>
    </row>
    <row r="234" spans="2:3">
      <c r="B234" s="234" t="s">
        <v>720</v>
      </c>
      <c r="C234" s="57">
        <v>0.434</v>
      </c>
    </row>
    <row r="235" spans="2:3">
      <c r="B235" s="234" t="s">
        <v>721</v>
      </c>
      <c r="C235" s="57">
        <v>0.20599999999999999</v>
      </c>
    </row>
    <row r="236" spans="2:3">
      <c r="B236" s="234" t="s">
        <v>722</v>
      </c>
      <c r="C236" s="57">
        <v>0.39600000000000002</v>
      </c>
    </row>
    <row r="237" spans="2:3">
      <c r="B237" s="234" t="s">
        <v>723</v>
      </c>
      <c r="C237" s="57">
        <v>0.39200000000000002</v>
      </c>
    </row>
    <row r="238" spans="2:3">
      <c r="B238" s="234" t="s">
        <v>724</v>
      </c>
      <c r="C238" s="57">
        <v>0.54200000000000004</v>
      </c>
    </row>
    <row r="239" spans="2:3">
      <c r="B239" s="234" t="s">
        <v>725</v>
      </c>
      <c r="C239" s="57">
        <v>0.77400000000000002</v>
      </c>
    </row>
    <row r="240" spans="2:3">
      <c r="B240" s="234" t="s">
        <v>726</v>
      </c>
      <c r="C240" s="57">
        <v>0.68600000000000005</v>
      </c>
    </row>
    <row r="241" spans="2:4">
      <c r="B241" s="234" t="s">
        <v>727</v>
      </c>
      <c r="C241" s="57">
        <v>0.502</v>
      </c>
      <c r="D241" s="234"/>
    </row>
    <row r="242" spans="2:4">
      <c r="B242" s="234" t="s">
        <v>728</v>
      </c>
      <c r="C242" s="57">
        <v>0.224</v>
      </c>
      <c r="D242" s="234"/>
    </row>
    <row r="243" spans="2:4">
      <c r="B243" s="234" t="s">
        <v>729</v>
      </c>
      <c r="C243" s="57">
        <v>0.32700000000000001</v>
      </c>
      <c r="D243" s="234"/>
    </row>
    <row r="244" spans="2:4">
      <c r="B244" s="234" t="s">
        <v>730</v>
      </c>
      <c r="C244" s="57">
        <v>0.252</v>
      </c>
      <c r="D244" s="234"/>
    </row>
    <row r="245" spans="2:4">
      <c r="B245" s="234" t="s">
        <v>731</v>
      </c>
      <c r="C245" s="57">
        <v>0.55300000000000005</v>
      </c>
      <c r="D245" s="234"/>
    </row>
    <row r="246" spans="2:4">
      <c r="B246" s="234" t="s">
        <v>732</v>
      </c>
      <c r="C246" s="57">
        <v>0.106</v>
      </c>
      <c r="D246" s="234"/>
    </row>
    <row r="247" spans="2:4">
      <c r="B247" s="234" t="s">
        <v>733</v>
      </c>
      <c r="C247" s="57">
        <v>0.7</v>
      </c>
      <c r="D247" s="234"/>
    </row>
    <row r="248" spans="2:4">
      <c r="B248" s="234" t="s">
        <v>734</v>
      </c>
      <c r="C248" s="57">
        <v>0.317</v>
      </c>
      <c r="D248" s="234"/>
    </row>
    <row r="249" spans="2:4">
      <c r="B249" s="234" t="s">
        <v>735</v>
      </c>
      <c r="C249" s="57">
        <v>0.54300000000000004</v>
      </c>
      <c r="D249" s="234"/>
    </row>
    <row r="250" spans="2:4">
      <c r="B250" s="234" t="s">
        <v>736</v>
      </c>
      <c r="C250" s="57">
        <v>0.48699999999999999</v>
      </c>
      <c r="D250" s="234"/>
    </row>
    <row r="251" spans="2:4">
      <c r="B251" s="234" t="s">
        <v>737</v>
      </c>
      <c r="C251" s="57">
        <v>0.56699999999999995</v>
      </c>
      <c r="D251" s="234"/>
    </row>
    <row r="252" spans="2:4">
      <c r="B252" s="234" t="s">
        <v>738</v>
      </c>
      <c r="C252" s="57">
        <v>0.48899999999999999</v>
      </c>
      <c r="D252" s="234"/>
    </row>
    <row r="253" spans="2:4">
      <c r="B253" s="234" t="s">
        <v>739</v>
      </c>
      <c r="C253" s="57">
        <v>0.45700000000000002</v>
      </c>
      <c r="D253" s="234"/>
    </row>
    <row r="254" spans="2:4">
      <c r="B254" s="234" t="s">
        <v>740</v>
      </c>
      <c r="C254" s="57">
        <v>0.36699999999999999</v>
      </c>
      <c r="D254" s="234"/>
    </row>
    <row r="255" spans="2:4">
      <c r="B255" s="234" t="s">
        <v>741</v>
      </c>
      <c r="C255" s="57">
        <v>0.72399999999999998</v>
      </c>
      <c r="D255" s="234"/>
    </row>
    <row r="256" spans="2:4">
      <c r="B256" s="234" t="s">
        <v>742</v>
      </c>
      <c r="C256" s="57">
        <v>0.442</v>
      </c>
      <c r="D256" s="234"/>
    </row>
    <row r="257" spans="2:4">
      <c r="B257" s="234" t="s">
        <v>743</v>
      </c>
      <c r="C257" s="57">
        <v>0.434</v>
      </c>
      <c r="D257" s="234"/>
    </row>
    <row r="258" spans="2:4">
      <c r="B258" s="234" t="s">
        <v>744</v>
      </c>
      <c r="C258" s="57">
        <v>0.308</v>
      </c>
      <c r="D258" s="243"/>
    </row>
    <row r="259" spans="2:4">
      <c r="B259" s="171" t="s">
        <v>745</v>
      </c>
      <c r="C259" s="170">
        <v>0.10100000000000001</v>
      </c>
      <c r="D259" s="243"/>
    </row>
    <row r="260" spans="2:4">
      <c r="B260" s="171" t="s">
        <v>746</v>
      </c>
      <c r="C260" s="170">
        <v>0.57499999999999996</v>
      </c>
      <c r="D260" s="243"/>
    </row>
    <row r="261" spans="2:4">
      <c r="B261" s="171" t="s">
        <v>747</v>
      </c>
      <c r="C261" s="170">
        <v>0.67300000000000004</v>
      </c>
      <c r="D261" s="243"/>
    </row>
    <row r="262" spans="2:4">
      <c r="B262" s="171" t="s">
        <v>748</v>
      </c>
      <c r="C262" s="170">
        <v>0.221</v>
      </c>
      <c r="D262" s="243"/>
    </row>
    <row r="263" spans="2:4">
      <c r="B263" s="171" t="s">
        <v>749</v>
      </c>
      <c r="C263" s="170">
        <v>0.64700000000000002</v>
      </c>
      <c r="D263" s="243"/>
    </row>
    <row r="264" spans="2:4">
      <c r="B264" s="171" t="s">
        <v>750</v>
      </c>
      <c r="C264" s="170">
        <v>0.51600000000000001</v>
      </c>
      <c r="D264" s="243"/>
    </row>
    <row r="265" spans="2:4">
      <c r="B265" s="173" t="s">
        <v>751</v>
      </c>
      <c r="C265" s="170">
        <v>0.54100000000000004</v>
      </c>
      <c r="D265" s="243"/>
    </row>
    <row r="266" spans="2:4">
      <c r="B266" s="173" t="s">
        <v>752</v>
      </c>
      <c r="C266" s="57">
        <v>0.192</v>
      </c>
      <c r="D266" s="243"/>
    </row>
    <row r="267" spans="2:4">
      <c r="B267" s="171" t="s">
        <v>753</v>
      </c>
      <c r="C267" s="57">
        <v>0.46200000000000002</v>
      </c>
      <c r="D267" s="243"/>
    </row>
    <row r="268" spans="2:4">
      <c r="B268" s="234"/>
      <c r="C268" s="234"/>
      <c r="D268" s="243"/>
    </row>
    <row r="269" spans="2:4">
      <c r="B269" s="234"/>
      <c r="C269" s="234"/>
      <c r="D269" s="243"/>
    </row>
    <row r="270" spans="2:4">
      <c r="B270" s="234"/>
      <c r="C270" s="234"/>
      <c r="D270" s="243"/>
    </row>
    <row r="271" spans="2:4">
      <c r="B271" s="234"/>
      <c r="C271" s="57"/>
      <c r="D271" s="243"/>
    </row>
    <row r="272" spans="2:4">
      <c r="B272" s="234"/>
      <c r="C272" s="57"/>
      <c r="D272" s="243"/>
    </row>
    <row r="273" spans="2:4">
      <c r="B273" s="234"/>
      <c r="C273" s="242"/>
      <c r="D273" s="243"/>
    </row>
    <row r="274" spans="2:4">
      <c r="B274" s="234"/>
      <c r="C274" s="242"/>
      <c r="D274" s="243"/>
    </row>
    <row r="275" spans="2:4">
      <c r="B275" s="234"/>
      <c r="C275" s="243"/>
      <c r="D275" s="243"/>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24AF-6909-3347-8325-7F86EDD85AAC}">
  <dimension ref="B1:V93"/>
  <sheetViews>
    <sheetView showGridLines="0" topLeftCell="B39" zoomScale="90" zoomScaleNormal="90" workbookViewId="0">
      <selection activeCell="H75" sqref="H75"/>
    </sheetView>
  </sheetViews>
  <sheetFormatPr defaultColWidth="11.28515625" defaultRowHeight="14.85"/>
  <cols>
    <col min="1" max="1" width="4.7109375" customWidth="1"/>
    <col min="2" max="2" width="25" customWidth="1"/>
    <col min="3" max="3" width="21.7109375" customWidth="1"/>
    <col min="4" max="4" width="4.28515625" customWidth="1"/>
    <col min="5" max="5" width="17.28515625" customWidth="1"/>
    <col min="6" max="6" width="20" style="28" customWidth="1"/>
    <col min="7" max="7" width="5.7109375" customWidth="1"/>
    <col min="8" max="8" width="22.140625" style="28" customWidth="1"/>
    <col min="9" max="9" width="16.85546875" style="28" customWidth="1"/>
    <col min="10" max="10" width="4" style="28" customWidth="1"/>
    <col min="11" max="11" width="23.28515625" style="28" customWidth="1"/>
    <col min="12" max="12" width="20" style="28" customWidth="1"/>
    <col min="13" max="13" width="5" style="28" customWidth="1"/>
    <col min="14" max="14" width="22.140625" style="28" customWidth="1"/>
    <col min="15" max="15" width="18.140625" style="28" customWidth="1"/>
    <col min="16" max="16" width="7" customWidth="1"/>
    <col min="17" max="17" width="30" customWidth="1"/>
    <col min="18" max="18" width="16.28515625" customWidth="1"/>
    <col min="19" max="19" width="6.85546875" customWidth="1"/>
    <col min="20" max="21" width="21.28515625" customWidth="1"/>
  </cols>
  <sheetData>
    <row r="1" spans="2:21">
      <c r="B1" s="158" t="s">
        <v>814</v>
      </c>
    </row>
    <row r="2" spans="2:21">
      <c r="B2" s="37" t="s">
        <v>815</v>
      </c>
      <c r="K2" s="144" t="s">
        <v>816</v>
      </c>
      <c r="L2" s="145" t="s">
        <v>817</v>
      </c>
    </row>
    <row r="3" spans="2:21">
      <c r="K3" s="146"/>
    </row>
    <row r="4" spans="2:21">
      <c r="K4" s="147"/>
    </row>
    <row r="5" spans="2:21">
      <c r="K5" s="148"/>
    </row>
    <row r="6" spans="2:21" ht="15" customHeight="1">
      <c r="E6" s="144" t="s">
        <v>818</v>
      </c>
      <c r="F6" s="145" t="s">
        <v>819</v>
      </c>
      <c r="G6" s="28" t="s">
        <v>820</v>
      </c>
      <c r="H6" s="144" t="s">
        <v>821</v>
      </c>
      <c r="I6" s="145" t="s">
        <v>822</v>
      </c>
      <c r="J6" s="28" t="s">
        <v>820</v>
      </c>
      <c r="K6" s="27" t="s">
        <v>823</v>
      </c>
      <c r="L6" s="145" t="s">
        <v>824</v>
      </c>
      <c r="M6" s="28" t="s">
        <v>825</v>
      </c>
      <c r="N6" s="144" t="s">
        <v>826</v>
      </c>
      <c r="O6" s="145" t="s">
        <v>827</v>
      </c>
    </row>
    <row r="7" spans="2:21">
      <c r="K7" s="149"/>
    </row>
    <row r="8" spans="2:21">
      <c r="E8" s="134" t="s">
        <v>828</v>
      </c>
      <c r="F8" s="145" t="s">
        <v>829</v>
      </c>
      <c r="G8" s="141"/>
      <c r="K8" s="147"/>
      <c r="P8" s="143"/>
      <c r="Q8" s="134" t="s">
        <v>828</v>
      </c>
      <c r="R8" s="135" t="s">
        <v>830</v>
      </c>
    </row>
    <row r="9" spans="2:21">
      <c r="G9" s="136"/>
      <c r="K9" s="147"/>
      <c r="P9" s="140"/>
    </row>
    <row r="10" spans="2:21">
      <c r="G10" s="137"/>
      <c r="K10" s="147"/>
      <c r="P10" s="138"/>
    </row>
    <row r="11" spans="2:21">
      <c r="E11" s="134" t="s">
        <v>70</v>
      </c>
      <c r="F11" s="145" t="s">
        <v>831</v>
      </c>
      <c r="G11" s="143"/>
      <c r="K11" s="147"/>
      <c r="P11" s="156"/>
      <c r="Q11" s="134" t="s">
        <v>70</v>
      </c>
      <c r="R11" s="135" t="s">
        <v>832</v>
      </c>
    </row>
    <row r="12" spans="2:21">
      <c r="G12" s="136"/>
      <c r="I12" s="150"/>
      <c r="J12" s="142"/>
      <c r="K12" s="142"/>
      <c r="L12" s="142"/>
      <c r="M12" s="142"/>
      <c r="N12" s="146"/>
      <c r="P12" s="140"/>
    </row>
    <row r="13" spans="2:21">
      <c r="G13" s="137"/>
      <c r="I13" s="151"/>
      <c r="N13" s="147"/>
      <c r="P13" s="138"/>
    </row>
    <row r="14" spans="2:21">
      <c r="B14" s="144" t="s">
        <v>833</v>
      </c>
      <c r="C14" s="145" t="s">
        <v>834</v>
      </c>
      <c r="G14" s="137"/>
      <c r="I14" s="152"/>
      <c r="N14" s="153"/>
      <c r="P14" s="138"/>
      <c r="T14" s="144" t="s">
        <v>833</v>
      </c>
      <c r="U14" s="145" t="s">
        <v>835</v>
      </c>
    </row>
    <row r="15" spans="2:21">
      <c r="D15" s="139"/>
      <c r="E15" s="647" t="s">
        <v>836</v>
      </c>
      <c r="F15" s="145" t="s">
        <v>837</v>
      </c>
      <c r="G15" s="28"/>
      <c r="H15" s="144" t="s">
        <v>838</v>
      </c>
      <c r="I15" s="145" t="s">
        <v>839</v>
      </c>
      <c r="N15" s="144" t="s">
        <v>840</v>
      </c>
      <c r="O15" s="145" t="s">
        <v>839</v>
      </c>
      <c r="P15" s="141"/>
      <c r="Q15" s="134" t="s">
        <v>841</v>
      </c>
      <c r="R15" s="135" t="s">
        <v>842</v>
      </c>
      <c r="S15" s="157"/>
    </row>
    <row r="16" spans="2:21">
      <c r="E16" s="647"/>
      <c r="F16" s="145" t="s">
        <v>843</v>
      </c>
      <c r="G16" s="140"/>
      <c r="I16" s="150"/>
      <c r="N16" s="146"/>
      <c r="T16" s="144" t="s">
        <v>844</v>
      </c>
      <c r="U16" s="145" t="s">
        <v>845</v>
      </c>
    </row>
    <row r="17" spans="2:22">
      <c r="B17" s="144" t="s">
        <v>844</v>
      </c>
      <c r="C17" s="145" t="s">
        <v>846</v>
      </c>
      <c r="D17" s="140"/>
      <c r="I17" s="151"/>
      <c r="N17" s="147"/>
    </row>
    <row r="18" spans="2:22">
      <c r="I18" s="152"/>
      <c r="J18" s="154"/>
      <c r="K18" s="154"/>
      <c r="L18" s="154"/>
      <c r="M18" s="154"/>
      <c r="N18" s="153"/>
    </row>
    <row r="19" spans="2:22">
      <c r="K19" s="147"/>
    </row>
    <row r="20" spans="2:22">
      <c r="K20" s="147"/>
    </row>
    <row r="21" spans="2:22">
      <c r="K21" s="153"/>
    </row>
    <row r="22" spans="2:22">
      <c r="K22" s="144" t="s">
        <v>847</v>
      </c>
      <c r="L22" s="145" t="s">
        <v>848</v>
      </c>
    </row>
    <row r="23" spans="2:22" ht="15.6" thickBot="1">
      <c r="B23" s="164"/>
      <c r="C23" s="164"/>
      <c r="D23" s="164"/>
      <c r="E23" s="164"/>
      <c r="F23" s="165"/>
      <c r="G23" s="164"/>
      <c r="H23" s="165"/>
      <c r="I23" s="165"/>
      <c r="J23" s="165"/>
      <c r="K23" s="165"/>
      <c r="L23" s="165"/>
      <c r="M23" s="165"/>
      <c r="N23" s="165"/>
      <c r="O23" s="165"/>
      <c r="P23" s="164"/>
      <c r="Q23" s="164"/>
      <c r="R23" s="164"/>
      <c r="S23" s="164"/>
      <c r="T23" s="164"/>
      <c r="U23" s="164"/>
      <c r="V23" s="164"/>
    </row>
    <row r="24" spans="2:22" ht="15.6" thickTop="1"/>
    <row r="25" spans="2:22">
      <c r="B25" s="158" t="s">
        <v>849</v>
      </c>
    </row>
    <row r="26" spans="2:22">
      <c r="B26" s="37" t="s">
        <v>850</v>
      </c>
    </row>
    <row r="28" spans="2:22">
      <c r="H28" s="144" t="s">
        <v>851</v>
      </c>
      <c r="I28" s="145" t="s">
        <v>852</v>
      </c>
      <c r="J28" s="152"/>
      <c r="K28" s="154"/>
    </row>
    <row r="29" spans="2:22">
      <c r="K29" s="146"/>
    </row>
    <row r="30" spans="2:22">
      <c r="H30" s="144" t="s">
        <v>853</v>
      </c>
      <c r="I30" s="145" t="s">
        <v>854</v>
      </c>
      <c r="J30" s="152"/>
      <c r="K30" s="153"/>
      <c r="L30" s="154"/>
      <c r="M30" s="153"/>
      <c r="N30" s="144" t="s">
        <v>855</v>
      </c>
      <c r="O30" s="145" t="s">
        <v>856</v>
      </c>
    </row>
    <row r="31" spans="2:22">
      <c r="K31" s="146"/>
    </row>
    <row r="32" spans="2:22">
      <c r="K32" s="147"/>
    </row>
    <row r="33" spans="2:22">
      <c r="K33" s="153"/>
    </row>
    <row r="34" spans="2:22">
      <c r="K34" s="144" t="s">
        <v>857</v>
      </c>
      <c r="L34" s="145" t="s">
        <v>848</v>
      </c>
    </row>
    <row r="37" spans="2:22" ht="15.6" thickBot="1">
      <c r="B37" s="164"/>
      <c r="C37" s="164"/>
      <c r="D37" s="164"/>
      <c r="E37" s="164"/>
      <c r="F37" s="165"/>
      <c r="G37" s="164"/>
      <c r="H37" s="165"/>
      <c r="I37" s="165"/>
      <c r="J37" s="165"/>
      <c r="K37" s="165"/>
      <c r="L37" s="165"/>
      <c r="M37" s="165"/>
      <c r="N37" s="165"/>
      <c r="O37" s="165"/>
      <c r="P37" s="164"/>
      <c r="Q37" s="164"/>
      <c r="R37" s="164"/>
      <c r="S37" s="164"/>
      <c r="T37" s="164"/>
      <c r="U37" s="164"/>
      <c r="V37" s="164"/>
    </row>
    <row r="38" spans="2:22" ht="15.6" thickTop="1"/>
    <row r="40" spans="2:22">
      <c r="B40" s="158" t="s">
        <v>858</v>
      </c>
    </row>
    <row r="41" spans="2:22">
      <c r="B41" s="37" t="s">
        <v>859</v>
      </c>
    </row>
    <row r="42" spans="2:22">
      <c r="B42" s="37"/>
      <c r="K42" s="144" t="s">
        <v>816</v>
      </c>
      <c r="L42" s="145" t="s">
        <v>860</v>
      </c>
    </row>
    <row r="43" spans="2:22">
      <c r="K43" s="146"/>
    </row>
    <row r="44" spans="2:22">
      <c r="K44" s="147"/>
    </row>
    <row r="45" spans="2:22">
      <c r="K45" s="148"/>
    </row>
    <row r="46" spans="2:22" ht="15" customHeight="1">
      <c r="E46" s="144" t="s">
        <v>818</v>
      </c>
      <c r="F46" s="145" t="s">
        <v>861</v>
      </c>
      <c r="G46" s="28" t="s">
        <v>820</v>
      </c>
      <c r="H46" s="144" t="s">
        <v>821</v>
      </c>
      <c r="I46" s="145" t="s">
        <v>862</v>
      </c>
      <c r="J46" s="28" t="s">
        <v>820</v>
      </c>
      <c r="K46" s="27" t="s">
        <v>823</v>
      </c>
      <c r="L46" s="145" t="s">
        <v>863</v>
      </c>
      <c r="M46" s="28" t="s">
        <v>825</v>
      </c>
      <c r="N46" s="144" t="s">
        <v>826</v>
      </c>
      <c r="O46" s="145" t="s">
        <v>864</v>
      </c>
    </row>
    <row r="47" spans="2:22">
      <c r="K47" s="149"/>
    </row>
    <row r="48" spans="2:22">
      <c r="E48" s="134" t="s">
        <v>828</v>
      </c>
      <c r="F48" s="145" t="s">
        <v>865</v>
      </c>
      <c r="G48" s="141"/>
      <c r="K48" s="147"/>
      <c r="P48" s="143"/>
      <c r="Q48" s="134" t="s">
        <v>828</v>
      </c>
      <c r="R48" s="135" t="s">
        <v>866</v>
      </c>
    </row>
    <row r="49" spans="2:21">
      <c r="G49" s="136"/>
      <c r="K49" s="147"/>
      <c r="P49" s="140"/>
    </row>
    <row r="50" spans="2:21">
      <c r="G50" s="137"/>
      <c r="K50" s="147"/>
      <c r="P50" s="138"/>
    </row>
    <row r="51" spans="2:21">
      <c r="E51" s="134" t="s">
        <v>70</v>
      </c>
      <c r="F51" s="145" t="s">
        <v>867</v>
      </c>
      <c r="G51" s="143"/>
      <c r="K51" s="147"/>
      <c r="P51" s="156"/>
      <c r="Q51" s="134" t="s">
        <v>70</v>
      </c>
      <c r="R51" s="135" t="s">
        <v>868</v>
      </c>
    </row>
    <row r="52" spans="2:21">
      <c r="G52" s="136"/>
      <c r="I52" s="150"/>
      <c r="J52" s="142"/>
      <c r="K52" s="142"/>
      <c r="L52" s="142"/>
      <c r="M52" s="142"/>
      <c r="N52" s="146"/>
      <c r="P52" s="140"/>
    </row>
    <row r="53" spans="2:21">
      <c r="G53" s="137"/>
      <c r="I53" s="151"/>
      <c r="N53" s="147"/>
      <c r="P53" s="138"/>
    </row>
    <row r="54" spans="2:21">
      <c r="B54" s="144" t="s">
        <v>833</v>
      </c>
      <c r="C54" s="145" t="s">
        <v>869</v>
      </c>
      <c r="G54" s="137"/>
      <c r="I54" s="152"/>
      <c r="N54" s="153"/>
      <c r="P54" s="138"/>
      <c r="T54" s="144" t="s">
        <v>833</v>
      </c>
      <c r="U54" s="145" t="s">
        <v>870</v>
      </c>
    </row>
    <row r="55" spans="2:21">
      <c r="D55" s="139"/>
      <c r="E55" s="647" t="s">
        <v>836</v>
      </c>
      <c r="F55" s="145" t="s">
        <v>871</v>
      </c>
      <c r="G55" s="28"/>
      <c r="H55" s="144" t="s">
        <v>838</v>
      </c>
      <c r="I55" s="145" t="s">
        <v>872</v>
      </c>
      <c r="N55" s="144" t="s">
        <v>840</v>
      </c>
      <c r="O55" s="145" t="s">
        <v>872</v>
      </c>
      <c r="P55" s="141"/>
      <c r="Q55" s="134" t="s">
        <v>841</v>
      </c>
      <c r="R55" s="135" t="s">
        <v>873</v>
      </c>
      <c r="S55" s="157"/>
    </row>
    <row r="56" spans="2:21">
      <c r="E56" s="647"/>
      <c r="F56" s="145" t="s">
        <v>874</v>
      </c>
      <c r="G56" s="140"/>
      <c r="I56" s="150"/>
      <c r="N56" s="146"/>
      <c r="T56" s="144" t="s">
        <v>844</v>
      </c>
      <c r="U56" s="145" t="s">
        <v>875</v>
      </c>
    </row>
    <row r="57" spans="2:21">
      <c r="B57" s="144" t="s">
        <v>844</v>
      </c>
      <c r="C57" s="145" t="s">
        <v>876</v>
      </c>
      <c r="D57" s="140"/>
      <c r="I57" s="151"/>
      <c r="N57" s="147"/>
    </row>
    <row r="58" spans="2:21">
      <c r="I58" s="152"/>
      <c r="J58" s="154"/>
      <c r="K58" s="154"/>
      <c r="L58" s="154"/>
      <c r="M58" s="154"/>
      <c r="N58" s="153"/>
    </row>
    <row r="59" spans="2:21">
      <c r="K59" s="147"/>
    </row>
    <row r="60" spans="2:21">
      <c r="K60" s="147"/>
    </row>
    <row r="61" spans="2:21">
      <c r="K61" s="153"/>
    </row>
    <row r="62" spans="2:21">
      <c r="K62" s="144" t="s">
        <v>847</v>
      </c>
      <c r="L62" s="145" t="s">
        <v>877</v>
      </c>
      <c r="M62" s="152"/>
      <c r="N62" s="154"/>
      <c r="O62" s="154"/>
      <c r="P62" s="155"/>
    </row>
    <row r="63" spans="2:21">
      <c r="P63" s="136"/>
    </row>
    <row r="64" spans="2:21">
      <c r="P64" s="137"/>
      <c r="R64" s="28"/>
    </row>
    <row r="65" spans="2:18">
      <c r="P65" s="137"/>
    </row>
    <row r="66" spans="2:18">
      <c r="P66" s="137"/>
    </row>
    <row r="67" spans="2:18">
      <c r="P67" s="137"/>
    </row>
    <row r="68" spans="2:18">
      <c r="P68" s="137"/>
    </row>
    <row r="69" spans="2:18">
      <c r="H69" s="144" t="s">
        <v>851</v>
      </c>
      <c r="I69" s="145" t="s">
        <v>878</v>
      </c>
      <c r="J69" s="152"/>
      <c r="K69" s="154"/>
      <c r="P69" s="137"/>
    </row>
    <row r="70" spans="2:18">
      <c r="K70" s="146"/>
      <c r="P70" s="137"/>
    </row>
    <row r="71" spans="2:18">
      <c r="H71" s="144" t="s">
        <v>853</v>
      </c>
      <c r="I71" s="145" t="s">
        <v>879</v>
      </c>
      <c r="J71" s="152"/>
      <c r="K71" s="153"/>
      <c r="L71" s="154"/>
      <c r="M71" s="153"/>
      <c r="N71" s="144" t="s">
        <v>855</v>
      </c>
      <c r="O71" s="145" t="s">
        <v>880</v>
      </c>
      <c r="P71" s="137"/>
    </row>
    <row r="72" spans="2:18">
      <c r="K72" s="146"/>
      <c r="P72" s="137"/>
    </row>
    <row r="73" spans="2:18">
      <c r="K73" s="147"/>
      <c r="P73" s="137"/>
    </row>
    <row r="74" spans="2:18">
      <c r="K74" s="153"/>
      <c r="P74" s="137"/>
    </row>
    <row r="75" spans="2:18">
      <c r="K75" s="144" t="s">
        <v>857</v>
      </c>
      <c r="L75" s="145" t="s">
        <v>881</v>
      </c>
      <c r="M75" s="152"/>
      <c r="N75" s="154"/>
      <c r="O75" s="154"/>
      <c r="P75" s="137"/>
    </row>
    <row r="76" spans="2:18">
      <c r="B76" s="159"/>
      <c r="O76" s="146"/>
      <c r="P76" s="137"/>
    </row>
    <row r="77" spans="2:18">
      <c r="B77" s="159"/>
      <c r="O77" s="147"/>
      <c r="P77" s="143"/>
    </row>
    <row r="78" spans="2:18">
      <c r="O78" s="147"/>
      <c r="P78" s="136"/>
      <c r="Q78" s="134" t="s">
        <v>882</v>
      </c>
      <c r="R78" s="135" t="s">
        <v>883</v>
      </c>
    </row>
    <row r="79" spans="2:18">
      <c r="O79" s="147"/>
    </row>
    <row r="80" spans="2:18">
      <c r="O80" s="147"/>
    </row>
    <row r="81" spans="2:22">
      <c r="O81" s="153"/>
    </row>
    <row r="82" spans="2:22">
      <c r="K82" s="144" t="s">
        <v>853</v>
      </c>
      <c r="L82" s="145" t="s">
        <v>884</v>
      </c>
      <c r="M82" s="150"/>
      <c r="N82" s="142"/>
      <c r="O82" s="142"/>
    </row>
    <row r="86" spans="2:22" ht="15.6" thickBot="1">
      <c r="B86" s="164"/>
      <c r="C86" s="164"/>
      <c r="D86" s="164"/>
      <c r="E86" s="164"/>
      <c r="F86" s="165"/>
      <c r="G86" s="164"/>
      <c r="H86" s="165"/>
      <c r="I86" s="165"/>
      <c r="J86" s="165"/>
      <c r="K86" s="165"/>
      <c r="L86" s="165"/>
      <c r="M86" s="165"/>
      <c r="N86" s="165"/>
      <c r="O86" s="165"/>
      <c r="P86" s="164"/>
      <c r="Q86" s="164"/>
      <c r="R86" s="164"/>
      <c r="S86" s="164"/>
      <c r="T86" s="164"/>
      <c r="U86" s="164"/>
      <c r="V86" s="164"/>
    </row>
    <row r="87" spans="2:22" ht="15.6" thickTop="1"/>
    <row r="90" spans="2:22">
      <c r="B90" s="37" t="s">
        <v>885</v>
      </c>
    </row>
    <row r="91" spans="2:22">
      <c r="B91" s="54" t="s">
        <v>886</v>
      </c>
      <c r="C91" s="55">
        <v>0.68</v>
      </c>
    </row>
    <row r="92" spans="2:22">
      <c r="B92" s="54" t="s">
        <v>887</v>
      </c>
      <c r="C92" s="56">
        <v>1.0549999999999999</v>
      </c>
    </row>
    <row r="93" spans="2:22">
      <c r="B93" s="54" t="s">
        <v>888</v>
      </c>
      <c r="C93" s="56" t="s">
        <v>889</v>
      </c>
    </row>
  </sheetData>
  <mergeCells count="2">
    <mergeCell ref="E15:E16"/>
    <mergeCell ref="E55:E5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6B5FC-3E60-D243-A792-94F7BF4A1D5B}">
  <dimension ref="A1:M35"/>
  <sheetViews>
    <sheetView zoomScale="140" zoomScaleNormal="140" workbookViewId="0">
      <selection activeCell="A5" sqref="A5"/>
    </sheetView>
  </sheetViews>
  <sheetFormatPr defaultColWidth="11.28515625" defaultRowHeight="14.85"/>
  <cols>
    <col min="2" max="2" width="20.85546875" customWidth="1"/>
    <col min="3" max="3" width="17.28515625" customWidth="1"/>
    <col min="4" max="4" width="23.28515625" customWidth="1"/>
    <col min="5" max="5" width="12.7109375" customWidth="1"/>
    <col min="9" max="9" width="24.7109375" customWidth="1"/>
    <col min="11" max="11" width="14.7109375" customWidth="1"/>
  </cols>
  <sheetData>
    <row r="1" spans="1:13">
      <c r="A1" t="s">
        <v>890</v>
      </c>
    </row>
    <row r="2" spans="1:13">
      <c r="A2" t="s">
        <v>412</v>
      </c>
      <c r="C2" t="s">
        <v>891</v>
      </c>
    </row>
    <row r="3" spans="1:13">
      <c r="A3" s="34">
        <f>0.05/5.5</f>
        <v>9.0909090909090922E-3</v>
      </c>
      <c r="B3" t="s">
        <v>317</v>
      </c>
      <c r="C3" s="28">
        <v>5489</v>
      </c>
    </row>
    <row r="4" spans="1:13">
      <c r="A4" s="34">
        <f>2.5/1.9</f>
        <v>1.3157894736842106</v>
      </c>
      <c r="B4" t="s">
        <v>58</v>
      </c>
      <c r="C4" s="28">
        <v>1928</v>
      </c>
      <c r="I4" t="s">
        <v>892</v>
      </c>
      <c r="J4" s="35">
        <f>C3/C4</f>
        <v>2.8469917012448134</v>
      </c>
      <c r="K4" t="s">
        <v>893</v>
      </c>
      <c r="L4" s="35">
        <f>J4*A3+A4</f>
        <v>1.3416712164227997</v>
      </c>
      <c r="M4" t="s">
        <v>894</v>
      </c>
    </row>
    <row r="5" spans="1:13">
      <c r="A5">
        <v>0.66</v>
      </c>
      <c r="B5" t="s">
        <v>895</v>
      </c>
      <c r="C5" s="33">
        <f>C4*156/102</f>
        <v>2948.705882352941</v>
      </c>
      <c r="I5" t="s">
        <v>896</v>
      </c>
      <c r="J5" s="35">
        <f>C3/C5</f>
        <v>1.8614945738908395</v>
      </c>
      <c r="K5" t="s">
        <v>897</v>
      </c>
      <c r="L5" s="35">
        <f>J5*A3+A5</f>
        <v>0.67692267794446226</v>
      </c>
      <c r="M5" t="s">
        <v>898</v>
      </c>
    </row>
    <row r="6" spans="1:13">
      <c r="A6">
        <v>1.08</v>
      </c>
      <c r="B6" t="s">
        <v>899</v>
      </c>
      <c r="C6" s="28">
        <v>460</v>
      </c>
      <c r="I6" t="s">
        <v>900</v>
      </c>
      <c r="J6">
        <f>C3/C7</f>
        <v>5.4889999999999999</v>
      </c>
      <c r="K6" t="s">
        <v>897</v>
      </c>
      <c r="L6">
        <f>J6*A3</f>
        <v>4.9900000000000007E-2</v>
      </c>
    </row>
    <row r="7" spans="1:13">
      <c r="A7">
        <v>12.4</v>
      </c>
      <c r="B7" t="s">
        <v>901</v>
      </c>
      <c r="C7" s="28">
        <v>1000</v>
      </c>
      <c r="J7">
        <f>C4/C7</f>
        <v>1.9279999999999999</v>
      </c>
      <c r="K7" t="s">
        <v>902</v>
      </c>
      <c r="L7">
        <f>J7*A4</f>
        <v>2.5368421052631578</v>
      </c>
    </row>
    <row r="8" spans="1:13">
      <c r="J8">
        <f>C6/C7</f>
        <v>0.46</v>
      </c>
      <c r="K8" t="s">
        <v>903</v>
      </c>
      <c r="L8">
        <f>J8*A6</f>
        <v>0.49680000000000007</v>
      </c>
    </row>
    <row r="9" spans="1:13">
      <c r="J9">
        <v>1</v>
      </c>
      <c r="K9" t="s">
        <v>904</v>
      </c>
      <c r="L9">
        <f>J9*A7</f>
        <v>12.4</v>
      </c>
    </row>
    <row r="10" spans="1:13">
      <c r="L10" s="35">
        <f>SUM(L6:L9)</f>
        <v>15.483542105263158</v>
      </c>
    </row>
    <row r="18" spans="1:9">
      <c r="A18" t="s">
        <v>905</v>
      </c>
    </row>
    <row r="19" spans="1:9">
      <c r="A19" t="s">
        <v>412</v>
      </c>
      <c r="C19" s="28" t="s">
        <v>891</v>
      </c>
    </row>
    <row r="20" spans="1:9">
      <c r="A20" s="28">
        <v>0.39700000000000002</v>
      </c>
      <c r="B20" t="s">
        <v>906</v>
      </c>
      <c r="C20" s="36">
        <f>C21/0.68</f>
        <v>992.64705882352939</v>
      </c>
      <c r="D20" s="41">
        <f>C20*A20</f>
        <v>394.08088235294116</v>
      </c>
    </row>
    <row r="21" spans="1:9">
      <c r="A21" s="28">
        <v>0.22</v>
      </c>
      <c r="B21" t="s">
        <v>907</v>
      </c>
      <c r="C21">
        <v>675</v>
      </c>
      <c r="D21" s="41">
        <f>C21*A21</f>
        <v>148.5</v>
      </c>
    </row>
    <row r="22" spans="1:9">
      <c r="A22" s="28">
        <v>0.27800000000000002</v>
      </c>
      <c r="B22" t="s">
        <v>908</v>
      </c>
      <c r="C22">
        <v>146</v>
      </c>
      <c r="D22" s="41">
        <f>C22*A22</f>
        <v>40.588000000000001</v>
      </c>
      <c r="H22">
        <f>H23-D21/1000</f>
        <v>0.23750000000000002</v>
      </c>
      <c r="I22" t="s">
        <v>909</v>
      </c>
    </row>
    <row r="23" spans="1:9">
      <c r="A23" s="28">
        <v>0.223</v>
      </c>
      <c r="B23" t="s">
        <v>910</v>
      </c>
      <c r="C23">
        <v>1000</v>
      </c>
      <c r="D23" s="41">
        <f>C20*A20+C21*A21+C22*A22+A23*C23</f>
        <v>806.16888235294118</v>
      </c>
      <c r="H23">
        <v>0.38600000000000001</v>
      </c>
      <c r="I23" t="s">
        <v>911</v>
      </c>
    </row>
    <row r="24" spans="1:9">
      <c r="B24" t="s">
        <v>912</v>
      </c>
      <c r="C24" s="36">
        <f>C23/1.055</f>
        <v>947.8672985781991</v>
      </c>
      <c r="H24" s="34">
        <f>H23+D20/1000+D22/1000</f>
        <v>0.82066888235294111</v>
      </c>
    </row>
    <row r="26" spans="1:9">
      <c r="A26" t="s">
        <v>913</v>
      </c>
    </row>
    <row r="27" spans="1:9">
      <c r="A27" t="s">
        <v>412</v>
      </c>
      <c r="C27" s="28" t="s">
        <v>891</v>
      </c>
    </row>
    <row r="28" spans="1:9">
      <c r="A28" s="28">
        <v>0.39700000000000002</v>
      </c>
      <c r="B28" t="s">
        <v>906</v>
      </c>
      <c r="C28" s="36">
        <f>C29/0.68</f>
        <v>1030.839520274129</v>
      </c>
      <c r="D28" s="34">
        <f>C28*A28/1000</f>
        <v>0.40924328954882921</v>
      </c>
    </row>
    <row r="29" spans="1:9">
      <c r="A29" s="28">
        <v>0.22</v>
      </c>
      <c r="B29" t="s">
        <v>907</v>
      </c>
      <c r="C29" s="36">
        <f>0.361/0.515*1000</f>
        <v>700.97087378640776</v>
      </c>
      <c r="D29" s="34">
        <f t="shared" ref="D29:D30" si="0">C29*A29/1000</f>
        <v>0.15421359223300971</v>
      </c>
    </row>
    <row r="30" spans="1:9">
      <c r="A30" s="28">
        <v>0.27800000000000002</v>
      </c>
      <c r="B30" t="s">
        <v>908</v>
      </c>
      <c r="C30" s="36">
        <f>0.158/0.515*1000</f>
        <v>306.79611650485441</v>
      </c>
      <c r="D30" s="34">
        <f t="shared" si="0"/>
        <v>8.5289320388349535E-2</v>
      </c>
    </row>
    <row r="31" spans="1:9">
      <c r="A31" s="28"/>
      <c r="B31" t="s">
        <v>914</v>
      </c>
      <c r="C31">
        <v>1000</v>
      </c>
      <c r="D31" s="34">
        <f>(C28*A28+C29*A29+C30*A30)/1000</f>
        <v>0.64874620217018852</v>
      </c>
    </row>
    <row r="32" spans="1:9">
      <c r="C32" t="s">
        <v>915</v>
      </c>
    </row>
    <row r="33" spans="2:4">
      <c r="B33" t="s">
        <v>916</v>
      </c>
      <c r="C33">
        <v>0.38600000000000001</v>
      </c>
      <c r="D33" t="s">
        <v>917</v>
      </c>
    </row>
    <row r="34" spans="2:4">
      <c r="B34" t="s">
        <v>918</v>
      </c>
      <c r="C34">
        <v>0.22</v>
      </c>
      <c r="D34" t="s">
        <v>919</v>
      </c>
    </row>
    <row r="35" spans="2:4">
      <c r="C35">
        <f>C33-C34*0.675</f>
        <v>0.23749999999999999</v>
      </c>
      <c r="D35" t="s">
        <v>909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6D61-FBAD-164B-BC7F-4B386D1B3D5C}">
  <dimension ref="A1:J47"/>
  <sheetViews>
    <sheetView zoomScale="150" zoomScaleNormal="150" workbookViewId="0">
      <selection activeCell="B43" sqref="B43:B45"/>
    </sheetView>
  </sheetViews>
  <sheetFormatPr defaultColWidth="10.85546875" defaultRowHeight="14.85"/>
  <cols>
    <col min="1" max="1" width="46" style="44" customWidth="1"/>
    <col min="2" max="2" width="16.7109375" style="38" customWidth="1"/>
    <col min="3" max="3" width="10.85546875" style="38" customWidth="1"/>
    <col min="4" max="4" width="42.28515625" style="38" customWidth="1"/>
    <col min="5" max="5" width="12.7109375" style="44" customWidth="1"/>
    <col min="6" max="6" width="81.28515625" style="48" customWidth="1"/>
    <col min="7" max="16384" width="10.85546875" style="44"/>
  </cols>
  <sheetData>
    <row r="1" spans="1:10">
      <c r="A1" s="43"/>
      <c r="B1" s="40" t="s">
        <v>920</v>
      </c>
      <c r="C1" s="40" t="s">
        <v>921</v>
      </c>
      <c r="D1" s="40" t="s">
        <v>922</v>
      </c>
      <c r="E1" s="43" t="s">
        <v>563</v>
      </c>
      <c r="F1" s="39" t="s">
        <v>922</v>
      </c>
    </row>
    <row r="2" spans="1:10">
      <c r="A2" s="43" t="s">
        <v>55</v>
      </c>
      <c r="B2" s="40" t="s">
        <v>44</v>
      </c>
      <c r="C2" s="40">
        <v>0</v>
      </c>
      <c r="D2" s="40"/>
      <c r="E2" s="40">
        <v>0.01</v>
      </c>
      <c r="F2" s="45" t="s">
        <v>923</v>
      </c>
    </row>
    <row r="3" spans="1:10">
      <c r="A3" s="43" t="s">
        <v>57</v>
      </c>
      <c r="B3" s="40" t="s">
        <v>44</v>
      </c>
      <c r="C3" s="40">
        <v>0</v>
      </c>
      <c r="D3" s="40"/>
      <c r="E3" s="46">
        <v>0.68</v>
      </c>
      <c r="F3" s="45" t="s">
        <v>924</v>
      </c>
    </row>
    <row r="4" spans="1:10">
      <c r="A4" s="43" t="s">
        <v>58</v>
      </c>
      <c r="B4" s="40" t="s">
        <v>44</v>
      </c>
      <c r="C4" s="40">
        <v>0</v>
      </c>
      <c r="D4" s="40"/>
      <c r="E4" s="46">
        <v>1.34</v>
      </c>
      <c r="F4" s="45" t="s">
        <v>925</v>
      </c>
    </row>
    <row r="5" spans="1:10">
      <c r="A5" s="43" t="s">
        <v>926</v>
      </c>
      <c r="B5" s="40" t="s">
        <v>44</v>
      </c>
      <c r="C5" s="40">
        <v>0</v>
      </c>
      <c r="D5" s="40"/>
      <c r="E5" s="40">
        <v>15.55</v>
      </c>
      <c r="F5" s="45" t="s">
        <v>927</v>
      </c>
    </row>
    <row r="7" spans="1:10" ht="29.45">
      <c r="A7" s="43" t="s">
        <v>64</v>
      </c>
      <c r="B7" s="40" t="s">
        <v>44</v>
      </c>
      <c r="C7" s="648" t="s">
        <v>558</v>
      </c>
      <c r="D7" s="649"/>
      <c r="E7" s="49">
        <v>0.82099999999999995</v>
      </c>
      <c r="F7" s="45" t="s">
        <v>928</v>
      </c>
      <c r="J7" s="47"/>
    </row>
    <row r="8" spans="1:10" ht="29.45">
      <c r="A8" s="43" t="s">
        <v>65</v>
      </c>
      <c r="B8" s="40" t="s">
        <v>44</v>
      </c>
      <c r="C8" s="650"/>
      <c r="D8" s="651"/>
      <c r="E8" s="49">
        <f>0.435*1.055+1.08</f>
        <v>1.5389250000000001</v>
      </c>
      <c r="F8" s="45" t="s">
        <v>929</v>
      </c>
      <c r="J8" s="47"/>
    </row>
    <row r="9" spans="1:10" ht="29.45">
      <c r="A9" s="43" t="s">
        <v>66</v>
      </c>
      <c r="B9" s="40" t="s">
        <v>44</v>
      </c>
      <c r="C9" s="652"/>
      <c r="D9" s="653"/>
      <c r="E9" s="49">
        <f>0.495+0.154+0.016</f>
        <v>0.66500000000000004</v>
      </c>
      <c r="F9" s="45" t="s">
        <v>930</v>
      </c>
    </row>
    <row r="10" spans="1:10">
      <c r="A10" s="43" t="s">
        <v>919</v>
      </c>
      <c r="B10" s="40" t="s">
        <v>931</v>
      </c>
      <c r="C10" s="40">
        <v>0.22</v>
      </c>
      <c r="D10" s="40" t="s">
        <v>932</v>
      </c>
      <c r="E10" s="509" t="s">
        <v>558</v>
      </c>
    </row>
    <row r="11" spans="1:10">
      <c r="A11" s="43" t="s">
        <v>933</v>
      </c>
      <c r="B11" s="40" t="s">
        <v>78</v>
      </c>
      <c r="C11" s="40">
        <v>0.23499999999999999</v>
      </c>
      <c r="D11" s="40" t="s">
        <v>934</v>
      </c>
      <c r="E11" s="512"/>
    </row>
    <row r="12" spans="1:10">
      <c r="A12" s="43" t="s">
        <v>79</v>
      </c>
      <c r="B12" s="40" t="s">
        <v>935</v>
      </c>
      <c r="C12" s="49">
        <f>1.503/0.42</f>
        <v>3.5785714285714283</v>
      </c>
      <c r="D12" s="40" t="s">
        <v>936</v>
      </c>
      <c r="E12" s="512"/>
    </row>
    <row r="13" spans="1:10">
      <c r="A13" s="29" t="s">
        <v>80</v>
      </c>
      <c r="B13" s="40" t="s">
        <v>504</v>
      </c>
      <c r="C13" s="49">
        <f>1.782/0.51</f>
        <v>3.4941176470588236</v>
      </c>
      <c r="D13" s="40" t="s">
        <v>936</v>
      </c>
      <c r="E13" s="512"/>
    </row>
    <row r="14" spans="1:10">
      <c r="A14" s="43" t="s">
        <v>82</v>
      </c>
      <c r="B14" s="40" t="s">
        <v>83</v>
      </c>
      <c r="C14" s="40">
        <v>0.1</v>
      </c>
      <c r="D14" s="40"/>
      <c r="E14" s="512"/>
    </row>
    <row r="42" spans="1:3">
      <c r="A42" s="44" t="s">
        <v>910</v>
      </c>
      <c r="B42" s="48">
        <f>0.386*1.055</f>
        <v>0.40722999999999998</v>
      </c>
      <c r="C42" s="44" t="s">
        <v>937</v>
      </c>
    </row>
    <row r="43" spans="1:3">
      <c r="A43" s="44" t="s">
        <v>912</v>
      </c>
      <c r="B43" s="48">
        <v>1.08</v>
      </c>
      <c r="C43" s="44"/>
    </row>
    <row r="44" spans="1:3">
      <c r="B44" s="48">
        <f>B43-B42-B45</f>
        <v>0.4377700000000001</v>
      </c>
      <c r="C44" s="44" t="s">
        <v>909</v>
      </c>
    </row>
    <row r="45" spans="1:3">
      <c r="B45" s="48">
        <v>0.23499999999999999</v>
      </c>
      <c r="C45" s="44" t="s">
        <v>938</v>
      </c>
    </row>
    <row r="46" spans="1:3">
      <c r="B46" s="48"/>
      <c r="C46" s="44"/>
    </row>
    <row r="47" spans="1:3">
      <c r="B47" s="48"/>
      <c r="C47" s="44"/>
    </row>
  </sheetData>
  <mergeCells count="2">
    <mergeCell ref="C7:D9"/>
    <mergeCell ref="E10:E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6"/>
  <sheetViews>
    <sheetView workbookViewId="0">
      <selection activeCell="A27" sqref="A27"/>
    </sheetView>
  </sheetViews>
  <sheetFormatPr defaultColWidth="8.85546875" defaultRowHeight="14.85"/>
  <cols>
    <col min="1" max="1" width="37.28515625" bestFit="1" customWidth="1"/>
    <col min="2" max="2" width="17.28515625" customWidth="1"/>
    <col min="3" max="10" width="10.85546875" customWidth="1"/>
    <col min="11" max="11" width="9.28515625" customWidth="1"/>
    <col min="12" max="12" width="37.140625" customWidth="1"/>
  </cols>
  <sheetData>
    <row r="2" spans="1:15">
      <c r="A2" s="1" t="s">
        <v>130</v>
      </c>
      <c r="B2" s="654"/>
      <c r="C2" s="655"/>
      <c r="D2" s="656"/>
      <c r="K2" s="657" t="s">
        <v>939</v>
      </c>
      <c r="L2" s="658"/>
      <c r="M2" s="658"/>
      <c r="N2" s="658"/>
      <c r="O2" s="659"/>
    </row>
    <row r="3" spans="1:15">
      <c r="K3" s="673" t="s">
        <v>940</v>
      </c>
      <c r="L3" s="674"/>
      <c r="M3" s="660" t="s">
        <v>941</v>
      </c>
      <c r="N3" s="661"/>
      <c r="O3" s="662"/>
    </row>
    <row r="4" spans="1:15" ht="16.5" customHeight="1">
      <c r="A4" s="2" t="s">
        <v>942</v>
      </c>
      <c r="B4" s="3" t="s">
        <v>0</v>
      </c>
      <c r="C4" s="4" t="s">
        <v>943</v>
      </c>
      <c r="D4" s="4" t="s">
        <v>944</v>
      </c>
      <c r="E4" s="4" t="s">
        <v>945</v>
      </c>
      <c r="F4" s="5" t="s">
        <v>946</v>
      </c>
      <c r="K4" s="663" t="s">
        <v>947</v>
      </c>
      <c r="L4" s="664"/>
      <c r="M4" s="667" t="s">
        <v>948</v>
      </c>
      <c r="N4" s="668"/>
      <c r="O4" s="669"/>
    </row>
    <row r="5" spans="1:15">
      <c r="A5" s="6" t="s">
        <v>949</v>
      </c>
      <c r="B5" s="7">
        <v>1</v>
      </c>
      <c r="C5" s="8">
        <v>1</v>
      </c>
      <c r="D5" s="8">
        <v>1</v>
      </c>
      <c r="E5" s="8">
        <v>1</v>
      </c>
      <c r="F5" s="9">
        <v>1</v>
      </c>
      <c r="K5" s="665"/>
      <c r="L5" s="666"/>
      <c r="M5" s="670"/>
      <c r="N5" s="671"/>
      <c r="O5" s="521"/>
    </row>
    <row r="6" spans="1:15">
      <c r="A6" s="10" t="s">
        <v>950</v>
      </c>
      <c r="B6" s="11"/>
      <c r="C6" s="12"/>
      <c r="D6" s="12"/>
      <c r="E6" s="12"/>
      <c r="F6" s="13"/>
    </row>
    <row r="7" spans="1:15">
      <c r="A7" s="10" t="s">
        <v>951</v>
      </c>
      <c r="B7" s="11"/>
      <c r="C7" s="12"/>
      <c r="D7" s="12"/>
      <c r="E7" s="12"/>
      <c r="F7" s="13"/>
    </row>
    <row r="8" spans="1:15">
      <c r="A8" s="10" t="s">
        <v>952</v>
      </c>
      <c r="B8" s="14"/>
      <c r="C8" s="15"/>
      <c r="D8" s="15"/>
      <c r="E8" s="15"/>
      <c r="F8" s="16"/>
    </row>
    <row r="9" spans="1:15">
      <c r="A9" s="17" t="s">
        <v>953</v>
      </c>
      <c r="B9" s="18"/>
      <c r="C9" s="19"/>
      <c r="D9" s="19"/>
      <c r="E9" s="19"/>
      <c r="F9" s="20"/>
    </row>
    <row r="12" spans="1:15">
      <c r="A12" s="21" t="s">
        <v>954</v>
      </c>
      <c r="B12" s="22"/>
    </row>
    <row r="13" spans="1:15">
      <c r="A13" s="6" t="s">
        <v>955</v>
      </c>
      <c r="B13" s="23"/>
    </row>
    <row r="14" spans="1:15">
      <c r="A14" s="10" t="s">
        <v>956</v>
      </c>
      <c r="B14" s="24"/>
    </row>
    <row r="15" spans="1:15">
      <c r="A15" s="10" t="s">
        <v>957</v>
      </c>
      <c r="B15" s="25"/>
    </row>
    <row r="16" spans="1:15">
      <c r="A16" s="17" t="s">
        <v>958</v>
      </c>
      <c r="B16" s="26"/>
    </row>
  </sheetData>
  <mergeCells count="7">
    <mergeCell ref="B2:D2"/>
    <mergeCell ref="K2:O2"/>
    <mergeCell ref="K3:L3"/>
    <mergeCell ref="M3:O3"/>
    <mergeCell ref="K4:L5"/>
    <mergeCell ref="M4:O4"/>
    <mergeCell ref="M5:O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0D3E5-316D-41E6-A8CD-2A207EA0B21D}">
  <sheetPr>
    <tabColor rgb="FFC00000"/>
  </sheetPr>
  <dimension ref="A1:J4"/>
  <sheetViews>
    <sheetView tabSelected="1" topLeftCell="A20" workbookViewId="0">
      <selection activeCell="Q3" sqref="Q3"/>
    </sheetView>
  </sheetViews>
  <sheetFormatPr defaultColWidth="8.85546875" defaultRowHeight="14.85"/>
  <cols>
    <col min="10" max="10" width="9" customWidth="1"/>
  </cols>
  <sheetData>
    <row r="1" spans="1:10" ht="14.85" customHeight="1">
      <c r="A1" s="557" t="s">
        <v>124</v>
      </c>
      <c r="B1" s="557"/>
      <c r="C1" s="557"/>
      <c r="D1" s="557"/>
      <c r="E1" s="557"/>
      <c r="F1" s="557"/>
      <c r="G1" s="557"/>
      <c r="H1" s="557"/>
      <c r="I1" s="557"/>
      <c r="J1" s="557"/>
    </row>
    <row r="2" spans="1:10" ht="14.85" customHeight="1">
      <c r="A2" s="557"/>
      <c r="B2" s="557"/>
      <c r="C2" s="557"/>
      <c r="D2" s="557"/>
      <c r="E2" s="557"/>
      <c r="F2" s="557"/>
      <c r="G2" s="557"/>
      <c r="H2" s="557"/>
      <c r="I2" s="557"/>
      <c r="J2" s="557"/>
    </row>
    <row r="3" spans="1:10" ht="38.85" customHeight="1">
      <c r="A3" s="557"/>
      <c r="B3" s="557"/>
      <c r="C3" s="557"/>
      <c r="D3" s="557"/>
      <c r="E3" s="557"/>
      <c r="F3" s="557"/>
      <c r="G3" s="557"/>
      <c r="H3" s="557"/>
      <c r="I3" s="557"/>
      <c r="J3" s="557"/>
    </row>
    <row r="4" spans="1:10" ht="14.85" customHeight="1">
      <c r="A4" s="508"/>
      <c r="B4" s="508"/>
      <c r="C4" s="508"/>
      <c r="D4" s="508"/>
      <c r="E4" s="508"/>
      <c r="F4" s="508"/>
      <c r="G4" s="508"/>
      <c r="H4" s="508"/>
      <c r="I4" s="508"/>
      <c r="J4" s="508"/>
    </row>
  </sheetData>
  <mergeCells count="1">
    <mergeCell ref="A1:J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C6C1-8AB6-408A-A7A4-6FD6EFBAD858}">
  <sheetPr>
    <tabColor rgb="FF806000"/>
  </sheetPr>
  <dimension ref="A1:K54"/>
  <sheetViews>
    <sheetView topLeftCell="A7" workbookViewId="0">
      <selection activeCell="B44" sqref="B44"/>
    </sheetView>
  </sheetViews>
  <sheetFormatPr defaultColWidth="8.85546875" defaultRowHeight="14.85"/>
  <cols>
    <col min="1" max="1" width="44.42578125" customWidth="1"/>
    <col min="2" max="2" width="28.140625" customWidth="1"/>
    <col min="3" max="3" width="46.85546875" customWidth="1"/>
    <col min="13" max="13" width="8.42578125" customWidth="1"/>
  </cols>
  <sheetData>
    <row r="1" spans="1:11">
      <c r="A1" s="558" t="s">
        <v>125</v>
      </c>
      <c r="B1" s="559"/>
      <c r="C1" s="559"/>
      <c r="D1" s="559"/>
      <c r="E1" s="559"/>
      <c r="F1" s="559"/>
      <c r="G1" s="559"/>
      <c r="H1" s="559"/>
      <c r="I1" s="559"/>
      <c r="J1" s="559"/>
      <c r="K1" s="560"/>
    </row>
    <row r="2" spans="1:11">
      <c r="A2" s="561"/>
      <c r="B2" s="562"/>
      <c r="C2" s="562"/>
      <c r="D2" s="562"/>
      <c r="E2" s="562"/>
      <c r="F2" s="562"/>
      <c r="G2" s="562"/>
      <c r="H2" s="562"/>
      <c r="I2" s="562"/>
      <c r="J2" s="562"/>
      <c r="K2" s="563"/>
    </row>
    <row r="3" spans="1:11">
      <c r="A3" s="564"/>
      <c r="B3" s="565"/>
      <c r="C3" s="565"/>
      <c r="D3" s="565"/>
      <c r="E3" s="565"/>
      <c r="F3" s="565"/>
      <c r="G3" s="565"/>
      <c r="H3" s="565"/>
      <c r="I3" s="565"/>
      <c r="J3" s="565"/>
      <c r="K3" s="566"/>
    </row>
    <row r="4" spans="1:11">
      <c r="A4" s="567" t="s">
        <v>126</v>
      </c>
      <c r="B4" s="568"/>
      <c r="C4" s="568"/>
      <c r="D4" s="568"/>
      <c r="E4" s="568"/>
      <c r="F4" s="568"/>
      <c r="G4" s="568"/>
      <c r="H4" s="568"/>
      <c r="I4" s="568"/>
      <c r="J4" s="568"/>
      <c r="K4" s="569"/>
    </row>
    <row r="5" spans="1:11">
      <c r="A5" s="570"/>
      <c r="B5" s="571"/>
      <c r="C5" s="571"/>
      <c r="D5" s="571"/>
      <c r="E5" s="571"/>
      <c r="F5" s="571"/>
      <c r="G5" s="571"/>
      <c r="H5" s="571"/>
      <c r="I5" s="571"/>
      <c r="J5" s="571"/>
      <c r="K5" s="572"/>
    </row>
    <row r="6" spans="1:11">
      <c r="A6" s="570"/>
      <c r="B6" s="571"/>
      <c r="C6" s="571"/>
      <c r="D6" s="571"/>
      <c r="E6" s="571"/>
      <c r="F6" s="571"/>
      <c r="G6" s="571"/>
      <c r="H6" s="571"/>
      <c r="I6" s="571"/>
      <c r="J6" s="571"/>
      <c r="K6" s="572"/>
    </row>
    <row r="7" spans="1:11">
      <c r="A7" s="570"/>
      <c r="B7" s="571"/>
      <c r="C7" s="571"/>
      <c r="D7" s="571"/>
      <c r="E7" s="571"/>
      <c r="F7" s="571"/>
      <c r="G7" s="571"/>
      <c r="H7" s="571"/>
      <c r="I7" s="571"/>
      <c r="J7" s="571"/>
      <c r="K7" s="572"/>
    </row>
    <row r="8" spans="1:11">
      <c r="A8" s="570"/>
      <c r="B8" s="571"/>
      <c r="C8" s="571"/>
      <c r="D8" s="571"/>
      <c r="E8" s="571"/>
      <c r="F8" s="571"/>
      <c r="G8" s="571"/>
      <c r="H8" s="571"/>
      <c r="I8" s="571"/>
      <c r="J8" s="571"/>
      <c r="K8" s="572"/>
    </row>
    <row r="9" spans="1:11">
      <c r="A9" s="570"/>
      <c r="B9" s="571"/>
      <c r="C9" s="571"/>
      <c r="D9" s="571"/>
      <c r="E9" s="571"/>
      <c r="F9" s="571"/>
      <c r="G9" s="571"/>
      <c r="H9" s="571"/>
      <c r="I9" s="571"/>
      <c r="J9" s="571"/>
      <c r="K9" s="572"/>
    </row>
    <row r="10" spans="1:11">
      <c r="A10" s="570"/>
      <c r="B10" s="571"/>
      <c r="C10" s="571"/>
      <c r="D10" s="571"/>
      <c r="E10" s="571"/>
      <c r="F10" s="571"/>
      <c r="G10" s="571"/>
      <c r="H10" s="571"/>
      <c r="I10" s="571"/>
      <c r="J10" s="571"/>
      <c r="K10" s="572"/>
    </row>
    <row r="11" spans="1:11">
      <c r="A11" s="570"/>
      <c r="B11" s="571"/>
      <c r="C11" s="571"/>
      <c r="D11" s="571"/>
      <c r="E11" s="571"/>
      <c r="F11" s="571"/>
      <c r="G11" s="571"/>
      <c r="H11" s="571"/>
      <c r="I11" s="571"/>
      <c r="J11" s="571"/>
      <c r="K11" s="572"/>
    </row>
    <row r="12" spans="1:11">
      <c r="A12" s="570"/>
      <c r="B12" s="571"/>
      <c r="C12" s="571"/>
      <c r="D12" s="571"/>
      <c r="E12" s="571"/>
      <c r="F12" s="571"/>
      <c r="G12" s="571"/>
      <c r="H12" s="571"/>
      <c r="I12" s="571"/>
      <c r="J12" s="571"/>
      <c r="K12" s="572"/>
    </row>
    <row r="13" spans="1:11">
      <c r="A13" s="570"/>
      <c r="B13" s="571"/>
      <c r="C13" s="571"/>
      <c r="D13" s="571"/>
      <c r="E13" s="571"/>
      <c r="F13" s="571"/>
      <c r="G13" s="571"/>
      <c r="H13" s="571"/>
      <c r="I13" s="571"/>
      <c r="J13" s="571"/>
      <c r="K13" s="572"/>
    </row>
    <row r="14" spans="1:11">
      <c r="A14" s="570"/>
      <c r="B14" s="571"/>
      <c r="C14" s="571"/>
      <c r="D14" s="571"/>
      <c r="E14" s="571"/>
      <c r="F14" s="571"/>
      <c r="G14" s="571"/>
      <c r="H14" s="571"/>
      <c r="I14" s="571"/>
      <c r="J14" s="571"/>
      <c r="K14" s="572"/>
    </row>
    <row r="15" spans="1:11">
      <c r="A15" s="570"/>
      <c r="B15" s="571"/>
      <c r="C15" s="571"/>
      <c r="D15" s="571"/>
      <c r="E15" s="571"/>
      <c r="F15" s="571"/>
      <c r="G15" s="571"/>
      <c r="H15" s="571"/>
      <c r="I15" s="571"/>
      <c r="J15" s="571"/>
      <c r="K15" s="572"/>
    </row>
    <row r="16" spans="1:11">
      <c r="A16" s="570"/>
      <c r="B16" s="571"/>
      <c r="C16" s="571"/>
      <c r="D16" s="571"/>
      <c r="E16" s="571"/>
      <c r="F16" s="571"/>
      <c r="G16" s="571"/>
      <c r="H16" s="571"/>
      <c r="I16" s="571"/>
      <c r="J16" s="571"/>
      <c r="K16" s="572"/>
    </row>
    <row r="17" spans="1:11">
      <c r="A17" s="573"/>
      <c r="B17" s="574"/>
      <c r="C17" s="574"/>
      <c r="D17" s="574"/>
      <c r="E17" s="574"/>
      <c r="F17" s="574"/>
      <c r="G17" s="574"/>
      <c r="H17" s="574"/>
      <c r="I17" s="574"/>
      <c r="J17" s="574"/>
      <c r="K17" s="575"/>
    </row>
    <row r="18" spans="1:11">
      <c r="A18" s="466"/>
    </row>
    <row r="20" spans="1:11" ht="31.35">
      <c r="A20" s="576" t="s">
        <v>127</v>
      </c>
      <c r="B20" s="576"/>
      <c r="C20" s="576"/>
      <c r="D20" s="576"/>
      <c r="E20" s="576"/>
      <c r="F20" s="576"/>
      <c r="G20" s="38"/>
    </row>
    <row r="21" spans="1:11">
      <c r="A21" s="462" t="s">
        <v>128</v>
      </c>
      <c r="B21" s="463"/>
      <c r="C21" s="464" t="s">
        <v>129</v>
      </c>
    </row>
    <row r="22" spans="1:11">
      <c r="A22" s="52" t="s">
        <v>130</v>
      </c>
      <c r="B22" s="491"/>
      <c r="C22" s="490" t="s">
        <v>131</v>
      </c>
    </row>
    <row r="23" spans="1:11">
      <c r="A23" t="s">
        <v>132</v>
      </c>
      <c r="B23" s="491"/>
      <c r="C23" s="490" t="s">
        <v>133</v>
      </c>
    </row>
    <row r="24" spans="1:11">
      <c r="A24" t="s">
        <v>134</v>
      </c>
      <c r="B24" s="491"/>
      <c r="C24" s="490" t="s">
        <v>135</v>
      </c>
    </row>
    <row r="25" spans="1:11" ht="44.25">
      <c r="A25" t="s">
        <v>136</v>
      </c>
      <c r="B25" s="491"/>
      <c r="C25" s="490" t="s">
        <v>137</v>
      </c>
    </row>
    <row r="26" spans="1:11" ht="29.45">
      <c r="A26" s="52" t="s">
        <v>138</v>
      </c>
      <c r="B26" s="497"/>
      <c r="C26" s="465" t="s">
        <v>139</v>
      </c>
    </row>
    <row r="27" spans="1:11">
      <c r="A27" t="s">
        <v>140</v>
      </c>
      <c r="B27" s="497"/>
      <c r="C27" s="502" t="s">
        <v>141</v>
      </c>
    </row>
    <row r="28" spans="1:11" ht="29.45">
      <c r="A28" t="s">
        <v>142</v>
      </c>
      <c r="B28" s="497"/>
      <c r="C28" s="502" t="s">
        <v>143</v>
      </c>
    </row>
    <row r="29" spans="1:11">
      <c r="A29" t="s">
        <v>144</v>
      </c>
      <c r="B29" s="497"/>
      <c r="C29" s="465" t="s">
        <v>145</v>
      </c>
    </row>
    <row r="30" spans="1:11" ht="42.6" customHeight="1">
      <c r="A30" s="52" t="s">
        <v>146</v>
      </c>
      <c r="B30" s="491">
        <v>44562</v>
      </c>
      <c r="C30" s="465" t="s">
        <v>147</v>
      </c>
    </row>
    <row r="31" spans="1:11" ht="44.85" customHeight="1">
      <c r="A31" s="52" t="s">
        <v>148</v>
      </c>
      <c r="B31" s="491">
        <v>44927</v>
      </c>
      <c r="C31" s="465" t="s">
        <v>149</v>
      </c>
    </row>
    <row r="32" spans="1:11" ht="30.75" customHeight="1">
      <c r="A32" s="489" t="s">
        <v>150</v>
      </c>
      <c r="B32" s="492" t="s">
        <v>151</v>
      </c>
      <c r="C32" s="490" t="s">
        <v>152</v>
      </c>
    </row>
    <row r="33" spans="1:3" ht="29.45">
      <c r="A33" s="489" t="s">
        <v>153</v>
      </c>
      <c r="B33" s="492" t="s">
        <v>151</v>
      </c>
      <c r="C33" s="490" t="s">
        <v>154</v>
      </c>
    </row>
    <row r="34" spans="1:3">
      <c r="A34" s="503" t="s">
        <v>155</v>
      </c>
      <c r="B34" s="500"/>
      <c r="C34" s="461" t="s">
        <v>156</v>
      </c>
    </row>
    <row r="35" spans="1:3">
      <c r="A35" s="486" t="s">
        <v>157</v>
      </c>
      <c r="B35" s="487"/>
      <c r="C35" s="488" t="s">
        <v>129</v>
      </c>
    </row>
    <row r="36" spans="1:3">
      <c r="A36" s="52" t="s">
        <v>146</v>
      </c>
      <c r="B36" s="491">
        <v>44562</v>
      </c>
      <c r="C36" s="456" t="s">
        <v>158</v>
      </c>
    </row>
    <row r="37" spans="1:3">
      <c r="A37" s="52" t="s">
        <v>148</v>
      </c>
      <c r="B37" s="491">
        <v>44927</v>
      </c>
      <c r="C37" s="456" t="s">
        <v>159</v>
      </c>
    </row>
    <row r="38" spans="1:3">
      <c r="A38" s="52" t="s">
        <v>160</v>
      </c>
      <c r="B38" s="491"/>
      <c r="C38" s="456"/>
    </row>
    <row r="39" spans="1:3">
      <c r="A39" s="457" t="s">
        <v>161</v>
      </c>
      <c r="B39" s="493" t="str">
        <f>'Final Casting'!G23</f>
        <v>-</v>
      </c>
      <c r="C39" s="456" t="s">
        <v>162</v>
      </c>
    </row>
    <row r="40" spans="1:3">
      <c r="A40" s="457" t="s">
        <v>163</v>
      </c>
      <c r="B40" s="494" t="str">
        <f>'Final Casting'!G29</f>
        <v>-</v>
      </c>
      <c r="C40" s="456" t="s">
        <v>162</v>
      </c>
    </row>
    <row r="41" spans="1:3">
      <c r="A41" s="457" t="s">
        <v>164</v>
      </c>
      <c r="B41" s="495" t="e">
        <f>'Final Casting'!G36</f>
        <v>#DIV/0!</v>
      </c>
      <c r="C41" s="456" t="s">
        <v>165</v>
      </c>
    </row>
    <row r="42" spans="1:3">
      <c r="A42" s="458" t="s">
        <v>166</v>
      </c>
      <c r="B42" s="495" t="e">
        <f>'Final Casting'!G37</f>
        <v>#DIV/0!</v>
      </c>
      <c r="C42" s="456" t="s">
        <v>165</v>
      </c>
    </row>
    <row r="43" spans="1:3" ht="42.75" customHeight="1">
      <c r="A43" s="459" t="s">
        <v>167</v>
      </c>
      <c r="B43" s="496" t="s">
        <v>168</v>
      </c>
      <c r="C43" s="465" t="s">
        <v>169</v>
      </c>
    </row>
    <row r="44" spans="1:3">
      <c r="A44" s="459" t="s">
        <v>170</v>
      </c>
      <c r="B44" s="496"/>
      <c r="C44" s="456" t="s">
        <v>133</v>
      </c>
    </row>
    <row r="45" spans="1:3">
      <c r="A45" s="460" t="s">
        <v>171</v>
      </c>
      <c r="B45" s="496" t="str">
        <f>'Mine to Smelter'!G27</f>
        <v>-</v>
      </c>
      <c r="C45" s="461" t="s">
        <v>172</v>
      </c>
    </row>
    <row r="46" spans="1:3">
      <c r="A46" s="462" t="s">
        <v>173</v>
      </c>
      <c r="B46" s="463"/>
      <c r="C46" s="464" t="s">
        <v>129</v>
      </c>
    </row>
    <row r="47" spans="1:3">
      <c r="A47" s="52" t="s">
        <v>146</v>
      </c>
      <c r="B47" s="491">
        <v>44562</v>
      </c>
      <c r="C47" s="456" t="s">
        <v>158</v>
      </c>
    </row>
    <row r="48" spans="1:3">
      <c r="A48" s="52" t="s">
        <v>148</v>
      </c>
      <c r="B48" s="491">
        <v>44927</v>
      </c>
      <c r="C48" s="456" t="s">
        <v>159</v>
      </c>
    </row>
    <row r="49" spans="1:3" ht="27" customHeight="1">
      <c r="A49" s="52" t="s">
        <v>174</v>
      </c>
      <c r="B49" s="497" t="s">
        <v>175</v>
      </c>
      <c r="C49" s="465" t="s">
        <v>176</v>
      </c>
    </row>
    <row r="50" spans="1:3">
      <c r="A50" s="52" t="s">
        <v>177</v>
      </c>
      <c r="B50" s="498">
        <f>'Semi-Fabrication'!C23</f>
        <v>0</v>
      </c>
      <c r="C50" s="456" t="s">
        <v>178</v>
      </c>
    </row>
    <row r="51" spans="1:3">
      <c r="A51" s="52" t="s">
        <v>132</v>
      </c>
      <c r="B51" s="499" t="s">
        <v>179</v>
      </c>
      <c r="C51" s="456" t="s">
        <v>133</v>
      </c>
    </row>
    <row r="52" spans="1:3">
      <c r="A52" s="457" t="s">
        <v>180</v>
      </c>
      <c r="B52" s="493" t="str">
        <f>'Semi-Fabrication'!G23</f>
        <v>-</v>
      </c>
      <c r="C52" s="456" t="s">
        <v>181</v>
      </c>
    </row>
    <row r="53" spans="1:3">
      <c r="A53" s="457" t="s">
        <v>182</v>
      </c>
      <c r="B53" s="493" t="str">
        <f>'Semi-Fabrication'!G30</f>
        <v>-</v>
      </c>
      <c r="C53" s="456" t="s">
        <v>181</v>
      </c>
    </row>
    <row r="54" spans="1:3">
      <c r="A54" s="460" t="s">
        <v>155</v>
      </c>
      <c r="B54" s="500" t="e">
        <f>'Semi-Fabrication'!I23</f>
        <v>#DIV/0!</v>
      </c>
      <c r="C54" s="461" t="s">
        <v>156</v>
      </c>
    </row>
  </sheetData>
  <mergeCells count="3">
    <mergeCell ref="A1:K3"/>
    <mergeCell ref="A4:K17"/>
    <mergeCell ref="A20:F20"/>
  </mergeCells>
  <dataValidations count="2">
    <dataValidation type="list" allowBlank="1" showInputMessage="1" showErrorMessage="1" sqref="B33" xr:uid="{3F6178B7-3E97-4CF0-B276-267FA6CD5932}">
      <formula1>"AR6,AR5"</formula1>
    </dataValidation>
    <dataValidation type="list" allowBlank="1" showInputMessage="1" showErrorMessage="1" sqref="B32" xr:uid="{954F074C-3A03-4F32-A951-D8CCE5C021BF}">
      <formula1>"GHG Protocol Product standard,ISO Standard 14067,ISO Standard 14044"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34F66-ED59-4D26-B16A-411F42D0C572}">
  <dimension ref="A1:BA2"/>
  <sheetViews>
    <sheetView workbookViewId="0">
      <selection activeCell="H7" sqref="H7"/>
    </sheetView>
  </sheetViews>
  <sheetFormatPr defaultColWidth="8.85546875" defaultRowHeight="14.85"/>
  <cols>
    <col min="1" max="1" width="2.85546875" bestFit="1" customWidth="1"/>
    <col min="2" max="2" width="15" bestFit="1" customWidth="1"/>
    <col min="3" max="3" width="8" bestFit="1" customWidth="1"/>
    <col min="4" max="4" width="11.140625" bestFit="1" customWidth="1"/>
    <col min="5" max="5" width="6.7109375" bestFit="1" customWidth="1"/>
    <col min="6" max="6" width="15.28515625" bestFit="1" customWidth="1"/>
    <col min="7" max="7" width="12.28515625" bestFit="1" customWidth="1"/>
    <col min="8" max="8" width="19.28515625" bestFit="1" customWidth="1"/>
    <col min="9" max="9" width="11.140625" bestFit="1" customWidth="1"/>
    <col min="10" max="10" width="20.28515625" bestFit="1" customWidth="1"/>
    <col min="11" max="11" width="21.28515625" bestFit="1" customWidth="1"/>
    <col min="12" max="12" width="10" bestFit="1" customWidth="1"/>
    <col min="13" max="13" width="16.7109375" bestFit="1" customWidth="1"/>
    <col min="14" max="14" width="26.28515625" bestFit="1" customWidth="1"/>
    <col min="15" max="15" width="24.85546875" bestFit="1" customWidth="1"/>
    <col min="16" max="16" width="22.28515625" bestFit="1" customWidth="1"/>
    <col min="17" max="17" width="23.85546875" bestFit="1" customWidth="1"/>
    <col min="18" max="18" width="27" bestFit="1" customWidth="1"/>
    <col min="19" max="19" width="26.85546875" bestFit="1" customWidth="1"/>
    <col min="20" max="20" width="31.28515625" bestFit="1" customWidth="1"/>
    <col min="21" max="21" width="40.28515625" bestFit="1" customWidth="1"/>
    <col min="22" max="22" width="24.42578125" bestFit="1" customWidth="1"/>
    <col min="23" max="23" width="23.28515625" bestFit="1" customWidth="1"/>
    <col min="24" max="24" width="22.140625" bestFit="1" customWidth="1"/>
    <col min="25" max="25" width="30.85546875" bestFit="1" customWidth="1"/>
    <col min="26" max="26" width="34.28515625" bestFit="1" customWidth="1"/>
    <col min="27" max="27" width="21.85546875" bestFit="1" customWidth="1"/>
    <col min="28" max="28" width="16" bestFit="1" customWidth="1"/>
    <col min="29" max="29" width="16.140625" bestFit="1" customWidth="1"/>
    <col min="30" max="30" width="19" bestFit="1" customWidth="1"/>
    <col min="31" max="31" width="31.85546875" bestFit="1" customWidth="1"/>
    <col min="32" max="32" width="31" bestFit="1" customWidth="1"/>
    <col min="33" max="33" width="33.85546875" bestFit="1" customWidth="1"/>
    <col min="34" max="34" width="30.42578125" bestFit="1" customWidth="1"/>
    <col min="35" max="35" width="35.28515625" bestFit="1" customWidth="1"/>
    <col min="36" max="36" width="43" bestFit="1" customWidth="1"/>
    <col min="37" max="37" width="48.28515625" bestFit="1" customWidth="1"/>
    <col min="38" max="38" width="39.42578125" bestFit="1" customWidth="1"/>
    <col min="39" max="39" width="25.140625" bestFit="1" customWidth="1"/>
    <col min="40" max="40" width="29.85546875" bestFit="1" customWidth="1"/>
    <col min="41" max="41" width="28.28515625" bestFit="1" customWidth="1"/>
    <col min="42" max="42" width="32.140625" bestFit="1" customWidth="1"/>
    <col min="43" max="43" width="30.85546875" bestFit="1" customWidth="1"/>
    <col min="44" max="44" width="42.140625" bestFit="1" customWidth="1"/>
    <col min="45" max="45" width="35.42578125" bestFit="1" customWidth="1"/>
    <col min="46" max="46" width="31" bestFit="1" customWidth="1"/>
    <col min="47" max="47" width="38.42578125" bestFit="1" customWidth="1"/>
    <col min="48" max="48" width="27.140625" bestFit="1" customWidth="1"/>
    <col min="49" max="49" width="32.28515625" bestFit="1" customWidth="1"/>
    <col min="50" max="50" width="32.28515625" customWidth="1"/>
    <col min="51" max="51" width="37.28515625" bestFit="1" customWidth="1"/>
    <col min="52" max="52" width="30.140625" bestFit="1" customWidth="1"/>
  </cols>
  <sheetData>
    <row r="1" spans="1:53" ht="15.95">
      <c r="A1" s="477" t="s">
        <v>183</v>
      </c>
      <c r="B1" s="477" t="s">
        <v>184</v>
      </c>
      <c r="C1" s="477" t="s">
        <v>185</v>
      </c>
      <c r="D1" s="477" t="s">
        <v>186</v>
      </c>
      <c r="E1" s="477" t="s">
        <v>187</v>
      </c>
      <c r="F1" s="477" t="s">
        <v>188</v>
      </c>
      <c r="G1" s="477" t="s">
        <v>189</v>
      </c>
      <c r="H1" s="477" t="s">
        <v>190</v>
      </c>
      <c r="I1" s="477" t="s">
        <v>191</v>
      </c>
      <c r="J1" s="477" t="s">
        <v>192</v>
      </c>
      <c r="K1" s="477" t="s">
        <v>193</v>
      </c>
      <c r="L1" s="477" t="s">
        <v>194</v>
      </c>
      <c r="M1" s="477" t="s">
        <v>195</v>
      </c>
      <c r="N1" s="477" t="s">
        <v>196</v>
      </c>
      <c r="O1" s="477" t="s">
        <v>197</v>
      </c>
      <c r="P1" s="477" t="s">
        <v>198</v>
      </c>
      <c r="Q1" s="477" t="s">
        <v>199</v>
      </c>
      <c r="R1" s="477" t="s">
        <v>200</v>
      </c>
      <c r="S1" s="477" t="s">
        <v>201</v>
      </c>
      <c r="T1" s="477" t="s">
        <v>202</v>
      </c>
      <c r="U1" s="477" t="s">
        <v>203</v>
      </c>
      <c r="V1" s="477" t="s">
        <v>204</v>
      </c>
      <c r="W1" s="477" t="s">
        <v>205</v>
      </c>
      <c r="X1" s="477" t="s">
        <v>206</v>
      </c>
      <c r="Y1" s="477" t="s">
        <v>207</v>
      </c>
      <c r="Z1" s="477" t="s">
        <v>208</v>
      </c>
      <c r="AA1" s="477" t="s">
        <v>209</v>
      </c>
      <c r="AB1" s="477" t="s">
        <v>210</v>
      </c>
      <c r="AC1" s="477" t="s">
        <v>211</v>
      </c>
      <c r="AD1" s="477" t="s">
        <v>212</v>
      </c>
      <c r="AE1" s="477" t="s">
        <v>213</v>
      </c>
      <c r="AF1" s="477" t="s">
        <v>214</v>
      </c>
      <c r="AG1" s="477" t="s">
        <v>215</v>
      </c>
      <c r="AH1" s="477" t="s">
        <v>216</v>
      </c>
      <c r="AI1" s="477" t="s">
        <v>217</v>
      </c>
      <c r="AJ1" s="477" t="s">
        <v>218</v>
      </c>
      <c r="AK1" s="477" t="s">
        <v>219</v>
      </c>
      <c r="AL1" s="477" t="s">
        <v>220</v>
      </c>
      <c r="AM1" s="477" t="s">
        <v>221</v>
      </c>
      <c r="AN1" s="477" t="s">
        <v>222</v>
      </c>
      <c r="AO1" s="477" t="s">
        <v>223</v>
      </c>
      <c r="AP1" s="477" t="s">
        <v>224</v>
      </c>
      <c r="AQ1" s="477" t="s">
        <v>225</v>
      </c>
      <c r="AR1" s="477" t="s">
        <v>226</v>
      </c>
      <c r="AS1" s="477" t="s">
        <v>227</v>
      </c>
      <c r="AT1" s="477" t="s">
        <v>228</v>
      </c>
      <c r="AU1" s="477" t="s">
        <v>229</v>
      </c>
      <c r="AV1" s="477" t="s">
        <v>230</v>
      </c>
      <c r="AW1" s="477" t="s">
        <v>231</v>
      </c>
      <c r="AX1" s="477" t="s">
        <v>232</v>
      </c>
      <c r="AY1" s="477" t="s">
        <v>233</v>
      </c>
      <c r="AZ1" s="477" t="s">
        <v>234</v>
      </c>
      <c r="BA1" s="477" t="s">
        <v>235</v>
      </c>
    </row>
    <row r="2" spans="1:53">
      <c r="A2" s="478"/>
      <c r="B2" s="478" t="s">
        <v>236</v>
      </c>
      <c r="C2" s="478">
        <v>1</v>
      </c>
      <c r="D2" s="480">
        <v>45170</v>
      </c>
      <c r="E2" s="478" t="s">
        <v>237</v>
      </c>
      <c r="F2" s="478">
        <f>'Summary Output'!B22</f>
        <v>0</v>
      </c>
      <c r="G2" s="478"/>
      <c r="H2" s="478">
        <f>'Summary Output'!B25</f>
        <v>0</v>
      </c>
      <c r="I2" s="478"/>
      <c r="J2" s="478">
        <f>'Summary Output'!B26</f>
        <v>0</v>
      </c>
      <c r="K2" s="478">
        <f>'Summary Output'!B24</f>
        <v>0</v>
      </c>
      <c r="L2" s="478"/>
      <c r="M2" s="478">
        <f>'Summary Output'!B27</f>
        <v>0</v>
      </c>
      <c r="N2" s="478">
        <f>'Summary Output'!B28</f>
        <v>0</v>
      </c>
      <c r="O2" s="479">
        <f>P2</f>
        <v>0</v>
      </c>
      <c r="P2" s="478">
        <f>'Summary Output'!B29*1000</f>
        <v>0</v>
      </c>
      <c r="Q2" s="479"/>
      <c r="R2" s="478">
        <v>0</v>
      </c>
      <c r="S2" s="478" t="str">
        <f>'Summary Output'!B33</f>
        <v> </v>
      </c>
      <c r="T2" s="478" t="str">
        <f>'Summary Output'!B32</f>
        <v> </v>
      </c>
      <c r="U2" s="479" t="s">
        <v>238</v>
      </c>
      <c r="V2" s="480">
        <f>'Summary Output'!B30</f>
        <v>44562</v>
      </c>
      <c r="W2" s="480">
        <f>'Summary Output'!B31</f>
        <v>44927</v>
      </c>
      <c r="X2" s="478">
        <f>'Summary Output'!B23</f>
        <v>0</v>
      </c>
      <c r="Y2" s="478"/>
      <c r="Z2" s="478"/>
      <c r="AA2" s="481">
        <f>'Summary Output'!B34</f>
        <v>0</v>
      </c>
      <c r="AB2" s="478" t="str">
        <f>B2</f>
        <v>2.0.1-20230720</v>
      </c>
      <c r="AC2" s="482" t="s">
        <v>239</v>
      </c>
      <c r="AD2" s="482" t="s">
        <v>240</v>
      </c>
      <c r="AE2" s="480">
        <f>'Summary Output'!B36</f>
        <v>44562</v>
      </c>
      <c r="AF2" s="480">
        <f>'Summary Output'!B37</f>
        <v>44927</v>
      </c>
      <c r="AG2" s="479" t="str">
        <f>'Summary Output'!B43</f>
        <v>High Purity P1020 ingots</v>
      </c>
      <c r="AH2" s="479"/>
      <c r="AI2" s="478" t="s">
        <v>241</v>
      </c>
      <c r="AJ2" s="479" t="e">
        <f>('Summary Output'!B45)*1000</f>
        <v>#VALUE!</v>
      </c>
      <c r="AK2" s="479">
        <f>'Summary Output'!B44</f>
        <v>0</v>
      </c>
      <c r="AL2" s="478">
        <f>'Summary Output'!B38</f>
        <v>0</v>
      </c>
      <c r="AM2" s="478"/>
      <c r="AN2" s="478" t="s">
        <v>242</v>
      </c>
      <c r="AO2" s="501" t="e">
        <f>'Summary Output'!B39*1000</f>
        <v>#VALUE!</v>
      </c>
      <c r="AP2" s="479" t="e">
        <f>'Summary Output'!B40*1000</f>
        <v>#VALUE!</v>
      </c>
      <c r="AQ2" s="481" t="e">
        <f>'Summary Output'!B41</f>
        <v>#DIV/0!</v>
      </c>
      <c r="AR2" s="481" t="e">
        <f>'Summary Output'!B42</f>
        <v>#DIV/0!</v>
      </c>
      <c r="AS2" s="480">
        <f>'Summary Output'!B47</f>
        <v>44562</v>
      </c>
      <c r="AT2" s="480">
        <f>'Summary Output'!B48</f>
        <v>44927</v>
      </c>
      <c r="AU2" s="479" t="str">
        <f>'Summary Output'!B49</f>
        <v>Rolled aluminum sheet of 1 mm thickness</v>
      </c>
      <c r="AV2" s="478">
        <f>'Summary Output'!B50</f>
        <v>0</v>
      </c>
      <c r="AW2" s="479" t="str">
        <f>'Summary Output'!C50</f>
        <v>metric tons</v>
      </c>
      <c r="AX2" s="501" t="str">
        <f>'Summary Output'!B52</f>
        <v>-</v>
      </c>
      <c r="AY2" s="501" t="str">
        <f>'Summary Output'!B53</f>
        <v>-</v>
      </c>
      <c r="AZ2" s="479" t="str">
        <f>'Summary Output'!B51</f>
        <v>US</v>
      </c>
      <c r="BA2" s="504" t="e">
        <f>'Summary Output'!B54</f>
        <v>#DIV/0!</v>
      </c>
    </row>
  </sheetData>
  <hyperlinks>
    <hyperlink ref="AC2" r:id="rId1" xr:uid="{EF057CEB-E2EE-4768-92BE-D0B186F45C36}"/>
    <hyperlink ref="AD2" r:id="rId2" xr:uid="{3A42EE85-81E7-4293-998B-8338214D6B5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C0A51-4BF6-40CD-8BDC-ED6C05E0BF0B}">
  <sheetPr>
    <tabColor rgb="FF1F4E78"/>
  </sheetPr>
  <dimension ref="A1:BZ86"/>
  <sheetViews>
    <sheetView workbookViewId="0">
      <selection sqref="A1:J3"/>
    </sheetView>
  </sheetViews>
  <sheetFormatPr defaultColWidth="8.85546875" defaultRowHeight="14.85"/>
  <cols>
    <col min="1" max="1" width="37.28515625" customWidth="1"/>
    <col min="2" max="2" width="14.42578125" style="297" customWidth="1"/>
    <col min="3" max="3" width="24.85546875" customWidth="1"/>
    <col min="4" max="6" width="14.42578125" customWidth="1"/>
    <col min="7" max="8" width="17.42578125" customWidth="1"/>
    <col min="9" max="78" width="14.42578125" customWidth="1"/>
    <col min="79" max="97" width="13.85546875" customWidth="1"/>
  </cols>
  <sheetData>
    <row r="1" spans="1:78">
      <c r="A1" s="577" t="s">
        <v>243</v>
      </c>
      <c r="B1" s="577"/>
      <c r="C1" s="577"/>
      <c r="D1" s="577"/>
      <c r="E1" s="577"/>
      <c r="F1" s="577"/>
      <c r="G1" s="577"/>
      <c r="H1" s="577"/>
      <c r="I1" s="577"/>
      <c r="J1" s="577"/>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row>
    <row r="2" spans="1:78">
      <c r="A2" s="577"/>
      <c r="B2" s="577"/>
      <c r="C2" s="577"/>
      <c r="D2" s="577"/>
      <c r="E2" s="577"/>
      <c r="F2" s="577"/>
      <c r="G2" s="577"/>
      <c r="H2" s="577"/>
      <c r="I2" s="577"/>
      <c r="J2" s="577"/>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c r="A3" s="577"/>
      <c r="B3" s="577"/>
      <c r="C3" s="577"/>
      <c r="D3" s="577"/>
      <c r="E3" s="577"/>
      <c r="F3" s="577"/>
      <c r="G3" s="577"/>
      <c r="H3" s="577"/>
      <c r="I3" s="577"/>
      <c r="J3" s="577"/>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c r="A4" s="567" t="s">
        <v>244</v>
      </c>
      <c r="B4" s="568"/>
      <c r="C4" s="568"/>
      <c r="D4" s="568"/>
      <c r="E4" s="568"/>
      <c r="F4" s="568"/>
      <c r="G4" s="568"/>
      <c r="H4" s="568"/>
      <c r="I4" s="568"/>
      <c r="J4" s="569"/>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c r="A5" s="570"/>
      <c r="B5" s="571"/>
      <c r="C5" s="571"/>
      <c r="D5" s="571"/>
      <c r="E5" s="571"/>
      <c r="F5" s="571"/>
      <c r="G5" s="571"/>
      <c r="H5" s="571"/>
      <c r="I5" s="571"/>
      <c r="J5" s="572"/>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row>
    <row r="6" spans="1:78">
      <c r="A6" s="570"/>
      <c r="B6" s="571"/>
      <c r="C6" s="571"/>
      <c r="D6" s="571"/>
      <c r="E6" s="571"/>
      <c r="F6" s="571"/>
      <c r="G6" s="571"/>
      <c r="H6" s="571"/>
      <c r="I6" s="571"/>
      <c r="J6" s="572"/>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row>
    <row r="7" spans="1:78">
      <c r="A7" s="570"/>
      <c r="B7" s="571"/>
      <c r="C7" s="571"/>
      <c r="D7" s="571"/>
      <c r="E7" s="571"/>
      <c r="F7" s="571"/>
      <c r="G7" s="571"/>
      <c r="H7" s="571"/>
      <c r="I7" s="571"/>
      <c r="J7" s="572"/>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row>
    <row r="8" spans="1:78">
      <c r="A8" s="570"/>
      <c r="B8" s="571"/>
      <c r="C8" s="571"/>
      <c r="D8" s="571"/>
      <c r="E8" s="571"/>
      <c r="F8" s="571"/>
      <c r="G8" s="571"/>
      <c r="H8" s="571"/>
      <c r="I8" s="571"/>
      <c r="J8" s="572"/>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row>
    <row r="9" spans="1:78">
      <c r="A9" s="570"/>
      <c r="B9" s="571"/>
      <c r="C9" s="571"/>
      <c r="D9" s="571"/>
      <c r="E9" s="571"/>
      <c r="F9" s="571"/>
      <c r="G9" s="571"/>
      <c r="H9" s="571"/>
      <c r="I9" s="571"/>
      <c r="J9" s="572"/>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row>
    <row r="10" spans="1:78">
      <c r="A10" s="570"/>
      <c r="B10" s="571"/>
      <c r="C10" s="571"/>
      <c r="D10" s="571"/>
      <c r="E10" s="571"/>
      <c r="F10" s="571"/>
      <c r="G10" s="571"/>
      <c r="H10" s="571"/>
      <c r="I10" s="571"/>
      <c r="J10" s="572"/>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row>
    <row r="11" spans="1:78">
      <c r="A11" s="573"/>
      <c r="B11" s="574"/>
      <c r="C11" s="574"/>
      <c r="D11" s="574"/>
      <c r="E11" s="574"/>
      <c r="F11" s="574"/>
      <c r="G11" s="574"/>
      <c r="H11" s="574"/>
      <c r="I11" s="574"/>
      <c r="J11" s="575"/>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row>
    <row r="12" spans="1:78">
      <c r="A12" s="119"/>
      <c r="B12" s="286"/>
      <c r="C12" s="119"/>
      <c r="D12" s="119"/>
      <c r="E12" s="119"/>
      <c r="F12" s="119"/>
      <c r="G12" s="119"/>
      <c r="H12" s="119"/>
      <c r="I12" s="119"/>
      <c r="J12" s="119"/>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row>
    <row r="13" spans="1:78">
      <c r="A13" s="119"/>
      <c r="B13" s="286"/>
      <c r="C13" s="119"/>
      <c r="D13" s="119"/>
      <c r="E13" s="119"/>
      <c r="F13" s="119"/>
      <c r="G13" s="119"/>
      <c r="H13" s="119"/>
      <c r="I13" s="119"/>
      <c r="J13" s="119"/>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1:78" ht="31.35">
      <c r="A14" s="253" t="s">
        <v>245</v>
      </c>
      <c r="B14" s="287"/>
      <c r="C14" s="120"/>
      <c r="D14" s="120"/>
      <c r="E14" s="120"/>
      <c r="F14" s="120"/>
      <c r="G14" s="120"/>
      <c r="H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1:78">
      <c r="A15" s="578" t="s">
        <v>246</v>
      </c>
      <c r="B15" s="580" t="s">
        <v>247</v>
      </c>
      <c r="C15" s="582" t="s">
        <v>248</v>
      </c>
      <c r="D15" s="583"/>
      <c r="E15" s="582" t="s">
        <v>249</v>
      </c>
      <c r="F15" s="582"/>
      <c r="G15" s="584" t="s">
        <v>250</v>
      </c>
      <c r="H15" s="585" t="s">
        <v>251</v>
      </c>
      <c r="I15" s="586" t="s">
        <v>252</v>
      </c>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row>
    <row r="16" spans="1:78" ht="30.75" customHeight="1">
      <c r="A16" s="579"/>
      <c r="B16" s="581"/>
      <c r="C16" s="279" t="s">
        <v>253</v>
      </c>
      <c r="D16" s="280" t="s">
        <v>254</v>
      </c>
      <c r="E16" s="281" t="s">
        <v>255</v>
      </c>
      <c r="F16" s="280" t="s">
        <v>254</v>
      </c>
      <c r="G16" s="584"/>
      <c r="H16" s="585"/>
      <c r="I16" s="586"/>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row>
    <row r="17" spans="1:78">
      <c r="A17" s="255" t="s">
        <v>0</v>
      </c>
      <c r="B17" s="256">
        <v>1</v>
      </c>
      <c r="C17" s="386"/>
      <c r="D17" s="391">
        <f>$B17*C17</f>
        <v>0</v>
      </c>
      <c r="E17" s="415">
        <f>H85+H33</f>
        <v>0</v>
      </c>
      <c r="F17" s="416">
        <f>$B17*E17</f>
        <v>0</v>
      </c>
      <c r="G17" s="455" t="str">
        <f>IFERROR(E17/C17, "-")</f>
        <v>-</v>
      </c>
      <c r="H17" s="393">
        <f>H86+H34</f>
        <v>0</v>
      </c>
      <c r="I17" s="320" t="e">
        <f>H17/E17</f>
        <v>#DIV/0!</v>
      </c>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row>
    <row r="18" spans="1:78">
      <c r="A18" s="258" t="s">
        <v>255</v>
      </c>
      <c r="B18" s="289"/>
      <c r="C18" s="324" t="s">
        <v>256</v>
      </c>
      <c r="D18" s="289">
        <f>SUM(D17:D17)</f>
        <v>0</v>
      </c>
      <c r="E18" s="418" t="s">
        <v>256</v>
      </c>
      <c r="F18" s="418">
        <f>SUM(F17:F17)</f>
        <v>0</v>
      </c>
      <c r="G18" s="420" t="str">
        <f>IFERROR(E18/C18, "-")</f>
        <v>-</v>
      </c>
      <c r="H18" s="376"/>
      <c r="I18" s="249"/>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row>
    <row r="19" spans="1:78">
      <c r="A19" s="254"/>
      <c r="B19" s="290"/>
      <c r="C19" s="261"/>
      <c r="D19" s="261"/>
      <c r="E19" s="261"/>
      <c r="F19" s="261"/>
      <c r="G19" s="261"/>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row>
    <row r="20" spans="1:78">
      <c r="A20" s="254"/>
      <c r="B20" s="291"/>
      <c r="C20" s="261"/>
      <c r="D20" s="307"/>
      <c r="E20" s="308"/>
      <c r="F20" s="261"/>
      <c r="G20" s="261"/>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row>
    <row r="21" spans="1:78" ht="31.35">
      <c r="A21" s="253" t="s">
        <v>257</v>
      </c>
      <c r="B21" s="292"/>
      <c r="C21" s="38"/>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row>
    <row r="22" spans="1:78">
      <c r="A22" s="587" t="s">
        <v>258</v>
      </c>
      <c r="B22" s="587"/>
      <c r="C22" s="587"/>
      <c r="D22" s="587" t="s">
        <v>0</v>
      </c>
      <c r="E22" s="587"/>
      <c r="F22" s="587"/>
      <c r="G22" s="587"/>
      <c r="H22" s="587"/>
      <c r="I22" s="313"/>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2"/>
      <c r="AO22" s="672"/>
      <c r="AP22" s="672"/>
      <c r="AQ22" s="672"/>
      <c r="AR22" s="672"/>
      <c r="AS22" s="672"/>
      <c r="AT22" s="672"/>
      <c r="AU22" s="672"/>
      <c r="AV22" s="672"/>
      <c r="AW22" s="672"/>
      <c r="AX22" s="672"/>
      <c r="AY22" s="672"/>
      <c r="AZ22" s="672"/>
      <c r="BA22" s="672"/>
      <c r="BB22" s="672"/>
      <c r="BC22" s="672"/>
      <c r="BD22" s="672"/>
      <c r="BE22" s="672"/>
      <c r="BF22" s="672"/>
      <c r="BG22" s="672"/>
      <c r="BH22" s="672"/>
      <c r="BI22" s="672"/>
      <c r="BJ22" s="672"/>
      <c r="BK22" s="672"/>
      <c r="BL22" s="672"/>
      <c r="BM22" s="672"/>
      <c r="BN22" s="672"/>
      <c r="BO22" s="672"/>
      <c r="BP22" s="672"/>
      <c r="BQ22" s="672"/>
      <c r="BR22" s="672"/>
      <c r="BS22" s="672"/>
      <c r="BT22" s="672"/>
      <c r="BU22" s="672"/>
      <c r="BV22" s="672"/>
      <c r="BW22" s="672"/>
      <c r="BX22" s="672"/>
      <c r="BY22" s="672"/>
      <c r="BZ22" s="672"/>
    </row>
    <row r="23" spans="1:78" ht="29.45">
      <c r="A23" s="283" t="s">
        <v>259</v>
      </c>
      <c r="B23" s="294" t="s">
        <v>30</v>
      </c>
      <c r="C23" s="284" t="s">
        <v>260</v>
      </c>
      <c r="D23" s="285" t="s">
        <v>261</v>
      </c>
      <c r="E23" s="282" t="s">
        <v>32</v>
      </c>
      <c r="F23" s="282" t="s">
        <v>262</v>
      </c>
      <c r="G23" s="282" t="s">
        <v>263</v>
      </c>
      <c r="H23" s="284" t="s">
        <v>264</v>
      </c>
      <c r="I23" s="309" t="s">
        <v>265</v>
      </c>
    </row>
    <row r="24" spans="1:78">
      <c r="A24" s="270" t="s">
        <v>266</v>
      </c>
      <c r="B24" s="292" t="s">
        <v>44</v>
      </c>
      <c r="C24" s="278"/>
      <c r="D24" s="272"/>
      <c r="E24" s="272"/>
      <c r="F24" s="272" t="s">
        <v>45</v>
      </c>
      <c r="G24" s="272"/>
      <c r="H24" s="247">
        <f>IF(F24='Reference (hide)'!$A$1, (D24-E24)*$C24, (D24-E24)*G24)</f>
        <v>0</v>
      </c>
      <c r="I24" s="310" t="s">
        <v>267</v>
      </c>
    </row>
    <row r="25" spans="1:78">
      <c r="A25" s="270" t="s">
        <v>268</v>
      </c>
      <c r="B25" s="292" t="s">
        <v>44</v>
      </c>
      <c r="C25" s="278"/>
      <c r="D25" s="272"/>
      <c r="E25" s="272"/>
      <c r="F25" s="272" t="s">
        <v>45</v>
      </c>
      <c r="G25" s="272"/>
      <c r="H25" s="247">
        <f>IF(F25='Reference (hide)'!$A$1, (D25-E25)*$C25, (D25-E25)*G25)</f>
        <v>0</v>
      </c>
      <c r="I25" s="310" t="s">
        <v>269</v>
      </c>
    </row>
    <row r="26" spans="1:78">
      <c r="A26" s="270" t="s">
        <v>270</v>
      </c>
      <c r="B26" s="292" t="s">
        <v>44</v>
      </c>
      <c r="C26" s="278"/>
      <c r="D26" s="272"/>
      <c r="E26" s="272"/>
      <c r="F26" s="272" t="s">
        <v>45</v>
      </c>
      <c r="G26" s="272"/>
      <c r="H26" s="247">
        <f>IF(F26='Reference (hide)'!$A$1, (D26-E26)*$C26, (D26-E26)*G26)</f>
        <v>0</v>
      </c>
      <c r="I26" s="310" t="s">
        <v>269</v>
      </c>
    </row>
    <row r="27" spans="1:78">
      <c r="A27" s="270" t="s">
        <v>271</v>
      </c>
      <c r="B27" s="292" t="s">
        <v>44</v>
      </c>
      <c r="C27" s="278"/>
      <c r="D27" s="272"/>
      <c r="E27" s="272"/>
      <c r="F27" s="272" t="s">
        <v>45</v>
      </c>
      <c r="G27" s="272"/>
      <c r="H27" s="247">
        <f>IF(F27='Reference (hide)'!$A$1, (D27-E27)*$C27, (D27-E27)*G27)</f>
        <v>0</v>
      </c>
      <c r="I27" s="310" t="s">
        <v>269</v>
      </c>
    </row>
    <row r="28" spans="1:78">
      <c r="A28" s="270" t="s">
        <v>272</v>
      </c>
      <c r="B28" s="292" t="s">
        <v>44</v>
      </c>
      <c r="C28" s="271"/>
      <c r="D28" s="272"/>
      <c r="E28" s="272"/>
      <c r="F28" s="272" t="s">
        <v>45</v>
      </c>
      <c r="G28" s="272"/>
      <c r="H28" s="247">
        <f>IF(F28='Reference (hide)'!$A$1, (D28-E28)*$C28, (D28-E28)*G28)</f>
        <v>0</v>
      </c>
      <c r="I28" s="310" t="s">
        <v>269</v>
      </c>
    </row>
    <row r="29" spans="1:78">
      <c r="A29" s="270" t="s">
        <v>273</v>
      </c>
      <c r="B29" s="292" t="s">
        <v>44</v>
      </c>
      <c r="C29" s="271"/>
      <c r="D29" s="272"/>
      <c r="E29" s="272"/>
      <c r="F29" s="272" t="s">
        <v>45</v>
      </c>
      <c r="G29" s="272"/>
      <c r="H29" s="247">
        <f>IF(F29='Reference (hide)'!$A$1, (D29-E29)*$C29, (D29-E29)*G29)</f>
        <v>0</v>
      </c>
      <c r="I29" s="310" t="s">
        <v>269</v>
      </c>
    </row>
    <row r="30" spans="1:78">
      <c r="A30" s="270" t="s">
        <v>274</v>
      </c>
      <c r="B30" s="292" t="s">
        <v>275</v>
      </c>
      <c r="C30" s="271"/>
      <c r="D30" s="272"/>
      <c r="E30" s="272"/>
      <c r="F30" s="272" t="s">
        <v>45</v>
      </c>
      <c r="G30" s="272"/>
      <c r="H30" s="247">
        <f>IF(F30='Reference (hide)'!$A$1, (D30-E30)*$C30, (D30-E30)*G30)</f>
        <v>0</v>
      </c>
      <c r="I30" s="310" t="s">
        <v>269</v>
      </c>
    </row>
    <row r="31" spans="1:78">
      <c r="A31" s="270" t="s">
        <v>276</v>
      </c>
      <c r="B31" s="292" t="s">
        <v>277</v>
      </c>
      <c r="C31" s="271"/>
      <c r="D31" s="272"/>
      <c r="E31" s="272"/>
      <c r="F31" s="272" t="s">
        <v>45</v>
      </c>
      <c r="G31" s="272"/>
      <c r="H31" s="247">
        <f>IF(F31='Reference (hide)'!$A$1, (D31-E31)*$C31, (D31-E31)*G31)</f>
        <v>0</v>
      </c>
      <c r="I31" s="310" t="s">
        <v>269</v>
      </c>
    </row>
    <row r="32" spans="1:78">
      <c r="A32" s="270" t="s">
        <v>278</v>
      </c>
      <c r="B32" s="292" t="s">
        <v>279</v>
      </c>
      <c r="C32" s="252"/>
      <c r="D32" s="316"/>
      <c r="E32" s="316"/>
      <c r="F32" s="316" t="s">
        <v>45</v>
      </c>
      <c r="G32" s="316"/>
      <c r="H32" s="247">
        <f>IF(F32='Reference (hide)'!$A$1, (D32-E32)*$C32, (D32-E32)*G32)</f>
        <v>0</v>
      </c>
      <c r="I32" s="348" t="s">
        <v>269</v>
      </c>
    </row>
    <row r="33" spans="1:78" ht="14.25" customHeight="1">
      <c r="A33" s="318" t="s">
        <v>255</v>
      </c>
      <c r="B33" s="305"/>
      <c r="C33" s="301"/>
      <c r="D33" s="350"/>
      <c r="E33" s="350"/>
      <c r="F33" s="350"/>
      <c r="G33" s="350"/>
      <c r="H33" s="351">
        <f>SUM(H24:H32)</f>
        <v>0</v>
      </c>
      <c r="I33" s="352"/>
    </row>
    <row r="34" spans="1:78" ht="14.25" customHeight="1">
      <c r="A34" s="588" t="s">
        <v>280</v>
      </c>
      <c r="B34" s="589"/>
      <c r="C34" s="590"/>
      <c r="D34" s="353"/>
      <c r="E34" s="350"/>
      <c r="F34" s="350"/>
      <c r="G34" s="350"/>
      <c r="H34" s="351">
        <f>SUMIF(I24:I32, "Primary", H24:H32)</f>
        <v>0</v>
      </c>
      <c r="I34" s="352"/>
    </row>
    <row r="35" spans="1:78" ht="14.25" customHeight="1">
      <c r="A35" s="44"/>
      <c r="B35" s="292"/>
      <c r="C35" s="344"/>
      <c r="D35" s="347"/>
      <c r="E35" s="347"/>
      <c r="F35" s="347"/>
      <c r="G35" s="347"/>
      <c r="H35" s="38"/>
      <c r="I35" s="349"/>
    </row>
    <row r="36" spans="1:78" ht="14.25" customHeight="1">
      <c r="A36" s="44"/>
      <c r="B36" s="292"/>
      <c r="C36" s="344"/>
      <c r="D36" s="347"/>
      <c r="E36" s="347"/>
      <c r="F36" s="347"/>
      <c r="G36" s="347"/>
      <c r="H36" s="38"/>
      <c r="I36" s="349"/>
    </row>
    <row r="37" spans="1:78">
      <c r="A37" s="254"/>
      <c r="B37" s="290"/>
      <c r="C37" s="261"/>
      <c r="D37" s="261"/>
      <c r="E37" s="261"/>
      <c r="F37" s="261"/>
      <c r="G37" s="261"/>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row>
    <row r="38" spans="1:78">
      <c r="A38" s="254"/>
      <c r="B38" s="303"/>
      <c r="F38" s="261"/>
      <c r="G38" s="261"/>
      <c r="H38" s="261"/>
      <c r="I38" s="261"/>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row>
    <row r="39" spans="1:78">
      <c r="A39" s="254"/>
      <c r="B39" s="292"/>
      <c r="D39" s="38"/>
      <c r="E39" s="38"/>
      <c r="F39" s="38"/>
      <c r="G39" s="38"/>
      <c r="H39" s="38"/>
      <c r="I39" s="38"/>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row>
    <row r="40" spans="1:78" ht="31.35">
      <c r="A40" s="253" t="s">
        <v>281</v>
      </c>
      <c r="B40" s="292"/>
      <c r="C40" s="38"/>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row>
    <row r="41" spans="1:78">
      <c r="A41" s="587" t="s">
        <v>258</v>
      </c>
      <c r="B41" s="587"/>
      <c r="C41" s="587"/>
      <c r="D41" s="587" t="str">
        <f>A17</f>
        <v>Asset 1</v>
      </c>
      <c r="E41" s="587"/>
      <c r="F41" s="587"/>
      <c r="G41" s="587"/>
      <c r="H41" s="587"/>
      <c r="I41" s="313"/>
      <c r="N41" s="672"/>
      <c r="O41" s="672"/>
      <c r="P41" s="672"/>
      <c r="Q41" s="672"/>
      <c r="R41" s="672"/>
      <c r="S41" s="672"/>
      <c r="T41" s="672"/>
      <c r="U41" s="672"/>
      <c r="V41" s="672"/>
      <c r="W41" s="672"/>
      <c r="X41" s="672"/>
      <c r="Y41" s="672"/>
      <c r="Z41" s="672"/>
      <c r="AA41" s="672"/>
      <c r="AB41" s="672"/>
      <c r="AC41" s="672"/>
      <c r="AD41" s="672"/>
      <c r="AE41" s="672"/>
      <c r="AF41" s="672"/>
      <c r="AG41" s="672"/>
      <c r="AH41" s="672"/>
      <c r="AI41" s="672"/>
      <c r="AJ41" s="672"/>
      <c r="AK41" s="672"/>
      <c r="AL41" s="672"/>
      <c r="AM41" s="672"/>
      <c r="AN41" s="672"/>
      <c r="AO41" s="672"/>
      <c r="AP41" s="672"/>
      <c r="AQ41" s="672"/>
      <c r="AR41" s="672"/>
      <c r="AS41" s="672"/>
      <c r="AT41" s="672"/>
      <c r="AU41" s="672"/>
      <c r="AV41" s="672"/>
      <c r="AW41" s="672"/>
      <c r="AX41" s="672"/>
      <c r="AY41" s="672"/>
      <c r="AZ41" s="672"/>
      <c r="BA41" s="672"/>
      <c r="BB41" s="672"/>
      <c r="BC41" s="672"/>
      <c r="BD41" s="672"/>
      <c r="BE41" s="672"/>
      <c r="BF41" s="672"/>
      <c r="BG41" s="672"/>
      <c r="BH41" s="672"/>
      <c r="BI41" s="672"/>
      <c r="BJ41" s="672"/>
      <c r="BK41" s="672"/>
      <c r="BL41" s="672"/>
      <c r="BM41" s="672"/>
      <c r="BN41" s="672"/>
      <c r="BO41" s="672"/>
      <c r="BP41" s="672"/>
      <c r="BQ41" s="672"/>
      <c r="BR41" s="672"/>
      <c r="BS41" s="672"/>
      <c r="BT41" s="672"/>
      <c r="BU41" s="672"/>
      <c r="BV41" s="672"/>
      <c r="BW41" s="672"/>
      <c r="BX41" s="672"/>
      <c r="BY41" s="672"/>
      <c r="BZ41" s="672"/>
    </row>
    <row r="42" spans="1:78" ht="29.45">
      <c r="A42" s="283" t="s">
        <v>259</v>
      </c>
      <c r="B42" s="294" t="s">
        <v>30</v>
      </c>
      <c r="C42" s="284" t="s">
        <v>260</v>
      </c>
      <c r="D42" s="285" t="s">
        <v>261</v>
      </c>
      <c r="E42" s="282" t="s">
        <v>32</v>
      </c>
      <c r="F42" s="282" t="s">
        <v>262</v>
      </c>
      <c r="G42" s="282" t="s">
        <v>263</v>
      </c>
      <c r="H42" s="284" t="s">
        <v>264</v>
      </c>
      <c r="I42" s="309" t="s">
        <v>265</v>
      </c>
    </row>
    <row r="43" spans="1:78">
      <c r="A43" s="265"/>
      <c r="B43" s="295"/>
      <c r="C43" s="267"/>
      <c r="D43" s="268"/>
      <c r="E43" s="266"/>
      <c r="F43" s="266"/>
      <c r="G43" s="266"/>
      <c r="H43" s="267"/>
    </row>
    <row r="44" spans="1:78">
      <c r="A44" s="591" t="s">
        <v>282</v>
      </c>
      <c r="B44" s="592"/>
      <c r="C44" s="593"/>
      <c r="D44" s="269"/>
      <c r="E44" s="269"/>
      <c r="F44" s="269"/>
      <c r="G44" s="269"/>
      <c r="H44" s="445">
        <f>SUM(H45:H53)</f>
        <v>0</v>
      </c>
    </row>
    <row r="45" spans="1:78">
      <c r="A45" s="270" t="s">
        <v>46</v>
      </c>
      <c r="B45" s="292" t="s">
        <v>44</v>
      </c>
      <c r="C45" s="278">
        <f>'Default EF'!G14</f>
        <v>2.6426992500000002</v>
      </c>
      <c r="D45" s="374"/>
      <c r="E45" s="374"/>
      <c r="F45" s="272" t="s">
        <v>45</v>
      </c>
      <c r="G45" s="422"/>
      <c r="H45" s="430">
        <f>IF(F45='Reference (hide)'!$A$1, (D45-E45)*$C45, (D45-E45)*G45)</f>
        <v>0</v>
      </c>
      <c r="I45" s="310" t="s">
        <v>269</v>
      </c>
    </row>
    <row r="46" spans="1:78">
      <c r="A46" s="270" t="s">
        <v>47</v>
      </c>
      <c r="B46" s="292" t="s">
        <v>44</v>
      </c>
      <c r="C46" s="278">
        <f>'Default EF'!G16</f>
        <v>2.4581595000000003</v>
      </c>
      <c r="D46" s="374"/>
      <c r="E46" s="374"/>
      <c r="F46" s="272" t="s">
        <v>45</v>
      </c>
      <c r="G46" s="422"/>
      <c r="H46" s="430">
        <f>IF(F46='Reference (hide)'!$A$1, (D46-E46)*$C46, (D46-E46)*G46)</f>
        <v>0</v>
      </c>
      <c r="I46" s="310" t="s">
        <v>269</v>
      </c>
    </row>
    <row r="47" spans="1:78">
      <c r="A47" s="270" t="s">
        <v>48</v>
      </c>
      <c r="B47" s="292" t="s">
        <v>44</v>
      </c>
      <c r="C47" s="278">
        <f>'Default EF'!G17</f>
        <v>1.8290947499999997</v>
      </c>
      <c r="D47" s="374"/>
      <c r="E47" s="374"/>
      <c r="F47" s="272" t="s">
        <v>45</v>
      </c>
      <c r="G47" s="422"/>
      <c r="H47" s="430">
        <f>IF(F47='Reference (hide)'!$A$1, (D47-E47)*$C47, (D47-E47)*G47)</f>
        <v>0</v>
      </c>
      <c r="I47" s="310" t="s">
        <v>269</v>
      </c>
    </row>
    <row r="48" spans="1:78">
      <c r="A48" s="270" t="s">
        <v>49</v>
      </c>
      <c r="B48" s="292" t="s">
        <v>44</v>
      </c>
      <c r="C48" s="278">
        <f>'Default EF'!G18</f>
        <v>1.2099622500000002</v>
      </c>
      <c r="D48" s="374"/>
      <c r="E48" s="374"/>
      <c r="F48" s="272" t="s">
        <v>45</v>
      </c>
      <c r="G48" s="422"/>
      <c r="H48" s="430">
        <f>IF(F48='Reference (hide)'!$A$1, (D48-E48)*$C48, (D48-E48)*G48)</f>
        <v>0</v>
      </c>
      <c r="I48" s="310" t="s">
        <v>269</v>
      </c>
    </row>
    <row r="49" spans="1:9">
      <c r="A49" s="270" t="s">
        <v>283</v>
      </c>
      <c r="B49" s="292" t="s">
        <v>275</v>
      </c>
      <c r="C49" s="271">
        <f>'Default EF'!G19</f>
        <v>2.9487799999999998E-3</v>
      </c>
      <c r="D49" s="374"/>
      <c r="E49" s="374"/>
      <c r="F49" s="272" t="s">
        <v>45</v>
      </c>
      <c r="G49" s="422"/>
      <c r="H49" s="430">
        <f>IF(F49='Reference (hide)'!$A$1, (D49-E49)*$C49, (D49-E49)*G49)</f>
        <v>0</v>
      </c>
      <c r="I49" s="310" t="s">
        <v>269</v>
      </c>
    </row>
    <row r="50" spans="1:9">
      <c r="A50" s="270" t="s">
        <v>284</v>
      </c>
      <c r="B50" s="292" t="s">
        <v>275</v>
      </c>
      <c r="C50" s="271">
        <f>'Default EF'!G20</f>
        <v>2.6854800000000001E-3</v>
      </c>
      <c r="D50" s="374"/>
      <c r="E50" s="374"/>
      <c r="F50" s="272" t="s">
        <v>45</v>
      </c>
      <c r="G50" s="422"/>
      <c r="H50" s="430">
        <f>IF(F50='Reference (hide)'!$A$1, (D50-E50)*$C50, (D50-E50)*G50)</f>
        <v>0</v>
      </c>
      <c r="I50" s="310" t="s">
        <v>269</v>
      </c>
    </row>
    <row r="51" spans="1:9">
      <c r="A51" s="270" t="s">
        <v>53</v>
      </c>
      <c r="B51" s="292" t="s">
        <v>275</v>
      </c>
      <c r="C51" s="271">
        <f>'Default EF'!G21</f>
        <v>1.6159529430000001E-3</v>
      </c>
      <c r="D51" s="374"/>
      <c r="E51" s="374"/>
      <c r="F51" s="272" t="s">
        <v>45</v>
      </c>
      <c r="G51" s="422"/>
      <c r="H51" s="430">
        <f>IF(F51='Reference (hide)'!$A$1, (D51-E51)*$C51, (D51-E51)*G51)</f>
        <v>0</v>
      </c>
      <c r="I51" s="310" t="s">
        <v>269</v>
      </c>
    </row>
    <row r="52" spans="1:9">
      <c r="A52" s="270" t="s">
        <v>285</v>
      </c>
      <c r="B52" s="292" t="s">
        <v>277</v>
      </c>
      <c r="C52" s="271">
        <f>'Default EF'!G22</f>
        <v>2.2102717812691286E-3</v>
      </c>
      <c r="D52" s="374"/>
      <c r="E52" s="374"/>
      <c r="F52" s="272" t="s">
        <v>45</v>
      </c>
      <c r="G52" s="422"/>
      <c r="H52" s="430">
        <f>IF(F52='Reference (hide)'!$A$1, (D52-E52)*$C52, (D52-E52)*G52)</f>
        <v>0</v>
      </c>
      <c r="I52" s="310" t="s">
        <v>269</v>
      </c>
    </row>
    <row r="53" spans="1:9">
      <c r="A53" s="270" t="s">
        <v>285</v>
      </c>
      <c r="B53" s="292" t="s">
        <v>279</v>
      </c>
      <c r="C53" s="252">
        <f>'Default EF'!G23</f>
        <v>5.8470000000000001E-2</v>
      </c>
      <c r="D53" s="374"/>
      <c r="E53" s="374"/>
      <c r="F53" s="272" t="s">
        <v>45</v>
      </c>
      <c r="G53" s="422"/>
      <c r="H53" s="430">
        <f>IF(F53='Reference (hide)'!$A$1, (D53-E53)*$C53, (D53-E53)*G53)</f>
        <v>0</v>
      </c>
      <c r="I53" s="310" t="s">
        <v>269</v>
      </c>
    </row>
    <row r="54" spans="1:9">
      <c r="A54" s="120"/>
      <c r="B54" s="296"/>
      <c r="C54" s="250"/>
      <c r="D54" s="296"/>
      <c r="E54" s="296"/>
      <c r="F54" s="249"/>
      <c r="G54" s="437"/>
      <c r="H54" s="448"/>
      <c r="I54" s="311"/>
    </row>
    <row r="55" spans="1:9">
      <c r="A55" s="591" t="s">
        <v>286</v>
      </c>
      <c r="B55" s="591"/>
      <c r="C55" s="591"/>
      <c r="D55" s="324"/>
      <c r="E55" s="305"/>
      <c r="F55" s="260"/>
      <c r="G55" s="418"/>
      <c r="H55" s="417">
        <f>SUM(H56:H64)</f>
        <v>0</v>
      </c>
      <c r="I55" s="311"/>
    </row>
    <row r="56" spans="1:9">
      <c r="A56" s="270" t="s">
        <v>287</v>
      </c>
      <c r="B56" s="292" t="s">
        <v>44</v>
      </c>
      <c r="C56" s="278">
        <f>'Default EF'!J14</f>
        <v>0.39248999999999995</v>
      </c>
      <c r="D56" s="375">
        <f t="shared" ref="D56:E58" si="0">D45</f>
        <v>0</v>
      </c>
      <c r="E56" s="375">
        <f t="shared" si="0"/>
        <v>0</v>
      </c>
      <c r="F56" s="272" t="s">
        <v>45</v>
      </c>
      <c r="G56" s="422"/>
      <c r="H56" s="430">
        <f>IF(F56='Reference (hide)'!$A$1, (D56-E56)*$C56, (D56-E56)*G56)</f>
        <v>0</v>
      </c>
      <c r="I56" s="310" t="s">
        <v>267</v>
      </c>
    </row>
    <row r="57" spans="1:9">
      <c r="A57" s="270" t="s">
        <v>288</v>
      </c>
      <c r="B57" s="292" t="s">
        <v>44</v>
      </c>
      <c r="C57" s="278">
        <f>'Default EF'!J16</f>
        <v>0.37925999999999999</v>
      </c>
      <c r="D57" s="375">
        <f t="shared" si="0"/>
        <v>0</v>
      </c>
      <c r="E57" s="375">
        <f t="shared" si="0"/>
        <v>0</v>
      </c>
      <c r="F57" s="272" t="s">
        <v>45</v>
      </c>
      <c r="G57" s="422"/>
      <c r="H57" s="430">
        <f>IF(F57='Reference (hide)'!$A$1, (D57-E57)*$C57, (D57-E57)*G57)</f>
        <v>0</v>
      </c>
      <c r="I57" s="310"/>
    </row>
    <row r="58" spans="1:9">
      <c r="A58" s="270" t="s">
        <v>289</v>
      </c>
      <c r="B58" s="292" t="s">
        <v>44</v>
      </c>
      <c r="C58" s="278">
        <f>'Default EF'!J17</f>
        <v>0.27782999999999997</v>
      </c>
      <c r="D58" s="375">
        <f t="shared" si="0"/>
        <v>0</v>
      </c>
      <c r="E58" s="375">
        <f t="shared" si="0"/>
        <v>0</v>
      </c>
      <c r="F58" s="272" t="s">
        <v>45</v>
      </c>
      <c r="G58" s="422"/>
      <c r="H58" s="430">
        <f>IF(F58='Reference (hide)'!$A$1, (D58-E58)*$C58, (D58-E58)*G58)</f>
        <v>0</v>
      </c>
      <c r="I58" s="310"/>
    </row>
    <row r="59" spans="1:9">
      <c r="A59" s="270" t="s">
        <v>290</v>
      </c>
      <c r="B59" s="292" t="s">
        <v>44</v>
      </c>
      <c r="C59" s="278">
        <f>'Default EF'!J18</f>
        <v>0.17493</v>
      </c>
      <c r="D59" s="375">
        <f>D48</f>
        <v>0</v>
      </c>
      <c r="E59" s="375">
        <f>E48</f>
        <v>0</v>
      </c>
      <c r="F59" s="272" t="s">
        <v>45</v>
      </c>
      <c r="G59" s="422"/>
      <c r="H59" s="430">
        <f>IF(F59='Reference (hide)'!$A$1, (D59-E59)*$C59, (D59-E59)*G59)</f>
        <v>0</v>
      </c>
      <c r="I59" s="310"/>
    </row>
    <row r="60" spans="1:9">
      <c r="A60" s="270" t="s">
        <v>291</v>
      </c>
      <c r="B60" s="292" t="s">
        <v>275</v>
      </c>
      <c r="C60" s="271">
        <f>'Default EF'!J19</f>
        <v>4.2533119999999989E-4</v>
      </c>
      <c r="D60" s="375">
        <f t="shared" ref="D60:D61" si="1">D49</f>
        <v>0</v>
      </c>
      <c r="E60" s="375">
        <f>E50</f>
        <v>0</v>
      </c>
      <c r="F60" s="272" t="s">
        <v>45</v>
      </c>
      <c r="G60" s="422"/>
      <c r="H60" s="430">
        <f>IF(F60='Reference (hide)'!$A$1, (D60-E60)*$C60, (D60-E60)*G60)</f>
        <v>0</v>
      </c>
      <c r="I60" s="310"/>
    </row>
    <row r="61" spans="1:9">
      <c r="A61" s="270" t="s">
        <v>292</v>
      </c>
      <c r="B61" s="292" t="s">
        <v>275</v>
      </c>
      <c r="C61" s="271">
        <f>'Default EF'!J20</f>
        <v>5.9092319999999989E-4</v>
      </c>
      <c r="D61" s="375">
        <f t="shared" si="1"/>
        <v>0</v>
      </c>
      <c r="E61" s="375">
        <f>E49</f>
        <v>0</v>
      </c>
      <c r="F61" s="272" t="s">
        <v>45</v>
      </c>
      <c r="G61" s="422"/>
      <c r="H61" s="430">
        <f>IF(F61='Reference (hide)'!$A$1, (D61-E61)*$C61, (D61-E61)*G61)</f>
        <v>0</v>
      </c>
      <c r="I61" s="310"/>
    </row>
    <row r="62" spans="1:9">
      <c r="A62" s="270" t="s">
        <v>293</v>
      </c>
      <c r="B62" s="292" t="s">
        <v>275</v>
      </c>
      <c r="C62" s="271">
        <f>'Default EF'!J21</f>
        <v>1.7956026000000001E-4</v>
      </c>
      <c r="D62" s="375">
        <f t="shared" ref="D62:E64" si="2">D51</f>
        <v>0</v>
      </c>
      <c r="E62" s="375">
        <f t="shared" si="2"/>
        <v>0</v>
      </c>
      <c r="F62" s="272" t="s">
        <v>45</v>
      </c>
      <c r="G62" s="422"/>
      <c r="H62" s="430">
        <f>IF(F62='Reference (hide)'!$A$1, (D62-E62)*$C62, (D62-E62)*G62)</f>
        <v>0</v>
      </c>
      <c r="I62" s="310"/>
    </row>
    <row r="63" spans="1:9">
      <c r="A63" s="270" t="s">
        <v>294</v>
      </c>
      <c r="B63" s="292" t="s">
        <v>277</v>
      </c>
      <c r="C63" s="271">
        <f>'Default EF'!J22</f>
        <v>3.2887573964497034E-4</v>
      </c>
      <c r="D63" s="375">
        <f t="shared" si="2"/>
        <v>0</v>
      </c>
      <c r="E63" s="375">
        <f t="shared" si="2"/>
        <v>0</v>
      </c>
      <c r="F63" s="272" t="s">
        <v>45</v>
      </c>
      <c r="G63" s="422"/>
      <c r="H63" s="430">
        <f>IF(F63='Reference (hide)'!$A$1, (D63-E63)*$C63, (D63-E63)*G63)</f>
        <v>0</v>
      </c>
      <c r="I63" s="310"/>
    </row>
    <row r="64" spans="1:9">
      <c r="A64" s="270" t="s">
        <v>294</v>
      </c>
      <c r="B64" s="292" t="s">
        <v>279</v>
      </c>
      <c r="C64" s="271">
        <f>'Default EF'!J23</f>
        <v>8.6999999999999994E-3</v>
      </c>
      <c r="D64" s="375">
        <f t="shared" si="2"/>
        <v>0</v>
      </c>
      <c r="E64" s="375">
        <f t="shared" si="2"/>
        <v>0</v>
      </c>
      <c r="F64" s="272" t="s">
        <v>45</v>
      </c>
      <c r="G64" s="422"/>
      <c r="H64" s="430">
        <f>IF(F64='Reference (hide)'!$A$1, (D64-E64)*$C64, (D64-E64)*G64)</f>
        <v>0</v>
      </c>
      <c r="I64" s="310"/>
    </row>
    <row r="65" spans="1:78">
      <c r="A65" s="273"/>
      <c r="B65" s="296"/>
      <c r="C65" s="250"/>
      <c r="D65" s="376"/>
      <c r="E65" s="296"/>
      <c r="F65" s="249"/>
      <c r="G65" s="437"/>
      <c r="H65" s="448"/>
      <c r="I65" s="311"/>
    </row>
    <row r="66" spans="1:78" ht="14.45" customHeight="1">
      <c r="A66" s="591" t="s">
        <v>295</v>
      </c>
      <c r="B66" s="591"/>
      <c r="C66" s="591"/>
      <c r="D66" s="377"/>
      <c r="E66" s="304"/>
      <c r="F66" s="269"/>
      <c r="G66" s="438"/>
      <c r="H66" s="449">
        <f>SUM(H67:H69)</f>
        <v>0</v>
      </c>
      <c r="I66" s="311"/>
    </row>
    <row r="67" spans="1:78" ht="14.45" customHeight="1">
      <c r="A67" s="270" t="s">
        <v>296</v>
      </c>
      <c r="B67" s="292" t="s">
        <v>44</v>
      </c>
      <c r="C67" s="278">
        <f>'Default EF'!G57</f>
        <v>0.11</v>
      </c>
      <c r="D67" s="374"/>
      <c r="E67" s="374"/>
      <c r="F67" s="272" t="s">
        <v>45</v>
      </c>
      <c r="G67" s="422"/>
      <c r="H67" s="430">
        <f>IF(F67='Reference (hide)'!$A$1, (D67-E67)*$C67, (D67-E67)*G67)</f>
        <v>0</v>
      </c>
      <c r="I67" s="310"/>
    </row>
    <row r="68" spans="1:78" ht="14.45" customHeight="1">
      <c r="A68" s="270" t="s">
        <v>297</v>
      </c>
      <c r="B68" s="292" t="s">
        <v>44</v>
      </c>
      <c r="C68" s="278">
        <f>'Default EF'!G58</f>
        <v>0.36</v>
      </c>
      <c r="D68" s="374"/>
      <c r="E68" s="374"/>
      <c r="F68" s="272" t="s">
        <v>45</v>
      </c>
      <c r="G68" s="422"/>
      <c r="H68" s="430">
        <f>IF(F68='Reference (hide)'!$A$1, (D68-E68)*$C68, (D68-E68)*G68)</f>
        <v>0</v>
      </c>
      <c r="I68" s="310"/>
    </row>
    <row r="69" spans="1:78">
      <c r="A69" s="270" t="s">
        <v>285</v>
      </c>
      <c r="B69" s="292" t="s">
        <v>277</v>
      </c>
      <c r="C69" s="271">
        <f>'Default EF'!G59</f>
        <v>3.2000000000000003E-4</v>
      </c>
      <c r="D69" s="374"/>
      <c r="E69" s="374"/>
      <c r="F69" s="272" t="s">
        <v>45</v>
      </c>
      <c r="G69" s="422"/>
      <c r="H69" s="430">
        <f>IF(F69='Reference (hide)'!$A$1, (D69-E69)*$C69, (D69-E69)*G69)</f>
        <v>0</v>
      </c>
      <c r="I69" s="310"/>
    </row>
    <row r="70" spans="1:78">
      <c r="A70" s="270"/>
      <c r="B70" s="292"/>
      <c r="C70" s="247"/>
      <c r="D70" s="378"/>
      <c r="E70" s="292"/>
      <c r="F70" s="38"/>
      <c r="G70" s="439"/>
      <c r="H70" s="430"/>
      <c r="I70" s="311"/>
    </row>
    <row r="71" spans="1:78" s="254" customFormat="1">
      <c r="A71" s="591" t="s">
        <v>298</v>
      </c>
      <c r="B71" s="592"/>
      <c r="C71" s="593"/>
      <c r="D71" s="305"/>
      <c r="E71" s="305"/>
      <c r="F71" s="260"/>
      <c r="G71" s="418"/>
      <c r="H71" s="417">
        <f>SUM(H72:H84)</f>
        <v>0</v>
      </c>
      <c r="I71" s="31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row>
    <row r="72" spans="1:78" s="44" customFormat="1">
      <c r="A72" s="270" t="s">
        <v>299</v>
      </c>
      <c r="B72" s="292" t="s">
        <v>86</v>
      </c>
      <c r="C72" s="247">
        <f>'Default EF'!G64</f>
        <v>0.82</v>
      </c>
      <c r="D72" s="374"/>
      <c r="E72" s="374"/>
      <c r="F72" s="272" t="s">
        <v>45</v>
      </c>
      <c r="G72" s="422"/>
      <c r="H72" s="430">
        <f>IF(F72='Reference (hide)'!$A$1, (D72-E72)*$C72, (D72-E72)*G72)</f>
        <v>0</v>
      </c>
      <c r="I72" s="310"/>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1:78" s="44" customFormat="1">
      <c r="A73" s="270" t="s">
        <v>285</v>
      </c>
      <c r="B73" s="292" t="s">
        <v>86</v>
      </c>
      <c r="C73" s="247">
        <f>'Default EF'!G65</f>
        <v>0.49</v>
      </c>
      <c r="D73" s="374"/>
      <c r="E73" s="374"/>
      <c r="F73" s="272" t="s">
        <v>45</v>
      </c>
      <c r="G73" s="422"/>
      <c r="H73" s="430">
        <f>IF(F73='Reference (hide)'!$A$1, (D73-E73)*$C73, (D73-E73)*G73)</f>
        <v>0</v>
      </c>
      <c r="I73" s="310"/>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1:78" s="44" customFormat="1">
      <c r="A74" s="270" t="s">
        <v>300</v>
      </c>
      <c r="B74" s="292" t="s">
        <v>86</v>
      </c>
      <c r="C74" s="247">
        <f>'Default EF'!G66</f>
        <v>0.73299999999999998</v>
      </c>
      <c r="D74" s="374"/>
      <c r="E74" s="374"/>
      <c r="F74" s="272" t="s">
        <v>45</v>
      </c>
      <c r="G74" s="422"/>
      <c r="H74" s="430">
        <f>IF(F74='Reference (hide)'!$A$1, (D74-E74)*$C74, (D74-E74)*G74)</f>
        <v>0</v>
      </c>
      <c r="I74" s="310"/>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1:78" s="44" customFormat="1">
      <c r="A75" s="270" t="s">
        <v>301</v>
      </c>
      <c r="B75" s="292" t="s">
        <v>86</v>
      </c>
      <c r="C75" s="247">
        <f>'Default EF'!G67</f>
        <v>0.65500000000000003</v>
      </c>
      <c r="D75" s="374"/>
      <c r="E75" s="374"/>
      <c r="F75" s="272" t="s">
        <v>45</v>
      </c>
      <c r="G75" s="422"/>
      <c r="H75" s="430">
        <f>IF(F75='Reference (hide)'!$A$1, (D75-E75)*$C75, (D75-E75)*G75)</f>
        <v>0</v>
      </c>
      <c r="I75" s="310"/>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1:78" s="44" customFormat="1">
      <c r="A76" s="270" t="s">
        <v>302</v>
      </c>
      <c r="B76" s="292" t="s">
        <v>86</v>
      </c>
      <c r="C76" s="247">
        <f>'Default EF'!G68</f>
        <v>1.2E-2</v>
      </c>
      <c r="D76" s="374"/>
      <c r="E76" s="374"/>
      <c r="F76" s="272" t="s">
        <v>45</v>
      </c>
      <c r="G76" s="422"/>
      <c r="H76" s="430">
        <f>IF(F76='Reference (hide)'!$A$1, (D76-E76)*$C76, (D76-E76)*G76)</f>
        <v>0</v>
      </c>
      <c r="I76" s="310"/>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1:78" s="44" customFormat="1">
      <c r="A77" s="270" t="s">
        <v>303</v>
      </c>
      <c r="B77" s="292" t="s">
        <v>86</v>
      </c>
      <c r="C77" s="247">
        <f>'Default EF'!G69</f>
        <v>2.4E-2</v>
      </c>
      <c r="D77" s="374"/>
      <c r="E77" s="374"/>
      <c r="F77" s="272" t="s">
        <v>45</v>
      </c>
      <c r="G77" s="422"/>
      <c r="H77" s="430">
        <f>IF(F77='Reference (hide)'!$A$1, (D77-E77)*$C77, (D77-E77)*G77)</f>
        <v>0</v>
      </c>
      <c r="I77" s="310"/>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1:78" s="44" customFormat="1">
      <c r="A78" s="270" t="s">
        <v>304</v>
      </c>
      <c r="B78" s="292" t="s">
        <v>86</v>
      </c>
      <c r="C78" s="247">
        <f>'Default EF'!G70</f>
        <v>1.0999999999999999E-2</v>
      </c>
      <c r="D78" s="374"/>
      <c r="E78" s="374"/>
      <c r="F78" s="272" t="s">
        <v>45</v>
      </c>
      <c r="G78" s="422"/>
      <c r="H78" s="430">
        <f>IF(F78='Reference (hide)'!$A$1, (D78-E78)*$C78, (D78-E78)*G78)</f>
        <v>0</v>
      </c>
      <c r="I78" s="310"/>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1:78" s="44" customFormat="1">
      <c r="A79" s="270" t="s">
        <v>305</v>
      </c>
      <c r="B79" s="292" t="s">
        <v>86</v>
      </c>
      <c r="C79" s="247">
        <f>'Default EF'!G71</f>
        <v>4.8000000000000001E-2</v>
      </c>
      <c r="D79" s="374"/>
      <c r="E79" s="374"/>
      <c r="F79" s="272" t="s">
        <v>45</v>
      </c>
      <c r="G79" s="422"/>
      <c r="H79" s="430">
        <f>IF(F79='Reference (hide)'!$A$1, (D79-E79)*$C79, (D79-E79)*G79)</f>
        <v>0</v>
      </c>
      <c r="I79" s="310"/>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1:78" s="44" customFormat="1">
      <c r="A80" s="270" t="s">
        <v>306</v>
      </c>
      <c r="B80" s="292" t="s">
        <v>86</v>
      </c>
      <c r="C80" s="247">
        <f>'Default EF'!G72</f>
        <v>0.23</v>
      </c>
      <c r="D80" s="374"/>
      <c r="E80" s="374"/>
      <c r="F80" s="272" t="s">
        <v>45</v>
      </c>
      <c r="G80" s="422"/>
      <c r="H80" s="430">
        <f>IF(F80='Reference (hide)'!$A$1, (D80-E80)*$C80, (D80-E80)*G80)</f>
        <v>0</v>
      </c>
      <c r="I80" s="31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s="44" customFormat="1">
      <c r="A81" s="270" t="s">
        <v>307</v>
      </c>
      <c r="B81" s="292" t="s">
        <v>86</v>
      </c>
      <c r="C81" s="247">
        <f>'Default EF'!G73</f>
        <v>6.4200000000000007E-2</v>
      </c>
      <c r="D81" s="374"/>
      <c r="E81" s="374"/>
      <c r="F81" s="272" t="s">
        <v>45</v>
      </c>
      <c r="G81" s="422"/>
      <c r="H81" s="430">
        <f>IF(F81='Reference (hide)'!$A$1, (D81-E81)*$C81, (D81-E81)*G81)</f>
        <v>0</v>
      </c>
      <c r="I81" s="310"/>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1:78" s="44" customFormat="1">
      <c r="A82" s="507" t="s">
        <v>308</v>
      </c>
      <c r="B82" s="292" t="s">
        <v>86</v>
      </c>
      <c r="C82" s="247"/>
      <c r="D82" s="374"/>
      <c r="E82" s="374"/>
      <c r="F82" s="272"/>
      <c r="G82" s="422"/>
      <c r="H82" s="430"/>
      <c r="I82" s="310"/>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1:78" s="44" customFormat="1" ht="29.45">
      <c r="A83" s="507" t="s">
        <v>309</v>
      </c>
      <c r="B83" s="292" t="s">
        <v>86</v>
      </c>
      <c r="C83" s="247"/>
      <c r="D83" s="374"/>
      <c r="E83" s="374"/>
      <c r="F83" s="272" t="s">
        <v>45</v>
      </c>
      <c r="G83" s="421"/>
      <c r="H83" s="430">
        <f>IF(F83='Reference (hide)'!$A$1, (D83-E83)*$C83, (D83-E83)*G83)</f>
        <v>0</v>
      </c>
      <c r="I83" s="310" t="s">
        <v>267</v>
      </c>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1:78">
      <c r="A84" s="507" t="s">
        <v>310</v>
      </c>
      <c r="B84" s="292" t="s">
        <v>86</v>
      </c>
      <c r="C84" s="250"/>
      <c r="D84" s="374"/>
      <c r="E84" s="374"/>
      <c r="F84" s="272" t="s">
        <v>45</v>
      </c>
      <c r="G84" s="421"/>
      <c r="H84" s="430">
        <f>IF(F84='Reference (hide)'!$A$1, (D84-E84)*$C84, (D84-E84)*G84)</f>
        <v>0</v>
      </c>
      <c r="I84" s="310" t="s">
        <v>267</v>
      </c>
    </row>
    <row r="85" spans="1:78" ht="32.25" customHeight="1">
      <c r="A85" s="594" t="s">
        <v>311</v>
      </c>
      <c r="B85" s="595"/>
      <c r="C85" s="596"/>
      <c r="D85" s="379" t="s">
        <v>256</v>
      </c>
      <c r="E85" s="442" t="s">
        <v>256</v>
      </c>
      <c r="F85" s="276" t="s">
        <v>256</v>
      </c>
      <c r="G85" s="440" t="s">
        <v>256</v>
      </c>
      <c r="H85" s="450">
        <f>SUM(H44,H55,H66,H71)</f>
        <v>0</v>
      </c>
      <c r="I85" s="312"/>
    </row>
    <row r="86" spans="1:78">
      <c r="A86" s="588" t="s">
        <v>312</v>
      </c>
      <c r="B86" s="589"/>
      <c r="C86" s="590"/>
      <c r="D86" s="380"/>
      <c r="E86" s="443"/>
      <c r="F86" s="301"/>
      <c r="G86" s="441"/>
      <c r="H86" s="451">
        <f>SUM(SUMIF(I45:I53, "Primary", H45:H53), SUMIF(I56:I64, "Primary", H56:H64), SUMIF(I67:I69, "Primary", H67:H69), SUMIF(I72:I83, "Primary", H72:H83))</f>
        <v>0</v>
      </c>
    </row>
  </sheetData>
  <mergeCells count="46">
    <mergeCell ref="A71:C71"/>
    <mergeCell ref="A85:C85"/>
    <mergeCell ref="A86:C86"/>
    <mergeCell ref="BL41:BP41"/>
    <mergeCell ref="BQ41:BU41"/>
    <mergeCell ref="BV41:BZ41"/>
    <mergeCell ref="A44:C44"/>
    <mergeCell ref="A55:C55"/>
    <mergeCell ref="A66:C66"/>
    <mergeCell ref="AH41:AL41"/>
    <mergeCell ref="AM41:AQ41"/>
    <mergeCell ref="AR41:AV41"/>
    <mergeCell ref="AW41:BA41"/>
    <mergeCell ref="BB41:BF41"/>
    <mergeCell ref="BG41:BK41"/>
    <mergeCell ref="BL22:BP22"/>
    <mergeCell ref="BQ22:BU22"/>
    <mergeCell ref="BV22:BZ22"/>
    <mergeCell ref="A34:C34"/>
    <mergeCell ref="A41:C41"/>
    <mergeCell ref="D41:H41"/>
    <mergeCell ref="N41:R41"/>
    <mergeCell ref="S41:W41"/>
    <mergeCell ref="X41:AB41"/>
    <mergeCell ref="AC41:AG41"/>
    <mergeCell ref="AH22:AL22"/>
    <mergeCell ref="AM22:AQ22"/>
    <mergeCell ref="AR22:AV22"/>
    <mergeCell ref="AW22:BA22"/>
    <mergeCell ref="BB22:BF22"/>
    <mergeCell ref="BG22:BK22"/>
    <mergeCell ref="AC22:AG22"/>
    <mergeCell ref="A1:J3"/>
    <mergeCell ref="A4:J11"/>
    <mergeCell ref="A15:A16"/>
    <mergeCell ref="B15:B16"/>
    <mergeCell ref="C15:D15"/>
    <mergeCell ref="E15:F15"/>
    <mergeCell ref="G15:G16"/>
    <mergeCell ref="H15:H16"/>
    <mergeCell ref="I15:I16"/>
    <mergeCell ref="A22:C22"/>
    <mergeCell ref="D22:H22"/>
    <mergeCell ref="N22:R22"/>
    <mergeCell ref="S22:W22"/>
    <mergeCell ref="X22:AB22"/>
  </mergeCells>
  <phoneticPr fontId="24"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D920CC-5C5D-4739-A71F-881E9984D095}">
          <x14:formula1>
            <xm:f>'Reference (hide)'!$D$1:$D$2</xm:f>
          </x14:formula1>
          <xm:sqref>I45:I53 I56:I64 I67:I69 I72:I84 I24:I32</xm:sqref>
        </x14:dataValidation>
        <x14:dataValidation type="list" allowBlank="1" showInputMessage="1" showErrorMessage="1" xr:uid="{6ACE4553-F51A-4B5E-9F84-BDB710188EE5}">
          <x14:formula1>
            <xm:f>'Reference (hide)'!$A$1:$A$2</xm:f>
          </x14:formula1>
          <xm:sqref>F45:F53 F56:F64 F67:F69 F72:F84 F24:F36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CE09E-17A2-40BE-B2A3-446774C89329}">
  <sheetPr>
    <tabColor rgb="FF1F4E78"/>
  </sheetPr>
  <dimension ref="A1:BZ87"/>
  <sheetViews>
    <sheetView topLeftCell="A63" workbookViewId="0">
      <selection activeCell="M83" sqref="M83"/>
    </sheetView>
  </sheetViews>
  <sheetFormatPr defaultColWidth="8.85546875" defaultRowHeight="14.85"/>
  <cols>
    <col min="1" max="1" width="37.28515625" customWidth="1"/>
    <col min="2" max="2" width="14.42578125" style="297" customWidth="1"/>
    <col min="3" max="3" width="24.85546875" customWidth="1"/>
    <col min="4" max="6" width="14.42578125" customWidth="1"/>
    <col min="7" max="7" width="18.5703125" customWidth="1"/>
    <col min="8" max="8" width="17.42578125" customWidth="1"/>
    <col min="9" max="78" width="14.42578125" customWidth="1"/>
    <col min="79" max="97" width="13.85546875" customWidth="1"/>
  </cols>
  <sheetData>
    <row r="1" spans="1:78">
      <c r="A1" s="577" t="s">
        <v>313</v>
      </c>
      <c r="B1" s="577"/>
      <c r="C1" s="577"/>
      <c r="D1" s="577"/>
      <c r="E1" s="577"/>
      <c r="F1" s="577"/>
      <c r="G1" s="577"/>
      <c r="H1" s="577"/>
      <c r="I1" s="577"/>
      <c r="J1" s="577"/>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row>
    <row r="2" spans="1:78">
      <c r="A2" s="577"/>
      <c r="B2" s="577"/>
      <c r="C2" s="577"/>
      <c r="D2" s="577"/>
      <c r="E2" s="577"/>
      <c r="F2" s="577"/>
      <c r="G2" s="577"/>
      <c r="H2" s="577"/>
      <c r="I2" s="577"/>
      <c r="J2" s="577"/>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c r="A3" s="577"/>
      <c r="B3" s="577"/>
      <c r="C3" s="577"/>
      <c r="D3" s="577"/>
      <c r="E3" s="577"/>
      <c r="F3" s="577"/>
      <c r="G3" s="577"/>
      <c r="H3" s="577"/>
      <c r="I3" s="577"/>
      <c r="J3" s="577"/>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c r="A4" s="567" t="s">
        <v>314</v>
      </c>
      <c r="B4" s="568"/>
      <c r="C4" s="568"/>
      <c r="D4" s="568"/>
      <c r="E4" s="568"/>
      <c r="F4" s="568"/>
      <c r="G4" s="568"/>
      <c r="H4" s="568"/>
      <c r="I4" s="568"/>
      <c r="J4" s="569"/>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c r="A5" s="570"/>
      <c r="B5" s="571"/>
      <c r="C5" s="571"/>
      <c r="D5" s="571"/>
      <c r="E5" s="571"/>
      <c r="F5" s="571"/>
      <c r="G5" s="571"/>
      <c r="H5" s="571"/>
      <c r="I5" s="571"/>
      <c r="J5" s="572"/>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row>
    <row r="6" spans="1:78">
      <c r="A6" s="570"/>
      <c r="B6" s="571"/>
      <c r="C6" s="571"/>
      <c r="D6" s="571"/>
      <c r="E6" s="571"/>
      <c r="F6" s="571"/>
      <c r="G6" s="571"/>
      <c r="H6" s="571"/>
      <c r="I6" s="571"/>
      <c r="J6" s="572"/>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row>
    <row r="7" spans="1:78">
      <c r="A7" s="570"/>
      <c r="B7" s="571"/>
      <c r="C7" s="571"/>
      <c r="D7" s="571"/>
      <c r="E7" s="571"/>
      <c r="F7" s="571"/>
      <c r="G7" s="571"/>
      <c r="H7" s="571"/>
      <c r="I7" s="571"/>
      <c r="J7" s="572"/>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row>
    <row r="8" spans="1:78">
      <c r="A8" s="570"/>
      <c r="B8" s="571"/>
      <c r="C8" s="571"/>
      <c r="D8" s="571"/>
      <c r="E8" s="571"/>
      <c r="F8" s="571"/>
      <c r="G8" s="571"/>
      <c r="H8" s="571"/>
      <c r="I8" s="571"/>
      <c r="J8" s="572"/>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row>
    <row r="9" spans="1:78">
      <c r="A9" s="570"/>
      <c r="B9" s="571"/>
      <c r="C9" s="571"/>
      <c r="D9" s="571"/>
      <c r="E9" s="571"/>
      <c r="F9" s="571"/>
      <c r="G9" s="571"/>
      <c r="H9" s="571"/>
      <c r="I9" s="571"/>
      <c r="J9" s="572"/>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row>
    <row r="10" spans="1:78">
      <c r="A10" s="570"/>
      <c r="B10" s="571"/>
      <c r="C10" s="571"/>
      <c r="D10" s="571"/>
      <c r="E10" s="571"/>
      <c r="F10" s="571"/>
      <c r="G10" s="571"/>
      <c r="H10" s="571"/>
      <c r="I10" s="571"/>
      <c r="J10" s="572"/>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row>
    <row r="11" spans="1:78">
      <c r="A11" s="573"/>
      <c r="B11" s="574"/>
      <c r="C11" s="574"/>
      <c r="D11" s="574"/>
      <c r="E11" s="574"/>
      <c r="F11" s="574"/>
      <c r="G11" s="574"/>
      <c r="H11" s="574"/>
      <c r="I11" s="574"/>
      <c r="J11" s="575"/>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row>
    <row r="12" spans="1:78">
      <c r="A12" s="119"/>
      <c r="B12" s="286"/>
      <c r="C12" s="119"/>
      <c r="D12" s="119"/>
      <c r="E12" s="119"/>
      <c r="F12" s="119"/>
      <c r="G12" s="119"/>
      <c r="H12" s="119"/>
      <c r="I12" s="119"/>
      <c r="J12" s="119"/>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row>
    <row r="13" spans="1:78">
      <c r="A13" s="119"/>
      <c r="B13" s="286"/>
      <c r="C13" s="119"/>
      <c r="D13" s="119"/>
      <c r="E13" s="119"/>
      <c r="F13" s="119"/>
      <c r="G13" s="119"/>
      <c r="H13" s="119"/>
      <c r="I13" s="119"/>
      <c r="J13" s="119"/>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1:78" ht="31.35">
      <c r="A14" s="253" t="s">
        <v>245</v>
      </c>
      <c r="B14" s="287"/>
      <c r="C14" s="120"/>
      <c r="D14" s="120"/>
      <c r="E14" s="120"/>
      <c r="F14" s="120"/>
      <c r="G14" s="120"/>
      <c r="H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1:78">
      <c r="A15" s="578" t="s">
        <v>246</v>
      </c>
      <c r="B15" s="580" t="s">
        <v>247</v>
      </c>
      <c r="C15" s="582" t="s">
        <v>315</v>
      </c>
      <c r="D15" s="583"/>
      <c r="E15" s="582" t="s">
        <v>249</v>
      </c>
      <c r="F15" s="582"/>
      <c r="G15" s="584" t="s">
        <v>316</v>
      </c>
      <c r="H15" s="585" t="s">
        <v>251</v>
      </c>
      <c r="I15" s="586" t="s">
        <v>252</v>
      </c>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row>
    <row r="16" spans="1:78" ht="30.75" customHeight="1">
      <c r="A16" s="579"/>
      <c r="B16" s="581"/>
      <c r="C16" s="279" t="s">
        <v>253</v>
      </c>
      <c r="D16" s="280" t="s">
        <v>254</v>
      </c>
      <c r="E16" s="281" t="s">
        <v>255</v>
      </c>
      <c r="F16" s="280" t="s">
        <v>254</v>
      </c>
      <c r="G16" s="584"/>
      <c r="H16" s="585"/>
      <c r="I16" s="586"/>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row>
    <row r="17" spans="1:78">
      <c r="A17" s="255" t="s">
        <v>0</v>
      </c>
      <c r="B17" s="256">
        <v>1</v>
      </c>
      <c r="C17" s="386"/>
      <c r="D17" s="391">
        <f>$B17*C17</f>
        <v>0</v>
      </c>
      <c r="E17" s="321">
        <f>H85+H33</f>
        <v>0</v>
      </c>
      <c r="F17" s="387">
        <f>$B17*E17</f>
        <v>0</v>
      </c>
      <c r="G17" s="419" t="str">
        <f>IFERROR(E17/C17, "-")</f>
        <v>-</v>
      </c>
      <c r="H17" s="393">
        <f>H86+H34</f>
        <v>0</v>
      </c>
      <c r="I17" s="320" t="e">
        <f>H17/E17</f>
        <v>#DIV/0!</v>
      </c>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row>
    <row r="18" spans="1:78">
      <c r="A18" s="258" t="s">
        <v>255</v>
      </c>
      <c r="B18" s="289"/>
      <c r="C18" s="324" t="s">
        <v>256</v>
      </c>
      <c r="D18" s="289">
        <f>SUM(D17:D17)</f>
        <v>0</v>
      </c>
      <c r="E18" s="305" t="s">
        <v>256</v>
      </c>
      <c r="F18" s="305">
        <f>SUM(F17:F17)</f>
        <v>0</v>
      </c>
      <c r="G18" s="420" t="str">
        <f>IFERROR(E18/C18, "-")</f>
        <v>-</v>
      </c>
      <c r="H18" s="376"/>
      <c r="I18" s="249"/>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row>
    <row r="19" spans="1:78">
      <c r="A19" s="254"/>
      <c r="B19" s="290"/>
      <c r="C19" s="261"/>
      <c r="D19" s="261"/>
      <c r="E19" s="261"/>
      <c r="F19" s="261"/>
      <c r="G19" s="261"/>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row>
    <row r="20" spans="1:78">
      <c r="A20" s="254"/>
      <c r="B20" s="291"/>
      <c r="C20" s="261"/>
      <c r="D20" s="307"/>
      <c r="E20" s="308"/>
      <c r="F20" s="261"/>
      <c r="G20" s="261"/>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row>
    <row r="21" spans="1:78" ht="31.35">
      <c r="A21" s="253" t="s">
        <v>257</v>
      </c>
      <c r="B21" s="292"/>
      <c r="C21" s="38"/>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row>
    <row r="22" spans="1:78">
      <c r="A22" s="587" t="s">
        <v>258</v>
      </c>
      <c r="B22" s="587"/>
      <c r="C22" s="587"/>
      <c r="D22" s="587" t="s">
        <v>0</v>
      </c>
      <c r="E22" s="587"/>
      <c r="F22" s="587"/>
      <c r="G22" s="587"/>
      <c r="H22" s="587"/>
      <c r="I22" s="313"/>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2"/>
      <c r="AO22" s="672"/>
      <c r="AP22" s="672"/>
      <c r="AQ22" s="672"/>
      <c r="AR22" s="672"/>
      <c r="AS22" s="672"/>
      <c r="AT22" s="672"/>
      <c r="AU22" s="672"/>
      <c r="AV22" s="672"/>
      <c r="AW22" s="672"/>
      <c r="AX22" s="672"/>
      <c r="AY22" s="672"/>
      <c r="AZ22" s="672"/>
      <c r="BA22" s="672"/>
      <c r="BB22" s="672"/>
      <c r="BC22" s="672"/>
      <c r="BD22" s="672"/>
      <c r="BE22" s="672"/>
      <c r="BF22" s="672"/>
      <c r="BG22" s="672"/>
      <c r="BH22" s="672"/>
      <c r="BI22" s="672"/>
      <c r="BJ22" s="672"/>
      <c r="BK22" s="672"/>
      <c r="BL22" s="672"/>
      <c r="BM22" s="672"/>
      <c r="BN22" s="672"/>
      <c r="BO22" s="672"/>
      <c r="BP22" s="672"/>
      <c r="BQ22" s="672"/>
      <c r="BR22" s="672"/>
      <c r="BS22" s="672"/>
      <c r="BT22" s="672"/>
      <c r="BU22" s="672"/>
      <c r="BV22" s="672"/>
      <c r="BW22" s="672"/>
      <c r="BX22" s="672"/>
      <c r="BY22" s="672"/>
      <c r="BZ22" s="672"/>
    </row>
    <row r="23" spans="1:78" ht="29.45">
      <c r="A23" s="283" t="s">
        <v>259</v>
      </c>
      <c r="B23" s="294" t="s">
        <v>30</v>
      </c>
      <c r="C23" s="284" t="s">
        <v>260</v>
      </c>
      <c r="D23" s="285" t="s">
        <v>261</v>
      </c>
      <c r="E23" s="282" t="s">
        <v>32</v>
      </c>
      <c r="F23" s="282" t="s">
        <v>262</v>
      </c>
      <c r="G23" s="282" t="s">
        <v>263</v>
      </c>
      <c r="H23" s="284" t="s">
        <v>264</v>
      </c>
      <c r="I23" s="309" t="s">
        <v>265</v>
      </c>
    </row>
    <row r="24" spans="1:78">
      <c r="A24" s="270" t="s">
        <v>317</v>
      </c>
      <c r="B24" s="292" t="s">
        <v>44</v>
      </c>
      <c r="C24" s="278">
        <f>'Default EF'!J24</f>
        <v>8.3999999999999995E-3</v>
      </c>
      <c r="D24" s="374"/>
      <c r="E24" s="374"/>
      <c r="F24" s="272" t="s">
        <v>318</v>
      </c>
      <c r="G24" s="454"/>
      <c r="H24" s="430">
        <f>IF(F24='Reference (hide)'!$A$1, (D24-E24)*$C24, (D24-E24)*G24)</f>
        <v>0</v>
      </c>
      <c r="I24" s="310" t="s">
        <v>267</v>
      </c>
    </row>
    <row r="25" spans="1:78">
      <c r="A25" s="270" t="s">
        <v>319</v>
      </c>
      <c r="B25" s="292" t="s">
        <v>44</v>
      </c>
      <c r="C25" s="278">
        <f>'Default EF'!J37</f>
        <v>1.1200000000000001</v>
      </c>
      <c r="D25" s="374"/>
      <c r="E25" s="374"/>
      <c r="F25" s="272" t="s">
        <v>45</v>
      </c>
      <c r="G25" s="272"/>
      <c r="H25" s="430">
        <f>IF(F25='Reference (hide)'!$A$1, (D25-E25)*$C25, (D25-E25)*G25)</f>
        <v>0</v>
      </c>
      <c r="I25" s="310" t="s">
        <v>269</v>
      </c>
    </row>
    <row r="26" spans="1:78">
      <c r="A26" s="270" t="s">
        <v>320</v>
      </c>
      <c r="B26" s="292" t="s">
        <v>44</v>
      </c>
      <c r="C26" s="278">
        <f>'Default EF'!J40</f>
        <v>0.79</v>
      </c>
      <c r="D26" s="374"/>
      <c r="E26" s="374"/>
      <c r="F26" s="272" t="s">
        <v>45</v>
      </c>
      <c r="G26" s="272"/>
      <c r="H26" s="430">
        <f>IF(F26='Reference (hide)'!$A$1, (D26-E26)*$C26, (D26-E26)*G26)</f>
        <v>0</v>
      </c>
      <c r="I26" s="310" t="s">
        <v>269</v>
      </c>
    </row>
    <row r="27" spans="1:78">
      <c r="A27" s="270" t="s">
        <v>321</v>
      </c>
      <c r="B27" s="292" t="s">
        <v>44</v>
      </c>
      <c r="C27" s="278">
        <f>'Default EF'!J51</f>
        <v>0.14000000000000001</v>
      </c>
      <c r="D27" s="374"/>
      <c r="E27" s="374"/>
      <c r="F27" s="272" t="s">
        <v>45</v>
      </c>
      <c r="G27" s="272"/>
      <c r="H27" s="430">
        <f>IF(F27='Reference (hide)'!$A$1, (D27-E27)*$C27, (D27-E27)*G27)</f>
        <v>0</v>
      </c>
      <c r="I27" s="310" t="s">
        <v>269</v>
      </c>
    </row>
    <row r="28" spans="1:78">
      <c r="A28" s="270" t="s">
        <v>272</v>
      </c>
      <c r="B28" s="292" t="s">
        <v>44</v>
      </c>
      <c r="C28" s="271"/>
      <c r="D28" s="374"/>
      <c r="E28" s="374"/>
      <c r="F28" s="272" t="s">
        <v>45</v>
      </c>
      <c r="G28" s="272"/>
      <c r="H28" s="430">
        <f>IF(F28='Reference (hide)'!$A$1, (D28-E28)*$C28, (D28-E28)*G28)</f>
        <v>0</v>
      </c>
      <c r="I28" s="310" t="s">
        <v>269</v>
      </c>
    </row>
    <row r="29" spans="1:78">
      <c r="A29" s="270" t="s">
        <v>273</v>
      </c>
      <c r="B29" s="292" t="s">
        <v>44</v>
      </c>
      <c r="C29" s="271"/>
      <c r="D29" s="374"/>
      <c r="E29" s="374"/>
      <c r="F29" s="272" t="s">
        <v>45</v>
      </c>
      <c r="G29" s="272"/>
      <c r="H29" s="430">
        <f>IF(F29='Reference (hide)'!$A$1, (D29-E29)*$C29, (D29-E29)*G29)</f>
        <v>0</v>
      </c>
      <c r="I29" s="310" t="s">
        <v>269</v>
      </c>
    </row>
    <row r="30" spans="1:78">
      <c r="A30" s="270" t="s">
        <v>274</v>
      </c>
      <c r="B30" s="292" t="s">
        <v>275</v>
      </c>
      <c r="C30" s="271"/>
      <c r="D30" s="374"/>
      <c r="E30" s="374"/>
      <c r="F30" s="272" t="s">
        <v>45</v>
      </c>
      <c r="G30" s="272"/>
      <c r="H30" s="430">
        <f>IF(F30='Reference (hide)'!$A$1, (D30-E30)*$C30, (D30-E30)*G30)</f>
        <v>0</v>
      </c>
      <c r="I30" s="310" t="s">
        <v>269</v>
      </c>
    </row>
    <row r="31" spans="1:78">
      <c r="A31" s="270" t="s">
        <v>276</v>
      </c>
      <c r="B31" s="292" t="s">
        <v>277</v>
      </c>
      <c r="C31" s="271"/>
      <c r="D31" s="374"/>
      <c r="E31" s="374"/>
      <c r="F31" s="272" t="s">
        <v>45</v>
      </c>
      <c r="G31" s="272"/>
      <c r="H31" s="430">
        <f>IF(F31='Reference (hide)'!$A$1, (D31-E31)*$C31, (D31-E31)*G31)</f>
        <v>0</v>
      </c>
      <c r="I31" s="310" t="s">
        <v>269</v>
      </c>
    </row>
    <row r="32" spans="1:78">
      <c r="A32" s="270" t="s">
        <v>278</v>
      </c>
      <c r="B32" s="292" t="s">
        <v>279</v>
      </c>
      <c r="C32" s="252"/>
      <c r="D32" s="425"/>
      <c r="E32" s="425"/>
      <c r="F32" s="316" t="s">
        <v>45</v>
      </c>
      <c r="G32" s="316"/>
      <c r="H32" s="430">
        <f>IF(F32='Reference (hide)'!$A$1, (D32-E32)*$C32, (D32-E32)*G32)</f>
        <v>0</v>
      </c>
      <c r="I32" s="348" t="s">
        <v>269</v>
      </c>
    </row>
    <row r="33" spans="1:78" ht="14.25" customHeight="1">
      <c r="A33" s="318" t="s">
        <v>255</v>
      </c>
      <c r="B33" s="305"/>
      <c r="C33" s="301"/>
      <c r="D33" s="426"/>
      <c r="E33" s="426"/>
      <c r="F33" s="350"/>
      <c r="G33" s="350"/>
      <c r="H33" s="431">
        <f>SUM(H24:H32)</f>
        <v>0</v>
      </c>
      <c r="I33" s="352"/>
    </row>
    <row r="34" spans="1:78" ht="14.25" customHeight="1">
      <c r="A34" s="588" t="s">
        <v>280</v>
      </c>
      <c r="B34" s="589"/>
      <c r="C34" s="590"/>
      <c r="D34" s="427"/>
      <c r="E34" s="426"/>
      <c r="F34" s="350"/>
      <c r="G34" s="350"/>
      <c r="H34" s="431">
        <f>SUMIF(I24:I32, "Primary", H24:H32)</f>
        <v>0</v>
      </c>
      <c r="I34" s="352"/>
    </row>
    <row r="35" spans="1:78" ht="14.25" customHeight="1">
      <c r="A35" s="44"/>
      <c r="B35" s="292"/>
      <c r="C35" s="344"/>
      <c r="D35" s="347"/>
      <c r="E35" s="347"/>
      <c r="F35" s="347"/>
      <c r="G35" s="347"/>
      <c r="H35" s="38"/>
      <c r="I35" s="349"/>
    </row>
    <row r="36" spans="1:78" ht="14.25" customHeight="1">
      <c r="A36" s="44"/>
      <c r="B36" s="292"/>
      <c r="C36" s="344"/>
      <c r="D36" s="347"/>
      <c r="E36" s="347"/>
      <c r="F36" s="347"/>
      <c r="G36" s="347"/>
      <c r="H36" s="38"/>
      <c r="I36" s="349"/>
    </row>
    <row r="37" spans="1:78">
      <c r="A37" s="254"/>
      <c r="B37" s="290"/>
      <c r="C37" s="261"/>
      <c r="D37" s="261"/>
      <c r="E37" s="261"/>
      <c r="F37" s="261"/>
      <c r="G37" s="261"/>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row>
    <row r="38" spans="1:78">
      <c r="A38" s="254"/>
      <c r="B38" s="303"/>
      <c r="F38" s="261"/>
      <c r="G38" s="261"/>
      <c r="H38" s="261"/>
      <c r="I38" s="261"/>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row>
    <row r="39" spans="1:78">
      <c r="A39" s="254"/>
      <c r="B39" s="292"/>
      <c r="D39" s="38"/>
      <c r="E39" s="38"/>
      <c r="F39" s="38"/>
      <c r="G39" s="38"/>
      <c r="H39" s="38"/>
      <c r="I39" s="38"/>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row>
    <row r="40" spans="1:78" ht="31.35">
      <c r="A40" s="253" t="s">
        <v>322</v>
      </c>
      <c r="B40" s="292"/>
      <c r="C40" s="38"/>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row>
    <row r="41" spans="1:78">
      <c r="A41" s="587" t="s">
        <v>258</v>
      </c>
      <c r="B41" s="587"/>
      <c r="C41" s="587"/>
      <c r="D41" s="587" t="str">
        <f>A17</f>
        <v>Asset 1</v>
      </c>
      <c r="E41" s="587"/>
      <c r="F41" s="587"/>
      <c r="G41" s="587"/>
      <c r="H41" s="587"/>
      <c r="I41" s="313"/>
      <c r="N41" s="672"/>
      <c r="O41" s="672"/>
      <c r="P41" s="672"/>
      <c r="Q41" s="672"/>
      <c r="R41" s="672"/>
      <c r="S41" s="672"/>
      <c r="T41" s="672"/>
      <c r="U41" s="672"/>
      <c r="V41" s="672"/>
      <c r="W41" s="672"/>
      <c r="X41" s="672"/>
      <c r="Y41" s="672"/>
      <c r="Z41" s="672"/>
      <c r="AA41" s="672"/>
      <c r="AB41" s="672"/>
      <c r="AC41" s="672"/>
      <c r="AD41" s="672"/>
      <c r="AE41" s="672"/>
      <c r="AF41" s="672"/>
      <c r="AG41" s="672"/>
      <c r="AH41" s="672"/>
      <c r="AI41" s="672"/>
      <c r="AJ41" s="672"/>
      <c r="AK41" s="672"/>
      <c r="AL41" s="672"/>
      <c r="AM41" s="672"/>
      <c r="AN41" s="672"/>
      <c r="AO41" s="672"/>
      <c r="AP41" s="672"/>
      <c r="AQ41" s="672"/>
      <c r="AR41" s="672"/>
      <c r="AS41" s="672"/>
      <c r="AT41" s="672"/>
      <c r="AU41" s="672"/>
      <c r="AV41" s="672"/>
      <c r="AW41" s="672"/>
      <c r="AX41" s="672"/>
      <c r="AY41" s="672"/>
      <c r="AZ41" s="672"/>
      <c r="BA41" s="672"/>
      <c r="BB41" s="672"/>
      <c r="BC41" s="672"/>
      <c r="BD41" s="672"/>
      <c r="BE41" s="672"/>
      <c r="BF41" s="672"/>
      <c r="BG41" s="672"/>
      <c r="BH41" s="672"/>
      <c r="BI41" s="672"/>
      <c r="BJ41" s="672"/>
      <c r="BK41" s="672"/>
      <c r="BL41" s="672"/>
      <c r="BM41" s="672"/>
      <c r="BN41" s="672"/>
      <c r="BO41" s="672"/>
      <c r="BP41" s="672"/>
      <c r="BQ41" s="672"/>
      <c r="BR41" s="672"/>
      <c r="BS41" s="672"/>
      <c r="BT41" s="672"/>
      <c r="BU41" s="672"/>
      <c r="BV41" s="672"/>
      <c r="BW41" s="672"/>
      <c r="BX41" s="672"/>
      <c r="BY41" s="672"/>
      <c r="BZ41" s="672"/>
    </row>
    <row r="42" spans="1:78" ht="29.45">
      <c r="A42" s="283" t="s">
        <v>259</v>
      </c>
      <c r="B42" s="294" t="s">
        <v>30</v>
      </c>
      <c r="C42" s="284" t="s">
        <v>260</v>
      </c>
      <c r="D42" s="285" t="s">
        <v>261</v>
      </c>
      <c r="E42" s="282" t="s">
        <v>32</v>
      </c>
      <c r="F42" s="282" t="s">
        <v>262</v>
      </c>
      <c r="G42" s="282" t="s">
        <v>263</v>
      </c>
      <c r="H42" s="284" t="s">
        <v>264</v>
      </c>
      <c r="I42" s="309" t="s">
        <v>265</v>
      </c>
    </row>
    <row r="43" spans="1:78">
      <c r="A43" s="265"/>
      <c r="B43" s="295"/>
      <c r="C43" s="267"/>
      <c r="D43" s="268"/>
      <c r="E43" s="266"/>
      <c r="F43" s="266"/>
      <c r="G43" s="266"/>
      <c r="H43" s="267"/>
    </row>
    <row r="44" spans="1:78">
      <c r="A44" s="591" t="s">
        <v>282</v>
      </c>
      <c r="B44" s="592"/>
      <c r="C44" s="593"/>
      <c r="D44" s="269"/>
      <c r="E44" s="269"/>
      <c r="F44" s="269"/>
      <c r="G44" s="269"/>
      <c r="H44" s="453">
        <f>SUM(H45:H53)</f>
        <v>0</v>
      </c>
    </row>
    <row r="45" spans="1:78">
      <c r="A45" s="270" t="s">
        <v>46</v>
      </c>
      <c r="B45" s="292" t="s">
        <v>44</v>
      </c>
      <c r="C45" s="278">
        <f>'Default EF'!G14</f>
        <v>2.6426992500000002</v>
      </c>
      <c r="D45" s="374"/>
      <c r="E45" s="374"/>
      <c r="F45" s="272" t="s">
        <v>45</v>
      </c>
      <c r="G45" s="421"/>
      <c r="H45" s="428">
        <f>IF(F45='Reference (hide)'!$A$1, (D45-E45)*$C45, (D45-E45)*G45)</f>
        <v>0</v>
      </c>
      <c r="I45" s="310" t="s">
        <v>269</v>
      </c>
    </row>
    <row r="46" spans="1:78">
      <c r="A46" s="270" t="s">
        <v>47</v>
      </c>
      <c r="B46" s="292" t="s">
        <v>44</v>
      </c>
      <c r="C46" s="278">
        <f>'Default EF'!G16</f>
        <v>2.4581595000000003</v>
      </c>
      <c r="D46" s="374"/>
      <c r="E46" s="374"/>
      <c r="F46" s="272" t="s">
        <v>45</v>
      </c>
      <c r="G46" s="421"/>
      <c r="H46" s="428">
        <f>IF(F46='Reference (hide)'!$A$1, (D46-E46)*$C46, (D46-E46)*G46)</f>
        <v>0</v>
      </c>
      <c r="I46" s="310" t="s">
        <v>269</v>
      </c>
    </row>
    <row r="47" spans="1:78">
      <c r="A47" s="270" t="s">
        <v>48</v>
      </c>
      <c r="B47" s="292" t="s">
        <v>44</v>
      </c>
      <c r="C47" s="278">
        <f>'Default EF'!G17</f>
        <v>1.8290947499999997</v>
      </c>
      <c r="D47" s="374"/>
      <c r="E47" s="374"/>
      <c r="F47" s="272" t="s">
        <v>45</v>
      </c>
      <c r="G47" s="421"/>
      <c r="H47" s="428">
        <f>IF(F47='Reference (hide)'!$A$1, (D47-E47)*$C47, (D47-E47)*G47)</f>
        <v>0</v>
      </c>
      <c r="I47" s="310" t="s">
        <v>269</v>
      </c>
    </row>
    <row r="48" spans="1:78">
      <c r="A48" s="270" t="s">
        <v>49</v>
      </c>
      <c r="B48" s="292" t="s">
        <v>44</v>
      </c>
      <c r="C48" s="278">
        <f>'Default EF'!G18</f>
        <v>1.2099622500000002</v>
      </c>
      <c r="D48" s="374"/>
      <c r="E48" s="374"/>
      <c r="F48" s="272" t="s">
        <v>45</v>
      </c>
      <c r="G48" s="421"/>
      <c r="H48" s="428">
        <f>IF(F48='Reference (hide)'!$A$1, (D48-E48)*$C48, (D48-E48)*G48)</f>
        <v>0</v>
      </c>
      <c r="I48" s="310" t="s">
        <v>269</v>
      </c>
    </row>
    <row r="49" spans="1:9">
      <c r="A49" s="270" t="s">
        <v>283</v>
      </c>
      <c r="B49" s="292" t="s">
        <v>275</v>
      </c>
      <c r="C49" s="271">
        <f>'Default EF'!G19</f>
        <v>2.9487799999999998E-3</v>
      </c>
      <c r="D49" s="374"/>
      <c r="E49" s="374"/>
      <c r="F49" s="272" t="s">
        <v>45</v>
      </c>
      <c r="G49" s="421"/>
      <c r="H49" s="428">
        <f>IF(F49='Reference (hide)'!$A$1, (D49-E49)*$C49, (D49-E49)*G49)</f>
        <v>0</v>
      </c>
      <c r="I49" s="310" t="s">
        <v>269</v>
      </c>
    </row>
    <row r="50" spans="1:9">
      <c r="A50" s="270" t="s">
        <v>284</v>
      </c>
      <c r="B50" s="292" t="s">
        <v>275</v>
      </c>
      <c r="C50" s="271">
        <f>'Default EF'!G20</f>
        <v>2.6854800000000001E-3</v>
      </c>
      <c r="D50" s="374"/>
      <c r="E50" s="374"/>
      <c r="F50" s="272" t="s">
        <v>45</v>
      </c>
      <c r="G50" s="421"/>
      <c r="H50" s="428">
        <f>IF(F50='Reference (hide)'!$A$1, (D50-E50)*$C50, (D50-E50)*G50)</f>
        <v>0</v>
      </c>
      <c r="I50" s="310" t="s">
        <v>269</v>
      </c>
    </row>
    <row r="51" spans="1:9">
      <c r="A51" s="270" t="s">
        <v>53</v>
      </c>
      <c r="B51" s="292" t="s">
        <v>275</v>
      </c>
      <c r="C51" s="271">
        <f>'Default EF'!G21</f>
        <v>1.6159529430000001E-3</v>
      </c>
      <c r="D51" s="374"/>
      <c r="E51" s="374"/>
      <c r="F51" s="272" t="s">
        <v>45</v>
      </c>
      <c r="G51" s="421"/>
      <c r="H51" s="428">
        <f>IF(F51='Reference (hide)'!$A$1, (D51-E51)*$C51, (D51-E51)*G51)</f>
        <v>0</v>
      </c>
      <c r="I51" s="310" t="s">
        <v>269</v>
      </c>
    </row>
    <row r="52" spans="1:9">
      <c r="A52" s="270" t="s">
        <v>285</v>
      </c>
      <c r="B52" s="292" t="s">
        <v>277</v>
      </c>
      <c r="C52" s="271">
        <f>'Default EF'!G22</f>
        <v>2.2102717812691286E-3</v>
      </c>
      <c r="D52" s="374"/>
      <c r="E52" s="374"/>
      <c r="F52" s="272" t="s">
        <v>45</v>
      </c>
      <c r="G52" s="421"/>
      <c r="H52" s="428">
        <f>IF(F52='Reference (hide)'!$A$1, (D52-E52)*$C52, (D52-E52)*G52)</f>
        <v>0</v>
      </c>
      <c r="I52" s="310" t="s">
        <v>269</v>
      </c>
    </row>
    <row r="53" spans="1:9">
      <c r="A53" s="270" t="s">
        <v>285</v>
      </c>
      <c r="B53" s="292" t="s">
        <v>279</v>
      </c>
      <c r="C53" s="252">
        <f>'Default EF'!G23</f>
        <v>5.8470000000000001E-2</v>
      </c>
      <c r="D53" s="374"/>
      <c r="E53" s="374"/>
      <c r="F53" s="272" t="s">
        <v>45</v>
      </c>
      <c r="G53" s="421"/>
      <c r="H53" s="428">
        <f>IF(F53='Reference (hide)'!$A$1, (D53-E53)*$C53, (D53-E53)*G53)</f>
        <v>0</v>
      </c>
      <c r="I53" s="310" t="s">
        <v>269</v>
      </c>
    </row>
    <row r="54" spans="1:9">
      <c r="A54" s="120"/>
      <c r="B54" s="296"/>
      <c r="C54" s="250"/>
      <c r="D54" s="296"/>
      <c r="E54" s="296"/>
      <c r="F54" s="249"/>
      <c r="G54" s="432"/>
      <c r="H54" s="444"/>
      <c r="I54" s="311"/>
    </row>
    <row r="55" spans="1:9">
      <c r="A55" s="591" t="s">
        <v>286</v>
      </c>
      <c r="B55" s="591"/>
      <c r="C55" s="591"/>
      <c r="D55" s="324"/>
      <c r="E55" s="305"/>
      <c r="F55" s="260"/>
      <c r="G55" s="414"/>
      <c r="H55" s="413">
        <f>SUM(H56:H64)</f>
        <v>0</v>
      </c>
      <c r="I55" s="311"/>
    </row>
    <row r="56" spans="1:9">
      <c r="A56" s="270" t="s">
        <v>287</v>
      </c>
      <c r="B56" s="292" t="s">
        <v>44</v>
      </c>
      <c r="C56" s="278">
        <f>'Default EF'!J14</f>
        <v>0.39248999999999995</v>
      </c>
      <c r="D56" s="375">
        <f t="shared" ref="D56:E58" si="0">D45</f>
        <v>0</v>
      </c>
      <c r="E56" s="375">
        <f t="shared" si="0"/>
        <v>0</v>
      </c>
      <c r="F56" s="272" t="s">
        <v>45</v>
      </c>
      <c r="G56" s="421"/>
      <c r="H56" s="428">
        <f>IF(F56='Reference (hide)'!$A$1, (D56-E56)*$C56, (D56-E56)*G56)</f>
        <v>0</v>
      </c>
      <c r="I56" s="310" t="s">
        <v>267</v>
      </c>
    </row>
    <row r="57" spans="1:9">
      <c r="A57" s="270" t="s">
        <v>288</v>
      </c>
      <c r="B57" s="292" t="s">
        <v>44</v>
      </c>
      <c r="C57" s="278">
        <f>'Default EF'!J16</f>
        <v>0.37925999999999999</v>
      </c>
      <c r="D57" s="375">
        <f t="shared" si="0"/>
        <v>0</v>
      </c>
      <c r="E57" s="375">
        <f t="shared" si="0"/>
        <v>0</v>
      </c>
      <c r="F57" s="272" t="s">
        <v>45</v>
      </c>
      <c r="G57" s="421"/>
      <c r="H57" s="428">
        <f>IF(F57='Reference (hide)'!$A$1, (D57-E57)*$C57, (D57-E57)*G57)</f>
        <v>0</v>
      </c>
      <c r="I57" s="310"/>
    </row>
    <row r="58" spans="1:9">
      <c r="A58" s="270" t="s">
        <v>289</v>
      </c>
      <c r="B58" s="292" t="s">
        <v>44</v>
      </c>
      <c r="C58" s="278">
        <f>'Default EF'!J17</f>
        <v>0.27782999999999997</v>
      </c>
      <c r="D58" s="375">
        <f t="shared" si="0"/>
        <v>0</v>
      </c>
      <c r="E58" s="375">
        <f t="shared" si="0"/>
        <v>0</v>
      </c>
      <c r="F58" s="272" t="s">
        <v>45</v>
      </c>
      <c r="G58" s="421"/>
      <c r="H58" s="428">
        <f>IF(F58='Reference (hide)'!$A$1, (D58-E58)*$C58, (D58-E58)*G58)</f>
        <v>0</v>
      </c>
      <c r="I58" s="310"/>
    </row>
    <row r="59" spans="1:9">
      <c r="A59" s="270" t="s">
        <v>290</v>
      </c>
      <c r="B59" s="292" t="s">
        <v>44</v>
      </c>
      <c r="C59" s="278">
        <f>'Default EF'!J18</f>
        <v>0.17493</v>
      </c>
      <c r="D59" s="375">
        <f>D48</f>
        <v>0</v>
      </c>
      <c r="E59" s="375">
        <f>E48</f>
        <v>0</v>
      </c>
      <c r="F59" s="272" t="s">
        <v>45</v>
      </c>
      <c r="G59" s="421"/>
      <c r="H59" s="428">
        <f>IF(F59='Reference (hide)'!$A$1, (D59-E59)*$C59, (D59-E59)*G59)</f>
        <v>0</v>
      </c>
      <c r="I59" s="310"/>
    </row>
    <row r="60" spans="1:9">
      <c r="A60" s="270" t="s">
        <v>291</v>
      </c>
      <c r="B60" s="292" t="s">
        <v>275</v>
      </c>
      <c r="C60" s="271">
        <f>'Default EF'!J19</f>
        <v>4.2533119999999989E-4</v>
      </c>
      <c r="D60" s="375">
        <f t="shared" ref="D60:D61" si="1">D49</f>
        <v>0</v>
      </c>
      <c r="E60" s="375">
        <f>E50</f>
        <v>0</v>
      </c>
      <c r="F60" s="272" t="s">
        <v>45</v>
      </c>
      <c r="G60" s="421"/>
      <c r="H60" s="428">
        <f>IF(F60='Reference (hide)'!$A$1, (D60-E60)*$C60, (D60-E60)*G60)</f>
        <v>0</v>
      </c>
      <c r="I60" s="310"/>
    </row>
    <row r="61" spans="1:9">
      <c r="A61" s="270" t="s">
        <v>292</v>
      </c>
      <c r="B61" s="292" t="s">
        <v>275</v>
      </c>
      <c r="C61" s="271">
        <f>'Default EF'!J20</f>
        <v>5.9092319999999989E-4</v>
      </c>
      <c r="D61" s="375">
        <f t="shared" si="1"/>
        <v>0</v>
      </c>
      <c r="E61" s="375">
        <f>E49</f>
        <v>0</v>
      </c>
      <c r="F61" s="272" t="s">
        <v>45</v>
      </c>
      <c r="G61" s="421"/>
      <c r="H61" s="428">
        <f>IF(F61='Reference (hide)'!$A$1, (D61-E61)*$C61, (D61-E61)*G61)</f>
        <v>0</v>
      </c>
      <c r="I61" s="310"/>
    </row>
    <row r="62" spans="1:9">
      <c r="A62" s="270" t="s">
        <v>293</v>
      </c>
      <c r="B62" s="292" t="s">
        <v>275</v>
      </c>
      <c r="C62" s="271">
        <f>'Default EF'!J21</f>
        <v>1.7956026000000001E-4</v>
      </c>
      <c r="D62" s="375">
        <f t="shared" ref="D62:E64" si="2">D51</f>
        <v>0</v>
      </c>
      <c r="E62" s="375">
        <f t="shared" si="2"/>
        <v>0</v>
      </c>
      <c r="F62" s="272" t="s">
        <v>45</v>
      </c>
      <c r="G62" s="421"/>
      <c r="H62" s="428">
        <f>IF(F62='Reference (hide)'!$A$1, (D62-E62)*$C62, (D62-E62)*G62)</f>
        <v>0</v>
      </c>
      <c r="I62" s="310"/>
    </row>
    <row r="63" spans="1:9">
      <c r="A63" s="270" t="s">
        <v>294</v>
      </c>
      <c r="B63" s="292" t="s">
        <v>277</v>
      </c>
      <c r="C63" s="271">
        <f>'Default EF'!J22</f>
        <v>3.2887573964497034E-4</v>
      </c>
      <c r="D63" s="375">
        <f t="shared" si="2"/>
        <v>0</v>
      </c>
      <c r="E63" s="375">
        <f t="shared" si="2"/>
        <v>0</v>
      </c>
      <c r="F63" s="272" t="s">
        <v>45</v>
      </c>
      <c r="G63" s="421"/>
      <c r="H63" s="428">
        <f>IF(F63='Reference (hide)'!$A$1, (D63-E63)*$C63, (D63-E63)*G63)</f>
        <v>0</v>
      </c>
      <c r="I63" s="310"/>
    </row>
    <row r="64" spans="1:9">
      <c r="A64" s="270" t="s">
        <v>294</v>
      </c>
      <c r="B64" s="292" t="s">
        <v>279</v>
      </c>
      <c r="C64" s="271">
        <f>'Default EF'!J23</f>
        <v>8.6999999999999994E-3</v>
      </c>
      <c r="D64" s="375">
        <f t="shared" si="2"/>
        <v>0</v>
      </c>
      <c r="E64" s="375">
        <f t="shared" si="2"/>
        <v>0</v>
      </c>
      <c r="F64" s="272" t="s">
        <v>45</v>
      </c>
      <c r="G64" s="421"/>
      <c r="H64" s="428">
        <f>IF(F64='Reference (hide)'!$A$1, (D64-E64)*$C64, (D64-E64)*G64)</f>
        <v>0</v>
      </c>
      <c r="I64" s="310"/>
    </row>
    <row r="65" spans="1:78">
      <c r="A65" s="273"/>
      <c r="B65" s="296"/>
      <c r="C65" s="250"/>
      <c r="D65" s="376"/>
      <c r="E65" s="296"/>
      <c r="F65" s="249"/>
      <c r="G65" s="432"/>
      <c r="H65" s="444"/>
      <c r="I65" s="311"/>
    </row>
    <row r="66" spans="1:78" ht="14.45" customHeight="1">
      <c r="A66" s="591" t="s">
        <v>295</v>
      </c>
      <c r="B66" s="591"/>
      <c r="C66" s="591"/>
      <c r="D66" s="377"/>
      <c r="E66" s="304"/>
      <c r="F66" s="269"/>
      <c r="G66" s="433"/>
      <c r="H66" s="445">
        <f>SUM(H67:H69)</f>
        <v>0</v>
      </c>
      <c r="I66" s="311"/>
    </row>
    <row r="67" spans="1:78" ht="14.45" customHeight="1">
      <c r="A67" s="270" t="s">
        <v>296</v>
      </c>
      <c r="B67" s="292" t="s">
        <v>44</v>
      </c>
      <c r="C67" s="278">
        <f>'Default EF'!G57</f>
        <v>0.11</v>
      </c>
      <c r="D67" s="374"/>
      <c r="E67" s="374"/>
      <c r="F67" s="272" t="s">
        <v>45</v>
      </c>
      <c r="G67" s="421"/>
      <c r="H67" s="428">
        <f>IF(F67='Reference (hide)'!$A$1, (D67-E67)*$C67, (D67-E67)*G67)</f>
        <v>0</v>
      </c>
      <c r="I67" s="310"/>
    </row>
    <row r="68" spans="1:78" ht="14.45" customHeight="1">
      <c r="A68" s="270" t="s">
        <v>297</v>
      </c>
      <c r="B68" s="292" t="s">
        <v>44</v>
      </c>
      <c r="C68" s="278">
        <f>'Default EF'!G58</f>
        <v>0.36</v>
      </c>
      <c r="D68" s="374"/>
      <c r="E68" s="374"/>
      <c r="F68" s="272" t="s">
        <v>45</v>
      </c>
      <c r="G68" s="421"/>
      <c r="H68" s="428">
        <f>IF(F68='Reference (hide)'!$A$1, (D68-E68)*$C68, (D68-E68)*G68)</f>
        <v>0</v>
      </c>
      <c r="I68" s="310"/>
    </row>
    <row r="69" spans="1:78">
      <c r="A69" s="270" t="s">
        <v>285</v>
      </c>
      <c r="B69" s="292" t="s">
        <v>277</v>
      </c>
      <c r="C69" s="271">
        <f>'Default EF'!G59</f>
        <v>3.2000000000000003E-4</v>
      </c>
      <c r="D69" s="374"/>
      <c r="E69" s="374"/>
      <c r="F69" s="272" t="s">
        <v>45</v>
      </c>
      <c r="G69" s="421"/>
      <c r="H69" s="428">
        <f>IF(F69='Reference (hide)'!$A$1, (D69-E69)*$C69, (D69-E69)*G69)</f>
        <v>0</v>
      </c>
      <c r="I69" s="310"/>
    </row>
    <row r="70" spans="1:78">
      <c r="A70" s="270"/>
      <c r="B70" s="292"/>
      <c r="C70" s="247"/>
      <c r="D70" s="378"/>
      <c r="E70" s="292"/>
      <c r="F70" s="38"/>
      <c r="G70" s="434"/>
      <c r="H70" s="428"/>
      <c r="I70" s="311"/>
    </row>
    <row r="71" spans="1:78" s="254" customFormat="1">
      <c r="A71" s="591" t="s">
        <v>298</v>
      </c>
      <c r="B71" s="592"/>
      <c r="C71" s="593"/>
      <c r="D71" s="305"/>
      <c r="E71" s="305"/>
      <c r="F71" s="260"/>
      <c r="G71" s="414"/>
      <c r="H71" s="413">
        <f>SUM(H72:H84)</f>
        <v>0</v>
      </c>
      <c r="I71" s="31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row>
    <row r="72" spans="1:78" s="44" customFormat="1">
      <c r="A72" s="270" t="s">
        <v>299</v>
      </c>
      <c r="B72" s="292" t="s">
        <v>86</v>
      </c>
      <c r="C72" s="247">
        <f>'Default EF'!G64</f>
        <v>0.82</v>
      </c>
      <c r="D72" s="374"/>
      <c r="E72" s="374"/>
      <c r="F72" s="272" t="s">
        <v>45</v>
      </c>
      <c r="G72" s="421"/>
      <c r="H72" s="428">
        <f>IF(F72='Reference (hide)'!$A$1, (D72-E72)*$C72, (D72-E72)*G72)</f>
        <v>0</v>
      </c>
      <c r="I72" s="310"/>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1:78" s="44" customFormat="1">
      <c r="A73" s="270" t="s">
        <v>285</v>
      </c>
      <c r="B73" s="292" t="s">
        <v>86</v>
      </c>
      <c r="C73" s="247">
        <f>'Default EF'!G65</f>
        <v>0.49</v>
      </c>
      <c r="D73" s="374"/>
      <c r="E73" s="374"/>
      <c r="F73" s="272" t="s">
        <v>45</v>
      </c>
      <c r="G73" s="421"/>
      <c r="H73" s="428">
        <f>IF(F73='Reference (hide)'!$A$1, (D73-E73)*$C73, (D73-E73)*G73)</f>
        <v>0</v>
      </c>
      <c r="I73" s="310"/>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1:78" s="44" customFormat="1">
      <c r="A74" s="270" t="s">
        <v>300</v>
      </c>
      <c r="B74" s="292" t="s">
        <v>86</v>
      </c>
      <c r="C74" s="247">
        <f>'Default EF'!G66</f>
        <v>0.73299999999999998</v>
      </c>
      <c r="D74" s="374"/>
      <c r="E74" s="374"/>
      <c r="F74" s="272" t="s">
        <v>45</v>
      </c>
      <c r="G74" s="421"/>
      <c r="H74" s="428">
        <f>IF(F74='Reference (hide)'!$A$1, (D74-E74)*$C74, (D74-E74)*G74)</f>
        <v>0</v>
      </c>
      <c r="I74" s="310"/>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1:78" s="44" customFormat="1">
      <c r="A75" s="270" t="s">
        <v>301</v>
      </c>
      <c r="B75" s="292" t="s">
        <v>86</v>
      </c>
      <c r="C75" s="247">
        <f>'Default EF'!G67</f>
        <v>0.65500000000000003</v>
      </c>
      <c r="D75" s="374"/>
      <c r="E75" s="374"/>
      <c r="F75" s="272" t="s">
        <v>45</v>
      </c>
      <c r="G75" s="421"/>
      <c r="H75" s="428">
        <f>IF(F75='Reference (hide)'!$A$1, (D75-E75)*$C75, (D75-E75)*G75)</f>
        <v>0</v>
      </c>
      <c r="I75" s="310"/>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1:78" s="44" customFormat="1">
      <c r="A76" s="270" t="s">
        <v>302</v>
      </c>
      <c r="B76" s="292" t="s">
        <v>86</v>
      </c>
      <c r="C76" s="247">
        <f>'Default EF'!G68</f>
        <v>1.2E-2</v>
      </c>
      <c r="D76" s="374"/>
      <c r="E76" s="374"/>
      <c r="F76" s="272" t="s">
        <v>45</v>
      </c>
      <c r="G76" s="421"/>
      <c r="H76" s="428">
        <f>IF(F76='Reference (hide)'!$A$1, (D76-E76)*$C76, (D76-E76)*G76)</f>
        <v>0</v>
      </c>
      <c r="I76" s="310"/>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1:78" s="44" customFormat="1">
      <c r="A77" s="270" t="s">
        <v>303</v>
      </c>
      <c r="B77" s="292" t="s">
        <v>86</v>
      </c>
      <c r="C77" s="247">
        <f>'Default EF'!G69</f>
        <v>2.4E-2</v>
      </c>
      <c r="D77" s="374"/>
      <c r="E77" s="374"/>
      <c r="F77" s="272" t="s">
        <v>45</v>
      </c>
      <c r="G77" s="421"/>
      <c r="H77" s="428">
        <f>IF(F77='Reference (hide)'!$A$1, (D77-E77)*$C77, (D77-E77)*G77)</f>
        <v>0</v>
      </c>
      <c r="I77" s="310"/>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1:78" s="44" customFormat="1">
      <c r="A78" s="270" t="s">
        <v>304</v>
      </c>
      <c r="B78" s="292" t="s">
        <v>86</v>
      </c>
      <c r="C78" s="247">
        <f>'Default EF'!G70</f>
        <v>1.0999999999999999E-2</v>
      </c>
      <c r="D78" s="374"/>
      <c r="E78" s="374"/>
      <c r="F78" s="272" t="s">
        <v>45</v>
      </c>
      <c r="G78" s="421"/>
      <c r="H78" s="428">
        <f>IF(F78='Reference (hide)'!$A$1, (D78-E78)*$C78, (D78-E78)*G78)</f>
        <v>0</v>
      </c>
      <c r="I78" s="310"/>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1:78" s="44" customFormat="1">
      <c r="A79" s="270" t="s">
        <v>305</v>
      </c>
      <c r="B79" s="292" t="s">
        <v>86</v>
      </c>
      <c r="C79" s="247">
        <f>'Default EF'!G71</f>
        <v>4.8000000000000001E-2</v>
      </c>
      <c r="D79" s="374"/>
      <c r="E79" s="374"/>
      <c r="F79" s="272" t="s">
        <v>45</v>
      </c>
      <c r="G79" s="421"/>
      <c r="H79" s="428">
        <f>IF(F79='Reference (hide)'!$A$1, (D79-E79)*$C79, (D79-E79)*G79)</f>
        <v>0</v>
      </c>
      <c r="I79" s="310"/>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1:78" s="44" customFormat="1">
      <c r="A80" s="270" t="s">
        <v>306</v>
      </c>
      <c r="B80" s="292" t="s">
        <v>86</v>
      </c>
      <c r="C80" s="247">
        <f>'Default EF'!G72</f>
        <v>0.23</v>
      </c>
      <c r="D80" s="374"/>
      <c r="E80" s="374"/>
      <c r="F80" s="272" t="s">
        <v>45</v>
      </c>
      <c r="G80" s="421"/>
      <c r="H80" s="428">
        <f>IF(F80='Reference (hide)'!$A$1, (D80-E80)*$C80, (D80-E80)*G80)</f>
        <v>0</v>
      </c>
      <c r="I80" s="31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s="44" customFormat="1">
      <c r="A81" s="270" t="s">
        <v>307</v>
      </c>
      <c r="B81" s="292" t="s">
        <v>86</v>
      </c>
      <c r="C81" s="247">
        <f>'Default EF'!G73</f>
        <v>6.4200000000000007E-2</v>
      </c>
      <c r="D81" s="374"/>
      <c r="E81" s="374"/>
      <c r="F81" s="272" t="s">
        <v>45</v>
      </c>
      <c r="G81" s="421"/>
      <c r="H81" s="428">
        <f>IF(F81='Reference (hide)'!$A$1, (D81-E81)*$C81, (D81-E81)*G81)</f>
        <v>0</v>
      </c>
      <c r="I81" s="310"/>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1:78" s="44" customFormat="1">
      <c r="A82" s="507" t="s">
        <v>308</v>
      </c>
      <c r="B82" s="292" t="s">
        <v>86</v>
      </c>
      <c r="C82" s="247"/>
      <c r="D82" s="374"/>
      <c r="E82" s="374"/>
      <c r="F82" s="272"/>
      <c r="G82" s="421"/>
      <c r="H82" s="428"/>
      <c r="I82" s="310"/>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1:78" s="44" customFormat="1" ht="29.45">
      <c r="A83" s="507" t="s">
        <v>309</v>
      </c>
      <c r="B83" s="292" t="s">
        <v>86</v>
      </c>
      <c r="C83" s="247"/>
      <c r="D83" s="374"/>
      <c r="E83" s="374"/>
      <c r="F83" s="272" t="s">
        <v>45</v>
      </c>
      <c r="G83" s="421"/>
      <c r="H83" s="428">
        <f>IF(F83='Reference (hide)'!$A$1, (D83-E83)*$C83, (D83-E83)*G83)</f>
        <v>0</v>
      </c>
      <c r="I83" s="310" t="s">
        <v>267</v>
      </c>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1:78">
      <c r="A84" s="507" t="s">
        <v>310</v>
      </c>
      <c r="B84" s="292" t="s">
        <v>86</v>
      </c>
      <c r="C84" s="250"/>
      <c r="D84" s="374"/>
      <c r="E84" s="374"/>
      <c r="F84" s="272" t="s">
        <v>45</v>
      </c>
      <c r="G84" s="421"/>
      <c r="H84" s="428">
        <f>IF(F84='Reference (hide)'!$A$1, (D84-E84)*$C84, (D84-E84)*G84)</f>
        <v>0</v>
      </c>
      <c r="I84" s="310" t="s">
        <v>267</v>
      </c>
    </row>
    <row r="85" spans="1:78" ht="32.25" customHeight="1">
      <c r="A85" s="594" t="s">
        <v>311</v>
      </c>
      <c r="B85" s="595"/>
      <c r="C85" s="596"/>
      <c r="D85" s="379" t="s">
        <v>256</v>
      </c>
      <c r="E85" s="442" t="s">
        <v>256</v>
      </c>
      <c r="F85" s="276" t="s">
        <v>256</v>
      </c>
      <c r="G85" s="435" t="s">
        <v>256</v>
      </c>
      <c r="H85" s="446">
        <f>SUM(H44,H55,H66,H71)</f>
        <v>0</v>
      </c>
      <c r="I85" s="312"/>
    </row>
    <row r="86" spans="1:78">
      <c r="A86" s="588" t="s">
        <v>323</v>
      </c>
      <c r="B86" s="589"/>
      <c r="C86" s="590"/>
      <c r="D86" s="380"/>
      <c r="E86" s="443"/>
      <c r="F86" s="301"/>
      <c r="G86" s="436"/>
      <c r="H86" s="447">
        <f>SUM(SUMIF(I45:I53, "Primary", H45:H53), SUMIF(I56:I64, "Primary", H56:H64), SUMIF(I67:I69, "Primary", H67:H69), SUMIF(I72:I83, "Primary", H72:H83))</f>
        <v>0</v>
      </c>
    </row>
    <row r="87" spans="1:78">
      <c r="G87" s="452"/>
      <c r="H87" s="452"/>
    </row>
  </sheetData>
  <mergeCells count="46">
    <mergeCell ref="A71:C71"/>
    <mergeCell ref="A85:C85"/>
    <mergeCell ref="A86:C86"/>
    <mergeCell ref="BL41:BP41"/>
    <mergeCell ref="BQ41:BU41"/>
    <mergeCell ref="BV41:BZ41"/>
    <mergeCell ref="A44:C44"/>
    <mergeCell ref="A55:C55"/>
    <mergeCell ref="A66:C66"/>
    <mergeCell ref="AH41:AL41"/>
    <mergeCell ref="AM41:AQ41"/>
    <mergeCell ref="AR41:AV41"/>
    <mergeCell ref="AW41:BA41"/>
    <mergeCell ref="BB41:BF41"/>
    <mergeCell ref="BG41:BK41"/>
    <mergeCell ref="BL22:BP22"/>
    <mergeCell ref="BQ22:BU22"/>
    <mergeCell ref="BV22:BZ22"/>
    <mergeCell ref="A34:C34"/>
    <mergeCell ref="A41:C41"/>
    <mergeCell ref="D41:H41"/>
    <mergeCell ref="N41:R41"/>
    <mergeCell ref="S41:W41"/>
    <mergeCell ref="X41:AB41"/>
    <mergeCell ref="AC41:AG41"/>
    <mergeCell ref="AH22:AL22"/>
    <mergeCell ref="AM22:AQ22"/>
    <mergeCell ref="AR22:AV22"/>
    <mergeCell ref="AW22:BA22"/>
    <mergeCell ref="BB22:BF22"/>
    <mergeCell ref="BG22:BK22"/>
    <mergeCell ref="AC22:AG22"/>
    <mergeCell ref="A1:J3"/>
    <mergeCell ref="A4:J11"/>
    <mergeCell ref="A15:A16"/>
    <mergeCell ref="B15:B16"/>
    <mergeCell ref="C15:D15"/>
    <mergeCell ref="E15:F15"/>
    <mergeCell ref="G15:G16"/>
    <mergeCell ref="H15:H16"/>
    <mergeCell ref="I15:I16"/>
    <mergeCell ref="A22:C22"/>
    <mergeCell ref="D22:H22"/>
    <mergeCell ref="N22:R22"/>
    <mergeCell ref="S22:W22"/>
    <mergeCell ref="X22:AB22"/>
  </mergeCells>
  <phoneticPr fontId="24"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856AE67-4E97-4510-B14A-1CC663EA40FA}">
          <x14:formula1>
            <xm:f>'Reference (hide)'!$A$1:$A$2</xm:f>
          </x14:formula1>
          <xm:sqref>F45:F53 F56:F64 F67:F69 F72:F84 F24:F36</xm:sqref>
        </x14:dataValidation>
        <x14:dataValidation type="list" allowBlank="1" showInputMessage="1" showErrorMessage="1" xr:uid="{6C3AB9F7-DA20-43F7-B3EF-806095F5F305}">
          <x14:formula1>
            <xm:f>'Reference (hide)'!$D$1:$D$2</xm:f>
          </x14:formula1>
          <xm:sqref>I45:I53 I56:I64 I67:I69 I72:I84 I24:I32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B959-77F3-4ED2-AE1E-702C3F985E7C}">
  <sheetPr>
    <tabColor rgb="FF00B0F0"/>
  </sheetPr>
  <dimension ref="A1:BZ105"/>
  <sheetViews>
    <sheetView topLeftCell="A68" workbookViewId="0">
      <selection activeCell="K84" sqref="K84"/>
    </sheetView>
  </sheetViews>
  <sheetFormatPr defaultColWidth="8.85546875" defaultRowHeight="14.85"/>
  <cols>
    <col min="1" max="1" width="37.28515625" customWidth="1"/>
    <col min="2" max="2" width="14.42578125" style="297" customWidth="1"/>
    <col min="3" max="3" width="24.85546875" customWidth="1"/>
    <col min="4" max="6" width="14.42578125" customWidth="1"/>
    <col min="7" max="7" width="18.42578125" customWidth="1"/>
    <col min="8" max="8" width="17.42578125" customWidth="1"/>
    <col min="9" max="78" width="14.42578125" customWidth="1"/>
    <col min="79" max="97" width="13.85546875" customWidth="1"/>
  </cols>
  <sheetData>
    <row r="1" spans="1:78">
      <c r="A1" s="597" t="s">
        <v>324</v>
      </c>
      <c r="B1" s="597"/>
      <c r="C1" s="597"/>
      <c r="D1" s="597"/>
      <c r="E1" s="597"/>
      <c r="F1" s="597"/>
      <c r="G1" s="597"/>
      <c r="H1" s="597"/>
      <c r="I1" s="597"/>
      <c r="J1" s="597"/>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row>
    <row r="2" spans="1:78">
      <c r="A2" s="597"/>
      <c r="B2" s="597"/>
      <c r="C2" s="597"/>
      <c r="D2" s="597"/>
      <c r="E2" s="597"/>
      <c r="F2" s="597"/>
      <c r="G2" s="597"/>
      <c r="H2" s="597"/>
      <c r="I2" s="597"/>
      <c r="J2" s="597"/>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c r="A3" s="597"/>
      <c r="B3" s="597"/>
      <c r="C3" s="597"/>
      <c r="D3" s="597"/>
      <c r="E3" s="597"/>
      <c r="F3" s="597"/>
      <c r="G3" s="597"/>
      <c r="H3" s="597"/>
      <c r="I3" s="597"/>
      <c r="J3" s="597"/>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c r="A4" s="567" t="s">
        <v>325</v>
      </c>
      <c r="B4" s="568"/>
      <c r="C4" s="568"/>
      <c r="D4" s="568"/>
      <c r="E4" s="568"/>
      <c r="F4" s="568"/>
      <c r="G4" s="568"/>
      <c r="H4" s="568"/>
      <c r="I4" s="568"/>
      <c r="J4" s="569"/>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c r="A5" s="570"/>
      <c r="B5" s="571"/>
      <c r="C5" s="571"/>
      <c r="D5" s="571"/>
      <c r="E5" s="571"/>
      <c r="F5" s="571"/>
      <c r="G5" s="571"/>
      <c r="H5" s="571"/>
      <c r="I5" s="571"/>
      <c r="J5" s="572"/>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row>
    <row r="6" spans="1:78">
      <c r="A6" s="570"/>
      <c r="B6" s="571"/>
      <c r="C6" s="571"/>
      <c r="D6" s="571"/>
      <c r="E6" s="571"/>
      <c r="F6" s="571"/>
      <c r="G6" s="571"/>
      <c r="H6" s="571"/>
      <c r="I6" s="571"/>
      <c r="J6" s="572"/>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row>
    <row r="7" spans="1:78">
      <c r="A7" s="570"/>
      <c r="B7" s="571"/>
      <c r="C7" s="571"/>
      <c r="D7" s="571"/>
      <c r="E7" s="571"/>
      <c r="F7" s="571"/>
      <c r="G7" s="571"/>
      <c r="H7" s="571"/>
      <c r="I7" s="571"/>
      <c r="J7" s="572"/>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row>
    <row r="8" spans="1:78">
      <c r="A8" s="570"/>
      <c r="B8" s="571"/>
      <c r="C8" s="571"/>
      <c r="D8" s="571"/>
      <c r="E8" s="571"/>
      <c r="F8" s="571"/>
      <c r="G8" s="571"/>
      <c r="H8" s="571"/>
      <c r="I8" s="571"/>
      <c r="J8" s="572"/>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row>
    <row r="9" spans="1:78">
      <c r="A9" s="570"/>
      <c r="B9" s="571"/>
      <c r="C9" s="571"/>
      <c r="D9" s="571"/>
      <c r="E9" s="571"/>
      <c r="F9" s="571"/>
      <c r="G9" s="571"/>
      <c r="H9" s="571"/>
      <c r="I9" s="571"/>
      <c r="J9" s="572"/>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row>
    <row r="10" spans="1:78">
      <c r="A10" s="570"/>
      <c r="B10" s="571"/>
      <c r="C10" s="571"/>
      <c r="D10" s="571"/>
      <c r="E10" s="571"/>
      <c r="F10" s="571"/>
      <c r="G10" s="571"/>
      <c r="H10" s="571"/>
      <c r="I10" s="571"/>
      <c r="J10" s="572"/>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row>
    <row r="11" spans="1:78">
      <c r="A11" s="573"/>
      <c r="B11" s="574"/>
      <c r="C11" s="574"/>
      <c r="D11" s="574"/>
      <c r="E11" s="574"/>
      <c r="F11" s="574"/>
      <c r="G11" s="574"/>
      <c r="H11" s="574"/>
      <c r="I11" s="574"/>
      <c r="J11" s="575"/>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row>
    <row r="12" spans="1:78">
      <c r="A12" s="119"/>
      <c r="B12" s="286"/>
      <c r="C12" s="119"/>
      <c r="D12" s="119"/>
      <c r="E12" s="119"/>
      <c r="F12" s="119"/>
      <c r="G12" s="119"/>
      <c r="H12" s="119"/>
      <c r="I12" s="119"/>
      <c r="J12" s="119"/>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row>
    <row r="13" spans="1:78">
      <c r="A13" s="119"/>
      <c r="B13" s="286"/>
      <c r="C13" s="119"/>
      <c r="D13" s="119"/>
      <c r="E13" s="119"/>
      <c r="F13" s="119"/>
      <c r="G13" s="119"/>
      <c r="H13" s="119"/>
      <c r="I13" s="119"/>
      <c r="J13" s="119"/>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1:78" ht="31.35">
      <c r="A14" s="253" t="s">
        <v>326</v>
      </c>
      <c r="B14" s="287"/>
      <c r="C14" s="120"/>
      <c r="D14" s="120"/>
      <c r="E14" s="120"/>
      <c r="F14" s="120"/>
      <c r="G14" s="120"/>
      <c r="H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1:78">
      <c r="A15" s="598" t="s">
        <v>246</v>
      </c>
      <c r="B15" s="600" t="s">
        <v>247</v>
      </c>
      <c r="C15" s="602" t="s">
        <v>327</v>
      </c>
      <c r="D15" s="603"/>
      <c r="E15" s="602" t="s">
        <v>249</v>
      </c>
      <c r="F15" s="602"/>
      <c r="G15" s="604" t="s">
        <v>328</v>
      </c>
      <c r="H15" s="605" t="s">
        <v>251</v>
      </c>
      <c r="I15" s="606" t="s">
        <v>252</v>
      </c>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row>
    <row r="16" spans="1:78" ht="30.75" customHeight="1">
      <c r="A16" s="599"/>
      <c r="B16" s="601"/>
      <c r="C16" s="355" t="s">
        <v>253</v>
      </c>
      <c r="D16" s="356" t="s">
        <v>254</v>
      </c>
      <c r="E16" s="357" t="s">
        <v>255</v>
      </c>
      <c r="F16" s="356" t="s">
        <v>254</v>
      </c>
      <c r="G16" s="604"/>
      <c r="H16" s="605"/>
      <c r="I16" s="606"/>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row>
    <row r="17" spans="1:78">
      <c r="A17" s="255" t="s">
        <v>0</v>
      </c>
      <c r="B17" s="256">
        <v>1</v>
      </c>
      <c r="C17" s="386"/>
      <c r="D17" s="391">
        <f>$B17*C17</f>
        <v>0</v>
      </c>
      <c r="E17" s="321">
        <f>H86+H34+H104</f>
        <v>0</v>
      </c>
      <c r="F17" s="387">
        <f>$B17*E17</f>
        <v>0</v>
      </c>
      <c r="G17" s="419" t="str">
        <f>IFERROR(E17/C17, "-")</f>
        <v>-</v>
      </c>
      <c r="H17" s="393">
        <f>H87+H35+H105</f>
        <v>0</v>
      </c>
      <c r="I17" s="320" t="e">
        <f>H17/E17</f>
        <v>#DIV/0!</v>
      </c>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row>
    <row r="18" spans="1:78">
      <c r="A18" s="258" t="s">
        <v>255</v>
      </c>
      <c r="B18" s="289"/>
      <c r="C18" s="324" t="s">
        <v>256</v>
      </c>
      <c r="D18" s="289">
        <f>SUM(D17:D17)</f>
        <v>0</v>
      </c>
      <c r="E18" s="305" t="s">
        <v>256</v>
      </c>
      <c r="F18" s="305">
        <f>SUM(F17:F17)</f>
        <v>0</v>
      </c>
      <c r="G18" s="420" t="str">
        <f>IFERROR(E18/C18, "-")</f>
        <v>-</v>
      </c>
      <c r="H18" s="376"/>
      <c r="I18" s="249"/>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row>
    <row r="19" spans="1:78">
      <c r="A19" s="254"/>
      <c r="B19" s="290"/>
      <c r="C19" s="261"/>
      <c r="D19" s="261"/>
      <c r="E19" s="261"/>
      <c r="F19" s="261"/>
      <c r="G19" s="261"/>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row>
    <row r="20" spans="1:78">
      <c r="A20" s="254"/>
      <c r="B20" s="290"/>
      <c r="C20" s="261"/>
      <c r="D20" s="261"/>
      <c r="E20" s="261"/>
      <c r="F20" s="261"/>
      <c r="G20" s="261"/>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row>
    <row r="21" spans="1:78">
      <c r="A21" s="254"/>
      <c r="B21" s="291"/>
      <c r="C21" s="261"/>
      <c r="D21" s="307"/>
      <c r="E21" s="308"/>
      <c r="F21" s="261"/>
      <c r="G21" s="261"/>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row>
    <row r="22" spans="1:78" ht="31.35">
      <c r="A22" s="253" t="s">
        <v>257</v>
      </c>
      <c r="B22" s="292"/>
      <c r="C22" s="38"/>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row>
    <row r="23" spans="1:78">
      <c r="A23" s="607" t="s">
        <v>258</v>
      </c>
      <c r="B23" s="607"/>
      <c r="C23" s="607"/>
      <c r="D23" s="607" t="s">
        <v>0</v>
      </c>
      <c r="E23" s="607"/>
      <c r="F23" s="607"/>
      <c r="G23" s="607"/>
      <c r="H23" s="607"/>
      <c r="I23" s="358"/>
      <c r="N23" s="672"/>
      <c r="O23" s="672"/>
      <c r="P23" s="672"/>
      <c r="Q23" s="672"/>
      <c r="R23" s="672"/>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672"/>
      <c r="AP23" s="672"/>
      <c r="AQ23" s="672"/>
      <c r="AR23" s="672"/>
      <c r="AS23" s="672"/>
      <c r="AT23" s="672"/>
      <c r="AU23" s="672"/>
      <c r="AV23" s="672"/>
      <c r="AW23" s="672"/>
      <c r="AX23" s="672"/>
      <c r="AY23" s="672"/>
      <c r="AZ23" s="672"/>
      <c r="BA23" s="672"/>
      <c r="BB23" s="672"/>
      <c r="BC23" s="672"/>
      <c r="BD23" s="672"/>
      <c r="BE23" s="672"/>
      <c r="BF23" s="672"/>
      <c r="BG23" s="672"/>
      <c r="BH23" s="672"/>
      <c r="BI23" s="672"/>
      <c r="BJ23" s="672"/>
      <c r="BK23" s="672"/>
      <c r="BL23" s="672"/>
      <c r="BM23" s="672"/>
      <c r="BN23" s="672"/>
      <c r="BO23" s="672"/>
      <c r="BP23" s="672"/>
      <c r="BQ23" s="672"/>
      <c r="BR23" s="672"/>
      <c r="BS23" s="672"/>
      <c r="BT23" s="672"/>
      <c r="BU23" s="672"/>
      <c r="BV23" s="672"/>
      <c r="BW23" s="672"/>
      <c r="BX23" s="672"/>
      <c r="BY23" s="672"/>
      <c r="BZ23" s="672"/>
    </row>
    <row r="24" spans="1:78" ht="29.45">
      <c r="A24" s="359" t="s">
        <v>259</v>
      </c>
      <c r="B24" s="360" t="s">
        <v>30</v>
      </c>
      <c r="C24" s="361" t="s">
        <v>260</v>
      </c>
      <c r="D24" s="362" t="s">
        <v>261</v>
      </c>
      <c r="E24" s="363" t="s">
        <v>32</v>
      </c>
      <c r="F24" s="363" t="s">
        <v>262</v>
      </c>
      <c r="G24" s="363" t="s">
        <v>263</v>
      </c>
      <c r="H24" s="361" t="s">
        <v>264</v>
      </c>
      <c r="I24" s="354" t="s">
        <v>265</v>
      </c>
    </row>
    <row r="25" spans="1:78">
      <c r="A25" s="270" t="s">
        <v>329</v>
      </c>
      <c r="B25" s="292" t="s">
        <v>44</v>
      </c>
      <c r="C25" s="278">
        <f>'Default EF'!J41</f>
        <v>1.88</v>
      </c>
      <c r="D25" s="374"/>
      <c r="E25" s="374"/>
      <c r="F25" s="272" t="s">
        <v>45</v>
      </c>
      <c r="G25" s="272"/>
      <c r="H25" s="428">
        <f>IF(F25='Reference (hide)'!$A$1, (D25-E25)*$C25, (D25-E25)*G25)</f>
        <v>0</v>
      </c>
      <c r="I25" s="310" t="s">
        <v>269</v>
      </c>
    </row>
    <row r="26" spans="1:78">
      <c r="A26" s="270" t="s">
        <v>330</v>
      </c>
      <c r="B26" s="292" t="s">
        <v>44</v>
      </c>
      <c r="C26" s="278">
        <f>'Default EF'!J32</f>
        <v>2.62</v>
      </c>
      <c r="D26" s="374"/>
      <c r="E26" s="374"/>
      <c r="F26" s="272" t="s">
        <v>45</v>
      </c>
      <c r="G26" s="272"/>
      <c r="H26" s="428">
        <f>IF(F26='Reference (hide)'!$A$1, (D26-E26)*$C26, (D26-E26)*G26)</f>
        <v>0</v>
      </c>
      <c r="I26" s="310" t="s">
        <v>269</v>
      </c>
    </row>
    <row r="27" spans="1:78">
      <c r="A27" s="270" t="s">
        <v>331</v>
      </c>
      <c r="B27" s="292" t="s">
        <v>44</v>
      </c>
      <c r="C27" s="278">
        <f>'Default EF'!J35</f>
        <v>1.89</v>
      </c>
      <c r="D27" s="374"/>
      <c r="E27" s="374"/>
      <c r="F27" s="272" t="s">
        <v>45</v>
      </c>
      <c r="G27" s="272"/>
      <c r="H27" s="428">
        <f>IF(F27='Reference (hide)'!$A$1, (D27-E27)*$C27, (D27-E27)*G27)</f>
        <v>0</v>
      </c>
      <c r="I27" s="310" t="s">
        <v>269</v>
      </c>
    </row>
    <row r="28" spans="1:78">
      <c r="A28" s="270" t="s">
        <v>271</v>
      </c>
      <c r="B28" s="292" t="s">
        <v>44</v>
      </c>
      <c r="C28" s="271"/>
      <c r="D28" s="374"/>
      <c r="E28" s="374"/>
      <c r="F28" s="272" t="s">
        <v>45</v>
      </c>
      <c r="G28" s="272"/>
      <c r="H28" s="428">
        <f>IF(F28='Reference (hide)'!$A$1, (D28-E28)*$C28, (D28-E28)*G28)</f>
        <v>0</v>
      </c>
      <c r="I28" s="310" t="s">
        <v>269</v>
      </c>
    </row>
    <row r="29" spans="1:78">
      <c r="A29" s="270" t="s">
        <v>272</v>
      </c>
      <c r="B29" s="292" t="s">
        <v>44</v>
      </c>
      <c r="C29" s="271"/>
      <c r="D29" s="374"/>
      <c r="E29" s="374"/>
      <c r="F29" s="272" t="s">
        <v>45</v>
      </c>
      <c r="G29" s="272"/>
      <c r="H29" s="428">
        <f>IF(F29='Reference (hide)'!$A$1, (D29-E29)*$C29, (D29-E29)*G29)</f>
        <v>0</v>
      </c>
      <c r="I29" s="310" t="s">
        <v>269</v>
      </c>
    </row>
    <row r="30" spans="1:78">
      <c r="A30" s="270" t="s">
        <v>273</v>
      </c>
      <c r="B30" s="292" t="s">
        <v>44</v>
      </c>
      <c r="C30" s="271"/>
      <c r="D30" s="374"/>
      <c r="E30" s="374"/>
      <c r="F30" s="272" t="s">
        <v>45</v>
      </c>
      <c r="G30" s="272"/>
      <c r="H30" s="428">
        <f>IF(F30='Reference (hide)'!$A$1, (D30-E30)*$C30, (D30-E30)*G30)</f>
        <v>0</v>
      </c>
      <c r="I30" s="310" t="s">
        <v>269</v>
      </c>
    </row>
    <row r="31" spans="1:78">
      <c r="A31" s="270" t="s">
        <v>274</v>
      </c>
      <c r="B31" s="292" t="s">
        <v>275</v>
      </c>
      <c r="C31" s="271"/>
      <c r="D31" s="374"/>
      <c r="E31" s="374"/>
      <c r="F31" s="272" t="s">
        <v>45</v>
      </c>
      <c r="G31" s="272"/>
      <c r="H31" s="428">
        <f>IF(F31='Reference (hide)'!$A$1, (D31-E31)*$C31, (D31-E31)*G31)</f>
        <v>0</v>
      </c>
      <c r="I31" s="310" t="s">
        <v>269</v>
      </c>
    </row>
    <row r="32" spans="1:78">
      <c r="A32" s="270" t="s">
        <v>276</v>
      </c>
      <c r="B32" s="292" t="s">
        <v>277</v>
      </c>
      <c r="C32" s="271"/>
      <c r="D32" s="374"/>
      <c r="E32" s="374"/>
      <c r="F32" s="272" t="s">
        <v>45</v>
      </c>
      <c r="G32" s="272"/>
      <c r="H32" s="428">
        <f>IF(F32='Reference (hide)'!$A$1, (D32-E32)*$C32, (D32-E32)*G32)</f>
        <v>0</v>
      </c>
      <c r="I32" s="310" t="s">
        <v>269</v>
      </c>
    </row>
    <row r="33" spans="1:78">
      <c r="A33" s="270" t="s">
        <v>278</v>
      </c>
      <c r="B33" s="292" t="s">
        <v>279</v>
      </c>
      <c r="C33" s="252"/>
      <c r="D33" s="425"/>
      <c r="E33" s="425"/>
      <c r="F33" s="316" t="s">
        <v>45</v>
      </c>
      <c r="G33" s="316"/>
      <c r="H33" s="428">
        <f>IF(F33='Reference (hide)'!$A$1, (D33-E33)*$C33, (D33-E33)*G33)</f>
        <v>0</v>
      </c>
      <c r="I33" s="348" t="s">
        <v>269</v>
      </c>
    </row>
    <row r="34" spans="1:78" ht="14.25" customHeight="1">
      <c r="A34" s="318" t="s">
        <v>255</v>
      </c>
      <c r="B34" s="305"/>
      <c r="C34" s="301"/>
      <c r="D34" s="426"/>
      <c r="E34" s="426"/>
      <c r="F34" s="350"/>
      <c r="G34" s="350"/>
      <c r="H34" s="429">
        <f>SUM(H25:H33)</f>
        <v>0</v>
      </c>
      <c r="I34" s="352"/>
    </row>
    <row r="35" spans="1:78" ht="14.25" customHeight="1">
      <c r="A35" s="588" t="s">
        <v>280</v>
      </c>
      <c r="B35" s="589"/>
      <c r="C35" s="590"/>
      <c r="D35" s="427"/>
      <c r="E35" s="426"/>
      <c r="F35" s="350"/>
      <c r="G35" s="350"/>
      <c r="H35" s="429">
        <f>SUMIF(I25:I33, "Primary", H25:H33)</f>
        <v>0</v>
      </c>
      <c r="I35" s="352"/>
    </row>
    <row r="36" spans="1:78" ht="14.25" customHeight="1">
      <c r="A36" s="44"/>
      <c r="B36" s="292"/>
      <c r="C36" s="344"/>
      <c r="D36" s="347"/>
      <c r="E36" s="347"/>
      <c r="F36" s="347"/>
      <c r="G36" s="347"/>
      <c r="H36" s="38"/>
      <c r="I36" s="349"/>
    </row>
    <row r="37" spans="1:78" ht="14.25" customHeight="1">
      <c r="A37" s="44"/>
      <c r="B37" s="292"/>
      <c r="C37" s="344"/>
      <c r="D37" s="347"/>
      <c r="E37" s="347"/>
      <c r="F37" s="347"/>
      <c r="G37" s="347"/>
      <c r="H37" s="38"/>
      <c r="I37" s="349"/>
    </row>
    <row r="38" spans="1:78">
      <c r="A38" s="254"/>
      <c r="B38" s="290"/>
      <c r="C38" s="261"/>
      <c r="D38" s="261"/>
      <c r="E38" s="261"/>
      <c r="F38" s="261"/>
      <c r="G38" s="261"/>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row>
    <row r="39" spans="1:78">
      <c r="A39" s="254"/>
      <c r="B39" s="303"/>
      <c r="F39" s="261"/>
      <c r="G39" s="261"/>
      <c r="H39" s="261"/>
      <c r="I39" s="261"/>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row>
    <row r="40" spans="1:78">
      <c r="A40" s="254"/>
      <c r="B40" s="292"/>
      <c r="D40" s="38"/>
      <c r="E40" s="38"/>
      <c r="F40" s="38"/>
      <c r="G40" s="38"/>
      <c r="H40" s="38"/>
      <c r="I40" s="38"/>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row>
    <row r="41" spans="1:78" ht="31.35">
      <c r="A41" s="253" t="s">
        <v>332</v>
      </c>
      <c r="B41" s="292"/>
      <c r="C41" s="38"/>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row>
    <row r="42" spans="1:78">
      <c r="A42" s="607" t="s">
        <v>258</v>
      </c>
      <c r="B42" s="607"/>
      <c r="C42" s="607"/>
      <c r="D42" s="607" t="str">
        <f>A17</f>
        <v>Asset 1</v>
      </c>
      <c r="E42" s="607"/>
      <c r="F42" s="607"/>
      <c r="G42" s="607"/>
      <c r="H42" s="607"/>
      <c r="I42" s="358"/>
      <c r="N42" s="672"/>
      <c r="O42" s="672"/>
      <c r="P42" s="672"/>
      <c r="Q42" s="672"/>
      <c r="R42" s="672"/>
      <c r="S42" s="672"/>
      <c r="T42" s="672"/>
      <c r="U42" s="672"/>
      <c r="V42" s="672"/>
      <c r="W42" s="672"/>
      <c r="X42" s="672"/>
      <c r="Y42" s="672"/>
      <c r="Z42" s="672"/>
      <c r="AA42" s="672"/>
      <c r="AB42" s="672"/>
      <c r="AC42" s="672"/>
      <c r="AD42" s="672"/>
      <c r="AE42" s="672"/>
      <c r="AF42" s="672"/>
      <c r="AG42" s="672"/>
      <c r="AH42" s="672"/>
      <c r="AI42" s="672"/>
      <c r="AJ42" s="672"/>
      <c r="AK42" s="672"/>
      <c r="AL42" s="672"/>
      <c r="AM42" s="672"/>
      <c r="AN42" s="672"/>
      <c r="AO42" s="672"/>
      <c r="AP42" s="672"/>
      <c r="AQ42" s="672"/>
      <c r="AR42" s="672"/>
      <c r="AS42" s="672"/>
      <c r="AT42" s="672"/>
      <c r="AU42" s="672"/>
      <c r="AV42" s="672"/>
      <c r="AW42" s="672"/>
      <c r="AX42" s="672"/>
      <c r="AY42" s="672"/>
      <c r="AZ42" s="672"/>
      <c r="BA42" s="672"/>
      <c r="BB42" s="672"/>
      <c r="BC42" s="672"/>
      <c r="BD42" s="672"/>
      <c r="BE42" s="672"/>
      <c r="BF42" s="672"/>
      <c r="BG42" s="672"/>
      <c r="BH42" s="672"/>
      <c r="BI42" s="672"/>
      <c r="BJ42" s="672"/>
      <c r="BK42" s="672"/>
      <c r="BL42" s="672"/>
      <c r="BM42" s="672"/>
      <c r="BN42" s="672"/>
      <c r="BO42" s="672"/>
      <c r="BP42" s="672"/>
      <c r="BQ42" s="672"/>
      <c r="BR42" s="672"/>
      <c r="BS42" s="672"/>
      <c r="BT42" s="672"/>
      <c r="BU42" s="672"/>
      <c r="BV42" s="672"/>
      <c r="BW42" s="672"/>
      <c r="BX42" s="672"/>
      <c r="BY42" s="672"/>
      <c r="BZ42" s="672"/>
    </row>
    <row r="43" spans="1:78" ht="29.45">
      <c r="A43" s="359" t="s">
        <v>259</v>
      </c>
      <c r="B43" s="360" t="s">
        <v>30</v>
      </c>
      <c r="C43" s="361" t="s">
        <v>260</v>
      </c>
      <c r="D43" s="362" t="s">
        <v>261</v>
      </c>
      <c r="E43" s="363" t="s">
        <v>32</v>
      </c>
      <c r="F43" s="363" t="s">
        <v>262</v>
      </c>
      <c r="G43" s="363" t="s">
        <v>263</v>
      </c>
      <c r="H43" s="361" t="s">
        <v>264</v>
      </c>
      <c r="I43" s="354" t="s">
        <v>265</v>
      </c>
    </row>
    <row r="44" spans="1:78">
      <c r="A44" s="265"/>
      <c r="B44" s="295"/>
      <c r="C44" s="267"/>
      <c r="D44" s="268"/>
      <c r="E44" s="266"/>
      <c r="F44" s="266"/>
      <c r="G44" s="266"/>
      <c r="H44" s="267"/>
    </row>
    <row r="45" spans="1:78">
      <c r="A45" s="591" t="s">
        <v>282</v>
      </c>
      <c r="B45" s="592"/>
      <c r="C45" s="593"/>
      <c r="D45" s="269"/>
      <c r="E45" s="269"/>
      <c r="F45" s="269"/>
      <c r="G45" s="433"/>
      <c r="H45" s="445">
        <f>SUM(H46:H54)</f>
        <v>0</v>
      </c>
    </row>
    <row r="46" spans="1:78">
      <c r="A46" s="270" t="s">
        <v>46</v>
      </c>
      <c r="B46" s="292" t="s">
        <v>44</v>
      </c>
      <c r="C46" s="278">
        <f>'Default EF'!G14</f>
        <v>2.6426992500000002</v>
      </c>
      <c r="D46" s="374"/>
      <c r="E46" s="374"/>
      <c r="F46" s="272" t="s">
        <v>45</v>
      </c>
      <c r="G46" s="421"/>
      <c r="H46" s="428">
        <f>IF(F46='Reference (hide)'!$A$1, (D46-E46)*$C46, (D46-E46)*G46)</f>
        <v>0</v>
      </c>
      <c r="I46" s="310" t="s">
        <v>269</v>
      </c>
    </row>
    <row r="47" spans="1:78">
      <c r="A47" s="270" t="s">
        <v>47</v>
      </c>
      <c r="B47" s="292" t="s">
        <v>44</v>
      </c>
      <c r="C47" s="278">
        <f>'Default EF'!G16</f>
        <v>2.4581595000000003</v>
      </c>
      <c r="D47" s="374"/>
      <c r="E47" s="374"/>
      <c r="F47" s="272" t="s">
        <v>45</v>
      </c>
      <c r="G47" s="421"/>
      <c r="H47" s="428">
        <f>IF(F47='Reference (hide)'!$A$1, (D47-E47)*$C47, (D47-E47)*G47)</f>
        <v>0</v>
      </c>
      <c r="I47" s="310" t="s">
        <v>269</v>
      </c>
    </row>
    <row r="48" spans="1:78">
      <c r="A48" s="270" t="s">
        <v>48</v>
      </c>
      <c r="B48" s="292" t="s">
        <v>44</v>
      </c>
      <c r="C48" s="278">
        <f>'Default EF'!G17</f>
        <v>1.8290947499999997</v>
      </c>
      <c r="D48" s="374"/>
      <c r="E48" s="374"/>
      <c r="F48" s="272" t="s">
        <v>45</v>
      </c>
      <c r="G48" s="421"/>
      <c r="H48" s="428">
        <f>IF(F48='Reference (hide)'!$A$1, (D48-E48)*$C48, (D48-E48)*G48)</f>
        <v>0</v>
      </c>
      <c r="I48" s="310" t="s">
        <v>269</v>
      </c>
    </row>
    <row r="49" spans="1:9">
      <c r="A49" s="270" t="s">
        <v>49</v>
      </c>
      <c r="B49" s="292" t="s">
        <v>44</v>
      </c>
      <c r="C49" s="278">
        <f>'Default EF'!G18</f>
        <v>1.2099622500000002</v>
      </c>
      <c r="D49" s="374"/>
      <c r="E49" s="374"/>
      <c r="F49" s="272" t="s">
        <v>45</v>
      </c>
      <c r="G49" s="421"/>
      <c r="H49" s="428">
        <f>IF(F49='Reference (hide)'!$A$1, (D49-E49)*$C49, (D49-E49)*G49)</f>
        <v>0</v>
      </c>
      <c r="I49" s="310" t="s">
        <v>269</v>
      </c>
    </row>
    <row r="50" spans="1:9">
      <c r="A50" s="270" t="s">
        <v>283</v>
      </c>
      <c r="B50" s="292" t="s">
        <v>275</v>
      </c>
      <c r="C50" s="271">
        <f>'Default EF'!G19</f>
        <v>2.9487799999999998E-3</v>
      </c>
      <c r="D50" s="374"/>
      <c r="E50" s="374"/>
      <c r="F50" s="272" t="s">
        <v>45</v>
      </c>
      <c r="G50" s="421"/>
      <c r="H50" s="428">
        <f>IF(F50='Reference (hide)'!$A$1, (D50-E50)*$C50, (D50-E50)*G50)</f>
        <v>0</v>
      </c>
      <c r="I50" s="310" t="s">
        <v>269</v>
      </c>
    </row>
    <row r="51" spans="1:9">
      <c r="A51" s="270" t="s">
        <v>284</v>
      </c>
      <c r="B51" s="292" t="s">
        <v>275</v>
      </c>
      <c r="C51" s="271">
        <f>'Default EF'!G20</f>
        <v>2.6854800000000001E-3</v>
      </c>
      <c r="D51" s="374"/>
      <c r="E51" s="374"/>
      <c r="F51" s="272" t="s">
        <v>45</v>
      </c>
      <c r="G51" s="421"/>
      <c r="H51" s="428">
        <f>IF(F51='Reference (hide)'!$A$1, (D51-E51)*$C51, (D51-E51)*G51)</f>
        <v>0</v>
      </c>
      <c r="I51" s="310" t="s">
        <v>269</v>
      </c>
    </row>
    <row r="52" spans="1:9">
      <c r="A52" s="270" t="s">
        <v>53</v>
      </c>
      <c r="B52" s="292" t="s">
        <v>275</v>
      </c>
      <c r="C52" s="271">
        <f>'Default EF'!G21</f>
        <v>1.6159529430000001E-3</v>
      </c>
      <c r="D52" s="374"/>
      <c r="E52" s="374"/>
      <c r="F52" s="272" t="s">
        <v>45</v>
      </c>
      <c r="G52" s="421"/>
      <c r="H52" s="428">
        <f>IF(F52='Reference (hide)'!$A$1, (D52-E52)*$C52, (D52-E52)*G52)</f>
        <v>0</v>
      </c>
      <c r="I52" s="310" t="s">
        <v>269</v>
      </c>
    </row>
    <row r="53" spans="1:9">
      <c r="A53" s="270" t="s">
        <v>285</v>
      </c>
      <c r="B53" s="292" t="s">
        <v>277</v>
      </c>
      <c r="C53" s="271">
        <f>'Default EF'!G22</f>
        <v>2.2102717812691286E-3</v>
      </c>
      <c r="D53" s="374"/>
      <c r="E53" s="374"/>
      <c r="F53" s="272" t="s">
        <v>45</v>
      </c>
      <c r="G53" s="421"/>
      <c r="H53" s="428">
        <f>IF(F53='Reference (hide)'!$A$1, (D53-E53)*$C53, (D53-E53)*G53)</f>
        <v>0</v>
      </c>
      <c r="I53" s="310" t="s">
        <v>269</v>
      </c>
    </row>
    <row r="54" spans="1:9">
      <c r="A54" s="270" t="s">
        <v>285</v>
      </c>
      <c r="B54" s="292" t="s">
        <v>279</v>
      </c>
      <c r="C54" s="252">
        <f>'Default EF'!G23</f>
        <v>5.8470000000000001E-2</v>
      </c>
      <c r="D54" s="374"/>
      <c r="E54" s="374"/>
      <c r="F54" s="272" t="s">
        <v>45</v>
      </c>
      <c r="G54" s="421"/>
      <c r="H54" s="428">
        <f>IF(F54='Reference (hide)'!$A$1, (D54-E54)*$C54, (D54-E54)*G54)</f>
        <v>0</v>
      </c>
      <c r="I54" s="310" t="s">
        <v>269</v>
      </c>
    </row>
    <row r="55" spans="1:9">
      <c r="A55" s="120"/>
      <c r="B55" s="296"/>
      <c r="C55" s="250"/>
      <c r="D55" s="249"/>
      <c r="E55" s="249"/>
      <c r="F55" s="249"/>
      <c r="G55" s="432"/>
      <c r="H55" s="444"/>
      <c r="I55" s="311"/>
    </row>
    <row r="56" spans="1:9">
      <c r="A56" s="591" t="s">
        <v>286</v>
      </c>
      <c r="B56" s="591"/>
      <c r="C56" s="591"/>
      <c r="D56" s="259"/>
      <c r="E56" s="260"/>
      <c r="F56" s="260"/>
      <c r="G56" s="414"/>
      <c r="H56" s="413">
        <f>SUM(H57:H65)</f>
        <v>0</v>
      </c>
      <c r="I56" s="311"/>
    </row>
    <row r="57" spans="1:9">
      <c r="A57" s="270" t="s">
        <v>287</v>
      </c>
      <c r="B57" s="292" t="s">
        <v>44</v>
      </c>
      <c r="C57" s="278">
        <f>'Default EF'!J14</f>
        <v>0.39248999999999995</v>
      </c>
      <c r="D57" s="375">
        <f t="shared" ref="D57:E59" si="0">D46</f>
        <v>0</v>
      </c>
      <c r="E57" s="375">
        <f t="shared" si="0"/>
        <v>0</v>
      </c>
      <c r="F57" s="272" t="s">
        <v>45</v>
      </c>
      <c r="G57" s="421"/>
      <c r="H57" s="428">
        <f>IF(F57='Reference (hide)'!$A$1, (D57-E57)*$C57, (D57-E57)*G57)</f>
        <v>0</v>
      </c>
      <c r="I57" s="310" t="s">
        <v>267</v>
      </c>
    </row>
    <row r="58" spans="1:9">
      <c r="A58" s="270" t="s">
        <v>288</v>
      </c>
      <c r="B58" s="292" t="s">
        <v>44</v>
      </c>
      <c r="C58" s="278">
        <f>'Default EF'!J16</f>
        <v>0.37925999999999999</v>
      </c>
      <c r="D58" s="375">
        <f t="shared" si="0"/>
        <v>0</v>
      </c>
      <c r="E58" s="375">
        <f t="shared" si="0"/>
        <v>0</v>
      </c>
      <c r="F58" s="272" t="s">
        <v>45</v>
      </c>
      <c r="G58" s="421"/>
      <c r="H58" s="428">
        <f>IF(F58='Reference (hide)'!$A$1, (D58-E58)*$C58, (D58-E58)*G58)</f>
        <v>0</v>
      </c>
      <c r="I58" s="310"/>
    </row>
    <row r="59" spans="1:9">
      <c r="A59" s="270" t="s">
        <v>289</v>
      </c>
      <c r="B59" s="292" t="s">
        <v>44</v>
      </c>
      <c r="C59" s="278">
        <f>'Default EF'!J17</f>
        <v>0.27782999999999997</v>
      </c>
      <c r="D59" s="375">
        <f t="shared" si="0"/>
        <v>0</v>
      </c>
      <c r="E59" s="375">
        <f t="shared" si="0"/>
        <v>0</v>
      </c>
      <c r="F59" s="272" t="s">
        <v>45</v>
      </c>
      <c r="G59" s="421"/>
      <c r="H59" s="428">
        <f>IF(F59='Reference (hide)'!$A$1, (D59-E59)*$C59, (D59-E59)*G59)</f>
        <v>0</v>
      </c>
      <c r="I59" s="310"/>
    </row>
    <row r="60" spans="1:9">
      <c r="A60" s="270" t="s">
        <v>290</v>
      </c>
      <c r="B60" s="292" t="s">
        <v>44</v>
      </c>
      <c r="C60" s="278">
        <f>'Default EF'!J18</f>
        <v>0.17493</v>
      </c>
      <c r="D60" s="375">
        <f>D49</f>
        <v>0</v>
      </c>
      <c r="E60" s="375">
        <f>E49</f>
        <v>0</v>
      </c>
      <c r="F60" s="272" t="s">
        <v>45</v>
      </c>
      <c r="G60" s="421"/>
      <c r="H60" s="428">
        <f>IF(F60='Reference (hide)'!$A$1, (D60-E60)*$C60, (D60-E60)*G60)</f>
        <v>0</v>
      </c>
      <c r="I60" s="310"/>
    </row>
    <row r="61" spans="1:9">
      <c r="A61" s="270" t="s">
        <v>291</v>
      </c>
      <c r="B61" s="292" t="s">
        <v>275</v>
      </c>
      <c r="C61" s="271">
        <f>'Default EF'!J19</f>
        <v>4.2533119999999989E-4</v>
      </c>
      <c r="D61" s="375">
        <f t="shared" ref="D61:D62" si="1">D50</f>
        <v>0</v>
      </c>
      <c r="E61" s="375">
        <f>E51</f>
        <v>0</v>
      </c>
      <c r="F61" s="272" t="s">
        <v>45</v>
      </c>
      <c r="G61" s="421"/>
      <c r="H61" s="428">
        <f>IF(F61='Reference (hide)'!$A$1, (D61-E61)*$C61, (D61-E61)*G61)</f>
        <v>0</v>
      </c>
      <c r="I61" s="310"/>
    </row>
    <row r="62" spans="1:9">
      <c r="A62" s="270" t="s">
        <v>292</v>
      </c>
      <c r="B62" s="292" t="s">
        <v>275</v>
      </c>
      <c r="C62" s="271">
        <f>'Default EF'!J20</f>
        <v>5.9092319999999989E-4</v>
      </c>
      <c r="D62" s="375">
        <f t="shared" si="1"/>
        <v>0</v>
      </c>
      <c r="E62" s="375">
        <f>E50</f>
        <v>0</v>
      </c>
      <c r="F62" s="272" t="s">
        <v>45</v>
      </c>
      <c r="G62" s="421"/>
      <c r="H62" s="428">
        <f>IF(F62='Reference (hide)'!$A$1, (D62-E62)*$C62, (D62-E62)*G62)</f>
        <v>0</v>
      </c>
      <c r="I62" s="310"/>
    </row>
    <row r="63" spans="1:9">
      <c r="A63" s="270" t="s">
        <v>293</v>
      </c>
      <c r="B63" s="292" t="s">
        <v>275</v>
      </c>
      <c r="C63" s="271">
        <f>'Default EF'!J21</f>
        <v>1.7956026000000001E-4</v>
      </c>
      <c r="D63" s="375">
        <f t="shared" ref="D63:E65" si="2">D52</f>
        <v>0</v>
      </c>
      <c r="E63" s="375">
        <f t="shared" si="2"/>
        <v>0</v>
      </c>
      <c r="F63" s="272" t="s">
        <v>45</v>
      </c>
      <c r="G63" s="421"/>
      <c r="H63" s="428">
        <f>IF(F63='Reference (hide)'!$A$1, (D63-E63)*$C63, (D63-E63)*G63)</f>
        <v>0</v>
      </c>
      <c r="I63" s="310"/>
    </row>
    <row r="64" spans="1:9">
      <c r="A64" s="270" t="s">
        <v>294</v>
      </c>
      <c r="B64" s="292" t="s">
        <v>277</v>
      </c>
      <c r="C64" s="271">
        <f>'Default EF'!J22</f>
        <v>3.2887573964497034E-4</v>
      </c>
      <c r="D64" s="375">
        <f t="shared" si="2"/>
        <v>0</v>
      </c>
      <c r="E64" s="375">
        <f t="shared" si="2"/>
        <v>0</v>
      </c>
      <c r="F64" s="272" t="s">
        <v>45</v>
      </c>
      <c r="G64" s="421"/>
      <c r="H64" s="428">
        <f>IF(F64='Reference (hide)'!$A$1, (D64-E64)*$C64, (D64-E64)*G64)</f>
        <v>0</v>
      </c>
      <c r="I64" s="310"/>
    </row>
    <row r="65" spans="1:78">
      <c r="A65" s="270" t="s">
        <v>294</v>
      </c>
      <c r="B65" s="292" t="s">
        <v>279</v>
      </c>
      <c r="C65" s="271">
        <f>'Default EF'!J23</f>
        <v>8.6999999999999994E-3</v>
      </c>
      <c r="D65" s="375">
        <f t="shared" si="2"/>
        <v>0</v>
      </c>
      <c r="E65" s="375">
        <f t="shared" si="2"/>
        <v>0</v>
      </c>
      <c r="F65" s="272" t="s">
        <v>45</v>
      </c>
      <c r="G65" s="421"/>
      <c r="H65" s="428">
        <f>IF(F65='Reference (hide)'!$A$1, (D65-E65)*$C65, (D65-E65)*G65)</f>
        <v>0</v>
      </c>
      <c r="I65" s="310"/>
    </row>
    <row r="66" spans="1:78">
      <c r="A66" s="273"/>
      <c r="B66" s="296"/>
      <c r="C66" s="250"/>
      <c r="D66" s="376"/>
      <c r="E66" s="296"/>
      <c r="F66" s="249"/>
      <c r="G66" s="432"/>
      <c r="H66" s="444"/>
      <c r="I66" s="311"/>
    </row>
    <row r="67" spans="1:78" ht="14.45" customHeight="1">
      <c r="A67" s="591" t="s">
        <v>295</v>
      </c>
      <c r="B67" s="591"/>
      <c r="C67" s="591"/>
      <c r="D67" s="377"/>
      <c r="E67" s="304"/>
      <c r="F67" s="269"/>
      <c r="G67" s="433"/>
      <c r="H67" s="445">
        <f>SUM(H68:H70)</f>
        <v>0</v>
      </c>
      <c r="I67" s="311"/>
    </row>
    <row r="68" spans="1:78" ht="14.45" customHeight="1">
      <c r="A68" s="270" t="s">
        <v>296</v>
      </c>
      <c r="B68" s="292" t="s">
        <v>44</v>
      </c>
      <c r="C68" s="278">
        <f>'Default EF'!G57</f>
        <v>0.11</v>
      </c>
      <c r="D68" s="374"/>
      <c r="E68" s="374"/>
      <c r="F68" s="272" t="s">
        <v>45</v>
      </c>
      <c r="G68" s="421"/>
      <c r="H68" s="428">
        <f>IF(F68='Reference (hide)'!$A$1, (D68-E68)*$C68, (D68-E68)*G68)</f>
        <v>0</v>
      </c>
      <c r="I68" s="310"/>
    </row>
    <row r="69" spans="1:78" ht="14.45" customHeight="1">
      <c r="A69" s="270" t="s">
        <v>297</v>
      </c>
      <c r="B69" s="292" t="s">
        <v>44</v>
      </c>
      <c r="C69" s="278">
        <f>'Default EF'!G58</f>
        <v>0.36</v>
      </c>
      <c r="D69" s="374"/>
      <c r="E69" s="374"/>
      <c r="F69" s="272" t="s">
        <v>45</v>
      </c>
      <c r="G69" s="421"/>
      <c r="H69" s="428">
        <f>IF(F69='Reference (hide)'!$A$1, (D69-E69)*$C69, (D69-E69)*G69)</f>
        <v>0</v>
      </c>
      <c r="I69" s="310"/>
    </row>
    <row r="70" spans="1:78">
      <c r="A70" s="270" t="s">
        <v>285</v>
      </c>
      <c r="B70" s="292" t="s">
        <v>277</v>
      </c>
      <c r="C70" s="271">
        <f>'Default EF'!G59</f>
        <v>3.2000000000000003E-4</v>
      </c>
      <c r="D70" s="374"/>
      <c r="E70" s="374"/>
      <c r="F70" s="272" t="s">
        <v>45</v>
      </c>
      <c r="G70" s="421"/>
      <c r="H70" s="428">
        <f>IF(F70='Reference (hide)'!$A$1, (D70-E70)*$C70, (D70-E70)*G70)</f>
        <v>0</v>
      </c>
      <c r="I70" s="310"/>
    </row>
    <row r="71" spans="1:78">
      <c r="A71" s="270"/>
      <c r="B71" s="292"/>
      <c r="C71" s="247"/>
      <c r="D71" s="378"/>
      <c r="E71" s="292"/>
      <c r="F71" s="38"/>
      <c r="G71" s="434"/>
      <c r="H71" s="428"/>
      <c r="I71" s="311"/>
    </row>
    <row r="72" spans="1:78" s="254" customFormat="1">
      <c r="A72" s="591" t="s">
        <v>298</v>
      </c>
      <c r="B72" s="592"/>
      <c r="C72" s="593"/>
      <c r="D72" s="305"/>
      <c r="E72" s="305"/>
      <c r="F72" s="260"/>
      <c r="G72" s="414"/>
      <c r="H72" s="413">
        <f>SUM(H73:H85)</f>
        <v>0</v>
      </c>
      <c r="I72" s="311"/>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1:78" s="44" customFormat="1">
      <c r="A73" s="270" t="s">
        <v>299</v>
      </c>
      <c r="B73" s="292" t="s">
        <v>86</v>
      </c>
      <c r="C73" s="247">
        <f>'Default EF'!G64</f>
        <v>0.82</v>
      </c>
      <c r="D73" s="374"/>
      <c r="E73" s="374"/>
      <c r="F73" s="272" t="s">
        <v>45</v>
      </c>
      <c r="G73" s="421"/>
      <c r="H73" s="428">
        <f>IF(F73='Reference (hide)'!$A$1, (D73-E73)*$C73, (D73-E73)*G73)</f>
        <v>0</v>
      </c>
      <c r="I73" s="310"/>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1:78" s="44" customFormat="1">
      <c r="A74" s="270" t="s">
        <v>285</v>
      </c>
      <c r="B74" s="292" t="s">
        <v>86</v>
      </c>
      <c r="C74" s="247">
        <f>'Default EF'!G65</f>
        <v>0.49</v>
      </c>
      <c r="D74" s="374"/>
      <c r="E74" s="374"/>
      <c r="F74" s="272" t="s">
        <v>45</v>
      </c>
      <c r="G74" s="421"/>
      <c r="H74" s="428">
        <f>IF(F74='Reference (hide)'!$A$1, (D74-E74)*$C74, (D74-E74)*G74)</f>
        <v>0</v>
      </c>
      <c r="I74" s="310"/>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1:78" s="44" customFormat="1">
      <c r="A75" s="270" t="s">
        <v>300</v>
      </c>
      <c r="B75" s="292" t="s">
        <v>86</v>
      </c>
      <c r="C75" s="247">
        <f>'Default EF'!G66</f>
        <v>0.73299999999999998</v>
      </c>
      <c r="D75" s="374"/>
      <c r="E75" s="374"/>
      <c r="F75" s="272" t="s">
        <v>45</v>
      </c>
      <c r="G75" s="421"/>
      <c r="H75" s="428">
        <f>IF(F75='Reference (hide)'!$A$1, (D75-E75)*$C75, (D75-E75)*G75)</f>
        <v>0</v>
      </c>
      <c r="I75" s="310"/>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1:78" s="44" customFormat="1">
      <c r="A76" s="270" t="s">
        <v>301</v>
      </c>
      <c r="B76" s="292" t="s">
        <v>86</v>
      </c>
      <c r="C76" s="247">
        <f>'Default EF'!G67</f>
        <v>0.65500000000000003</v>
      </c>
      <c r="D76" s="374"/>
      <c r="E76" s="374"/>
      <c r="F76" s="272" t="s">
        <v>45</v>
      </c>
      <c r="G76" s="421"/>
      <c r="H76" s="428">
        <f>IF(F76='Reference (hide)'!$A$1, (D76-E76)*$C76, (D76-E76)*G76)</f>
        <v>0</v>
      </c>
      <c r="I76" s="310"/>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1:78" s="44" customFormat="1">
      <c r="A77" s="270" t="s">
        <v>302</v>
      </c>
      <c r="B77" s="292" t="s">
        <v>86</v>
      </c>
      <c r="C77" s="247">
        <f>'Default EF'!G68</f>
        <v>1.2E-2</v>
      </c>
      <c r="D77" s="374"/>
      <c r="E77" s="374"/>
      <c r="F77" s="272" t="s">
        <v>45</v>
      </c>
      <c r="G77" s="421"/>
      <c r="H77" s="428">
        <f>IF(F77='Reference (hide)'!$A$1, (D77-E77)*$C77, (D77-E77)*G77)</f>
        <v>0</v>
      </c>
      <c r="I77" s="310"/>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1:78" s="44" customFormat="1">
      <c r="A78" s="270" t="s">
        <v>303</v>
      </c>
      <c r="B78" s="292" t="s">
        <v>86</v>
      </c>
      <c r="C78" s="247">
        <f>'Default EF'!G69</f>
        <v>2.4E-2</v>
      </c>
      <c r="D78" s="374"/>
      <c r="E78" s="374"/>
      <c r="F78" s="272" t="s">
        <v>45</v>
      </c>
      <c r="G78" s="421"/>
      <c r="H78" s="428">
        <f>IF(F78='Reference (hide)'!$A$1, (D78-E78)*$C78, (D78-E78)*G78)</f>
        <v>0</v>
      </c>
      <c r="I78" s="310"/>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1:78" s="44" customFormat="1">
      <c r="A79" s="270" t="s">
        <v>304</v>
      </c>
      <c r="B79" s="292" t="s">
        <v>86</v>
      </c>
      <c r="C79" s="247">
        <f>'Default EF'!G70</f>
        <v>1.0999999999999999E-2</v>
      </c>
      <c r="D79" s="374"/>
      <c r="E79" s="374"/>
      <c r="F79" s="272" t="s">
        <v>45</v>
      </c>
      <c r="G79" s="421"/>
      <c r="H79" s="428">
        <f>IF(F79='Reference (hide)'!$A$1, (D79-E79)*$C79, (D79-E79)*G79)</f>
        <v>0</v>
      </c>
      <c r="I79" s="310"/>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1:78" s="44" customFormat="1">
      <c r="A80" s="270" t="s">
        <v>305</v>
      </c>
      <c r="B80" s="292" t="s">
        <v>86</v>
      </c>
      <c r="C80" s="247">
        <f>'Default EF'!G71</f>
        <v>4.8000000000000001E-2</v>
      </c>
      <c r="D80" s="374"/>
      <c r="E80" s="374"/>
      <c r="F80" s="272" t="s">
        <v>45</v>
      </c>
      <c r="G80" s="421"/>
      <c r="H80" s="428">
        <f>IF(F80='Reference (hide)'!$A$1, (D80-E80)*$C80, (D80-E80)*G80)</f>
        <v>0</v>
      </c>
      <c r="I80" s="31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s="44" customFormat="1">
      <c r="A81" s="270" t="s">
        <v>306</v>
      </c>
      <c r="B81" s="292" t="s">
        <v>86</v>
      </c>
      <c r="C81" s="247">
        <f>'Default EF'!G72</f>
        <v>0.23</v>
      </c>
      <c r="D81" s="374"/>
      <c r="E81" s="374"/>
      <c r="F81" s="272" t="s">
        <v>45</v>
      </c>
      <c r="G81" s="421"/>
      <c r="H81" s="428">
        <f>IF(F81='Reference (hide)'!$A$1, (D81-E81)*$C81, (D81-E81)*G81)</f>
        <v>0</v>
      </c>
      <c r="I81" s="310"/>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1:78" s="44" customFormat="1">
      <c r="A82" s="270" t="s">
        <v>307</v>
      </c>
      <c r="B82" s="292" t="s">
        <v>86</v>
      </c>
      <c r="C82" s="247">
        <f>'Default EF'!G73</f>
        <v>6.4200000000000007E-2</v>
      </c>
      <c r="D82" s="374"/>
      <c r="E82" s="374"/>
      <c r="F82" s="272" t="s">
        <v>45</v>
      </c>
      <c r="G82" s="421"/>
      <c r="H82" s="428">
        <f>IF(F82='Reference (hide)'!$A$1, (D82-E82)*$C82, (D82-E82)*G82)</f>
        <v>0</v>
      </c>
      <c r="I82" s="310"/>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1:78" s="44" customFormat="1">
      <c r="A83" s="507" t="s">
        <v>308</v>
      </c>
      <c r="B83" s="292" t="s">
        <v>86</v>
      </c>
      <c r="C83" s="247"/>
      <c r="D83" s="374"/>
      <c r="E83" s="374"/>
      <c r="F83" s="272"/>
      <c r="G83" s="421"/>
      <c r="H83" s="428"/>
      <c r="I83" s="310"/>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1:78" s="44" customFormat="1" ht="29.45">
      <c r="A84" s="507" t="s">
        <v>309</v>
      </c>
      <c r="B84" s="292" t="s">
        <v>86</v>
      </c>
      <c r="C84" s="247"/>
      <c r="D84" s="374"/>
      <c r="E84" s="374"/>
      <c r="F84" s="272" t="s">
        <v>45</v>
      </c>
      <c r="G84" s="421"/>
      <c r="H84" s="428">
        <f>IF(F84='Reference (hide)'!$A$1, (D84-E84)*$C84, (D84-E84)*G84)</f>
        <v>0</v>
      </c>
      <c r="I84" s="310" t="s">
        <v>267</v>
      </c>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row>
    <row r="85" spans="1:78">
      <c r="A85" s="507" t="s">
        <v>310</v>
      </c>
      <c r="B85" s="292" t="s">
        <v>86</v>
      </c>
      <c r="C85" s="250"/>
      <c r="D85" s="374"/>
      <c r="E85" s="374"/>
      <c r="F85" s="272" t="s">
        <v>45</v>
      </c>
      <c r="G85" s="421"/>
      <c r="H85" s="428">
        <f>IF(F85='Reference (hide)'!$A$1, (D85-E85)*$C85, (D85-E85)*G85)</f>
        <v>0</v>
      </c>
      <c r="I85" s="310" t="s">
        <v>267</v>
      </c>
    </row>
    <row r="86" spans="1:78" ht="32.25" customHeight="1">
      <c r="A86" s="594" t="s">
        <v>311</v>
      </c>
      <c r="B86" s="595"/>
      <c r="C86" s="596"/>
      <c r="D86" s="275" t="s">
        <v>256</v>
      </c>
      <c r="E86" s="276" t="s">
        <v>256</v>
      </c>
      <c r="F86" s="276" t="s">
        <v>256</v>
      </c>
      <c r="G86" s="435" t="s">
        <v>256</v>
      </c>
      <c r="H86" s="446">
        <f>SUM(H45,H56,H67,H72)</f>
        <v>0</v>
      </c>
      <c r="I86" s="312"/>
    </row>
    <row r="87" spans="1:78">
      <c r="A87" s="588" t="s">
        <v>333</v>
      </c>
      <c r="B87" s="589"/>
      <c r="C87" s="590"/>
      <c r="D87" s="300"/>
      <c r="E87" s="301"/>
      <c r="F87" s="301"/>
      <c r="G87" s="436"/>
      <c r="H87" s="447">
        <f>SUM(SUMIF(I46:I54, "Primary", H46:H54), SUMIF(I57:I65, "Primary", H57:H65), SUMIF(I68:I70, "Primary", H68:H70), SUMIF(I73:I84, "Primary", H73:H84))</f>
        <v>0</v>
      </c>
    </row>
    <row r="92" spans="1:78" ht="31.35">
      <c r="A92" s="253" t="s">
        <v>334</v>
      </c>
      <c r="B92" s="292"/>
      <c r="C92" s="38"/>
      <c r="D92" s="44"/>
      <c r="E92" s="44"/>
      <c r="F92" s="44"/>
      <c r="G92" s="44"/>
      <c r="H92" s="44"/>
      <c r="I92" s="44"/>
    </row>
    <row r="93" spans="1:78">
      <c r="A93" s="607" t="s">
        <v>258</v>
      </c>
      <c r="B93" s="607"/>
      <c r="C93" s="607"/>
      <c r="D93" s="607" t="s">
        <v>0</v>
      </c>
      <c r="E93" s="607"/>
      <c r="F93" s="607"/>
      <c r="G93" s="607"/>
      <c r="H93" s="607"/>
      <c r="I93" s="358"/>
    </row>
    <row r="94" spans="1:78" ht="29.45">
      <c r="A94" s="359" t="s">
        <v>259</v>
      </c>
      <c r="B94" s="360" t="s">
        <v>30</v>
      </c>
      <c r="C94" s="361" t="s">
        <v>260</v>
      </c>
      <c r="D94" s="362" t="s">
        <v>261</v>
      </c>
      <c r="E94" s="363" t="s">
        <v>32</v>
      </c>
      <c r="F94" s="363" t="s">
        <v>262</v>
      </c>
      <c r="G94" s="363" t="s">
        <v>263</v>
      </c>
      <c r="H94" s="361" t="s">
        <v>264</v>
      </c>
      <c r="I94" s="354" t="s">
        <v>265</v>
      </c>
    </row>
    <row r="95" spans="1:78">
      <c r="A95" s="270" t="s">
        <v>266</v>
      </c>
      <c r="B95" s="292" t="s">
        <v>44</v>
      </c>
      <c r="C95" s="278"/>
      <c r="D95" s="272"/>
      <c r="E95" s="272"/>
      <c r="F95" s="272" t="s">
        <v>45</v>
      </c>
      <c r="G95" s="272"/>
      <c r="H95" s="247">
        <f>IF(F95='Reference (hide)'!$A$1, (D95-E95)*$C95, (D95-E95)*G95)</f>
        <v>0</v>
      </c>
      <c r="I95" s="310" t="s">
        <v>267</v>
      </c>
    </row>
    <row r="96" spans="1:78">
      <c r="A96" s="270" t="s">
        <v>268</v>
      </c>
      <c r="B96" s="292" t="s">
        <v>44</v>
      </c>
      <c r="C96" s="278"/>
      <c r="D96" s="272"/>
      <c r="E96" s="272"/>
      <c r="F96" s="272" t="s">
        <v>45</v>
      </c>
      <c r="G96" s="272"/>
      <c r="H96" s="247">
        <f>IF(F96='Reference (hide)'!$A$1, (D96-E96)*$C96, (D96-E96)*G96)</f>
        <v>0</v>
      </c>
      <c r="I96" s="310" t="s">
        <v>269</v>
      </c>
    </row>
    <row r="97" spans="1:9">
      <c r="A97" s="270" t="s">
        <v>270</v>
      </c>
      <c r="B97" s="292" t="s">
        <v>44</v>
      </c>
      <c r="C97" s="278"/>
      <c r="D97" s="272"/>
      <c r="E97" s="272"/>
      <c r="F97" s="272" t="s">
        <v>45</v>
      </c>
      <c r="G97" s="272"/>
      <c r="H97" s="247">
        <f>IF(F97='Reference (hide)'!$A$1, (D97-E97)*$C97, (D97-E97)*G97)</f>
        <v>0</v>
      </c>
      <c r="I97" s="310" t="s">
        <v>269</v>
      </c>
    </row>
    <row r="98" spans="1:9">
      <c r="A98" s="270" t="s">
        <v>271</v>
      </c>
      <c r="B98" s="292" t="s">
        <v>44</v>
      </c>
      <c r="C98" s="278"/>
      <c r="D98" s="272"/>
      <c r="E98" s="272"/>
      <c r="F98" s="272" t="s">
        <v>45</v>
      </c>
      <c r="G98" s="272"/>
      <c r="H98" s="247">
        <f>IF(F98='Reference (hide)'!$A$1, (D98-E98)*$C98, (D98-E98)*G98)</f>
        <v>0</v>
      </c>
      <c r="I98" s="310" t="s">
        <v>269</v>
      </c>
    </row>
    <row r="99" spans="1:9">
      <c r="A99" s="270" t="s">
        <v>272</v>
      </c>
      <c r="B99" s="292" t="s">
        <v>44</v>
      </c>
      <c r="C99" s="271"/>
      <c r="D99" s="272"/>
      <c r="E99" s="272"/>
      <c r="F99" s="272" t="s">
        <v>45</v>
      </c>
      <c r="G99" s="272"/>
      <c r="H99" s="247">
        <f>IF(F99='Reference (hide)'!$A$1, (D99-E99)*$C99, (D99-E99)*G99)</f>
        <v>0</v>
      </c>
      <c r="I99" s="310" t="s">
        <v>269</v>
      </c>
    </row>
    <row r="100" spans="1:9">
      <c r="A100" s="270" t="s">
        <v>273</v>
      </c>
      <c r="B100" s="292" t="s">
        <v>275</v>
      </c>
      <c r="C100" s="271"/>
      <c r="D100" s="272"/>
      <c r="E100" s="272"/>
      <c r="F100" s="272" t="s">
        <v>45</v>
      </c>
      <c r="G100" s="272"/>
      <c r="H100" s="247">
        <f>IF(F100='Reference (hide)'!$A$1, (D100-E100)*$C100, (D100-E100)*G100)</f>
        <v>0</v>
      </c>
      <c r="I100" s="310" t="s">
        <v>269</v>
      </c>
    </row>
    <row r="101" spans="1:9">
      <c r="A101" s="270" t="s">
        <v>274</v>
      </c>
      <c r="B101" s="292" t="s">
        <v>275</v>
      </c>
      <c r="C101" s="271"/>
      <c r="D101" s="272"/>
      <c r="E101" s="272"/>
      <c r="F101" s="272" t="s">
        <v>45</v>
      </c>
      <c r="G101" s="272"/>
      <c r="H101" s="247">
        <f>IF(F101='Reference (hide)'!$A$1, (D101-E101)*$C101, (D101-E101)*G101)</f>
        <v>0</v>
      </c>
      <c r="I101" s="310" t="s">
        <v>269</v>
      </c>
    </row>
    <row r="102" spans="1:9">
      <c r="A102" s="270" t="s">
        <v>276</v>
      </c>
      <c r="B102" s="292" t="s">
        <v>277</v>
      </c>
      <c r="C102" s="271"/>
      <c r="D102" s="272"/>
      <c r="E102" s="272"/>
      <c r="F102" s="272" t="s">
        <v>45</v>
      </c>
      <c r="G102" s="272"/>
      <c r="H102" s="247">
        <f>IF(F102='Reference (hide)'!$A$1, (D102-E102)*$C102, (D102-E102)*G102)</f>
        <v>0</v>
      </c>
      <c r="I102" s="310" t="s">
        <v>269</v>
      </c>
    </row>
    <row r="103" spans="1:9">
      <c r="A103" s="270" t="s">
        <v>278</v>
      </c>
      <c r="B103" s="292" t="s">
        <v>279</v>
      </c>
      <c r="C103" s="252"/>
      <c r="D103" s="316"/>
      <c r="E103" s="316"/>
      <c r="F103" s="316" t="s">
        <v>318</v>
      </c>
      <c r="G103" s="316"/>
      <c r="H103" s="247">
        <f>IF(F103='Reference (hide)'!$A$1, (D103-E103)*$C103, (D103-E103)*G103)</f>
        <v>0</v>
      </c>
      <c r="I103" s="348" t="s">
        <v>269</v>
      </c>
    </row>
    <row r="104" spans="1:9">
      <c r="A104" s="318" t="s">
        <v>255</v>
      </c>
      <c r="B104" s="305"/>
      <c r="C104" s="301"/>
      <c r="D104" s="350"/>
      <c r="E104" s="350"/>
      <c r="F104" s="350"/>
      <c r="G104" s="350"/>
      <c r="H104" s="351">
        <f>SUM(H95:H103)</f>
        <v>0</v>
      </c>
      <c r="I104" s="352"/>
    </row>
    <row r="105" spans="1:9">
      <c r="A105" s="588" t="s">
        <v>335</v>
      </c>
      <c r="B105" s="589"/>
      <c r="C105" s="590"/>
      <c r="D105" s="353"/>
      <c r="E105" s="350"/>
      <c r="F105" s="350"/>
      <c r="G105" s="350"/>
      <c r="H105" s="351">
        <f>SUMIF(I95:I103, "Primary", H95:H103)</f>
        <v>0</v>
      </c>
      <c r="I105" s="352"/>
    </row>
  </sheetData>
  <mergeCells count="49">
    <mergeCell ref="A93:C93"/>
    <mergeCell ref="D93:H93"/>
    <mergeCell ref="A105:C105"/>
    <mergeCell ref="BL42:BP42"/>
    <mergeCell ref="BQ42:BU42"/>
    <mergeCell ref="A72:C72"/>
    <mergeCell ref="A86:C86"/>
    <mergeCell ref="A87:C87"/>
    <mergeCell ref="BV42:BZ42"/>
    <mergeCell ref="A45:C45"/>
    <mergeCell ref="A56:C56"/>
    <mergeCell ref="A67:C67"/>
    <mergeCell ref="AH42:AL42"/>
    <mergeCell ref="AM42:AQ42"/>
    <mergeCell ref="AR42:AV42"/>
    <mergeCell ref="AW42:BA42"/>
    <mergeCell ref="BB42:BF42"/>
    <mergeCell ref="BG42:BK42"/>
    <mergeCell ref="BL23:BP23"/>
    <mergeCell ref="BQ23:BU23"/>
    <mergeCell ref="BV23:BZ23"/>
    <mergeCell ref="A35:C35"/>
    <mergeCell ref="A42:C42"/>
    <mergeCell ref="D42:H42"/>
    <mergeCell ref="N42:R42"/>
    <mergeCell ref="S42:W42"/>
    <mergeCell ref="X42:AB42"/>
    <mergeCell ref="AC42:AG42"/>
    <mergeCell ref="AH23:AL23"/>
    <mergeCell ref="AM23:AQ23"/>
    <mergeCell ref="AR23:AV23"/>
    <mergeCell ref="AW23:BA23"/>
    <mergeCell ref="BB23:BF23"/>
    <mergeCell ref="BG23:BK23"/>
    <mergeCell ref="AC23:AG23"/>
    <mergeCell ref="A23:C23"/>
    <mergeCell ref="D23:H23"/>
    <mergeCell ref="N23:R23"/>
    <mergeCell ref="S23:W23"/>
    <mergeCell ref="X23:AB23"/>
    <mergeCell ref="A1:J3"/>
    <mergeCell ref="A4:J11"/>
    <mergeCell ref="A15:A16"/>
    <mergeCell ref="B15:B16"/>
    <mergeCell ref="C15:D15"/>
    <mergeCell ref="E15:F15"/>
    <mergeCell ref="G15:G16"/>
    <mergeCell ref="H15:H16"/>
    <mergeCell ref="I15:I16"/>
  </mergeCells>
  <phoneticPr fontId="24"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8B1D6C4-1C68-4ADC-B0EA-B36E788BE9CB}">
          <x14:formula1>
            <xm:f>'Reference (hide)'!$A$1:$A$2</xm:f>
          </x14:formula1>
          <xm:sqref>F46:F54 F57:F65 F68:F70 F73:F85 F25:F37 F95:F105</xm:sqref>
        </x14:dataValidation>
        <x14:dataValidation type="list" allowBlank="1" showInputMessage="1" showErrorMessage="1" xr:uid="{5CF6ECBD-9074-4600-A3A1-B44C14DB49A6}">
          <x14:formula1>
            <xm:f>'Reference (hide)'!$D$1:$D$2</xm:f>
          </x14:formula1>
          <xm:sqref>I46:I54 I57:I65 I68:I70 I73:I85 I25:I33 I95:I103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44D2B-8527-4210-815A-EEAAF0B32BC7}">
  <sheetPr>
    <tabColor rgb="FF1F4E78"/>
  </sheetPr>
  <dimension ref="A1:BZ133"/>
  <sheetViews>
    <sheetView workbookViewId="0">
      <selection activeCell="A4" sqref="A4:J21"/>
    </sheetView>
  </sheetViews>
  <sheetFormatPr defaultColWidth="8.85546875" defaultRowHeight="14.85"/>
  <cols>
    <col min="1" max="1" width="37.28515625" customWidth="1"/>
    <col min="2" max="2" width="14.42578125" style="297" customWidth="1"/>
    <col min="3" max="3" width="24.85546875" customWidth="1"/>
    <col min="4" max="7" width="14.42578125" customWidth="1"/>
    <col min="8" max="8" width="17.42578125" customWidth="1"/>
    <col min="9" max="78" width="14.42578125" customWidth="1"/>
    <col min="79" max="97" width="13.85546875" customWidth="1"/>
  </cols>
  <sheetData>
    <row r="1" spans="1:78">
      <c r="A1" s="577" t="s">
        <v>336</v>
      </c>
      <c r="B1" s="577"/>
      <c r="C1" s="577"/>
      <c r="D1" s="577"/>
      <c r="E1" s="577"/>
      <c r="F1" s="577"/>
      <c r="G1" s="577"/>
      <c r="H1" s="577"/>
      <c r="I1" s="577"/>
      <c r="J1" s="577"/>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row>
    <row r="2" spans="1:78">
      <c r="A2" s="577"/>
      <c r="B2" s="577"/>
      <c r="C2" s="577"/>
      <c r="D2" s="577"/>
      <c r="E2" s="577"/>
      <c r="F2" s="577"/>
      <c r="G2" s="577"/>
      <c r="H2" s="577"/>
      <c r="I2" s="577"/>
      <c r="J2" s="577"/>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c r="A3" s="577"/>
      <c r="B3" s="577"/>
      <c r="C3" s="577"/>
      <c r="D3" s="577"/>
      <c r="E3" s="577"/>
      <c r="F3" s="577"/>
      <c r="G3" s="577"/>
      <c r="H3" s="577"/>
      <c r="I3" s="577"/>
      <c r="J3" s="577"/>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15" customHeight="1">
      <c r="A4" s="568" t="s">
        <v>337</v>
      </c>
      <c r="B4" s="568"/>
      <c r="C4" s="568"/>
      <c r="D4" s="568"/>
      <c r="E4" s="568"/>
      <c r="F4" s="568"/>
      <c r="G4" s="568"/>
      <c r="H4" s="568"/>
      <c r="I4" s="568"/>
      <c r="J4" s="568"/>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c r="A5" s="571"/>
      <c r="B5" s="571"/>
      <c r="C5" s="571"/>
      <c r="D5" s="571"/>
      <c r="E5" s="571"/>
      <c r="F5" s="571"/>
      <c r="G5" s="571"/>
      <c r="H5" s="571"/>
      <c r="I5" s="571"/>
      <c r="J5" s="571"/>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row>
    <row r="6" spans="1:78">
      <c r="A6" s="571"/>
      <c r="B6" s="571"/>
      <c r="C6" s="571"/>
      <c r="D6" s="571"/>
      <c r="E6" s="571"/>
      <c r="F6" s="571"/>
      <c r="G6" s="571"/>
      <c r="H6" s="571"/>
      <c r="I6" s="571"/>
      <c r="J6" s="571"/>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row>
    <row r="7" spans="1:78">
      <c r="A7" s="571"/>
      <c r="B7" s="571"/>
      <c r="C7" s="571"/>
      <c r="D7" s="571"/>
      <c r="E7" s="571"/>
      <c r="F7" s="571"/>
      <c r="G7" s="571"/>
      <c r="H7" s="571"/>
      <c r="I7" s="571"/>
      <c r="J7" s="571"/>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row>
    <row r="8" spans="1:78">
      <c r="A8" s="571"/>
      <c r="B8" s="571"/>
      <c r="C8" s="571"/>
      <c r="D8" s="571"/>
      <c r="E8" s="571"/>
      <c r="F8" s="571"/>
      <c r="G8" s="571"/>
      <c r="H8" s="571"/>
      <c r="I8" s="571"/>
      <c r="J8" s="571"/>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row>
    <row r="9" spans="1:78">
      <c r="A9" s="571"/>
      <c r="B9" s="571"/>
      <c r="C9" s="571"/>
      <c r="D9" s="571"/>
      <c r="E9" s="571"/>
      <c r="F9" s="571"/>
      <c r="G9" s="571"/>
      <c r="H9" s="571"/>
      <c r="I9" s="571"/>
      <c r="J9" s="571"/>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row>
    <row r="10" spans="1:78">
      <c r="A10" s="571"/>
      <c r="B10" s="571"/>
      <c r="C10" s="571"/>
      <c r="D10" s="571"/>
      <c r="E10" s="571"/>
      <c r="F10" s="571"/>
      <c r="G10" s="571"/>
      <c r="H10" s="571"/>
      <c r="I10" s="571"/>
      <c r="J10" s="571"/>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row>
    <row r="11" spans="1:78">
      <c r="A11" s="571"/>
      <c r="B11" s="571"/>
      <c r="C11" s="571"/>
      <c r="D11" s="571"/>
      <c r="E11" s="571"/>
      <c r="F11" s="571"/>
      <c r="G11" s="571"/>
      <c r="H11" s="571"/>
      <c r="I11" s="571"/>
      <c r="J11" s="571"/>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row>
    <row r="12" spans="1:78">
      <c r="A12" s="571"/>
      <c r="B12" s="571"/>
      <c r="C12" s="571"/>
      <c r="D12" s="571"/>
      <c r="E12" s="571"/>
      <c r="F12" s="571"/>
      <c r="G12" s="571"/>
      <c r="H12" s="571"/>
      <c r="I12" s="571"/>
      <c r="J12" s="571"/>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row>
    <row r="13" spans="1:78">
      <c r="A13" s="571"/>
      <c r="B13" s="571"/>
      <c r="C13" s="571"/>
      <c r="D13" s="571"/>
      <c r="E13" s="571"/>
      <c r="F13" s="571"/>
      <c r="G13" s="571"/>
      <c r="H13" s="571"/>
      <c r="I13" s="571"/>
      <c r="J13" s="571"/>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1:78">
      <c r="A14" s="571"/>
      <c r="B14" s="571"/>
      <c r="C14" s="571"/>
      <c r="D14" s="571"/>
      <c r="E14" s="571"/>
      <c r="F14" s="571"/>
      <c r="G14" s="571"/>
      <c r="H14" s="571"/>
      <c r="I14" s="571"/>
      <c r="J14" s="571"/>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1:78">
      <c r="A15" s="571"/>
      <c r="B15" s="571"/>
      <c r="C15" s="571"/>
      <c r="D15" s="571"/>
      <c r="E15" s="571"/>
      <c r="F15" s="571"/>
      <c r="G15" s="571"/>
      <c r="H15" s="571"/>
      <c r="I15" s="571"/>
      <c r="J15" s="571"/>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row>
    <row r="16" spans="1:78">
      <c r="A16" s="571"/>
      <c r="B16" s="571"/>
      <c r="C16" s="571"/>
      <c r="D16" s="571"/>
      <c r="E16" s="571"/>
      <c r="F16" s="571"/>
      <c r="G16" s="571"/>
      <c r="H16" s="571"/>
      <c r="I16" s="571"/>
      <c r="J16" s="571"/>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row>
    <row r="17" spans="1:78">
      <c r="A17" s="571"/>
      <c r="B17" s="571"/>
      <c r="C17" s="571"/>
      <c r="D17" s="571"/>
      <c r="E17" s="571"/>
      <c r="F17" s="571"/>
      <c r="G17" s="571"/>
      <c r="H17" s="571"/>
      <c r="I17" s="571"/>
      <c r="J17" s="571"/>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row>
    <row r="18" spans="1:78">
      <c r="A18" s="571"/>
      <c r="B18" s="571"/>
      <c r="C18" s="571"/>
      <c r="D18" s="571"/>
      <c r="E18" s="571"/>
      <c r="F18" s="571"/>
      <c r="G18" s="571"/>
      <c r="H18" s="571"/>
      <c r="I18" s="571"/>
      <c r="J18" s="571"/>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row>
    <row r="19" spans="1:78">
      <c r="A19" s="571"/>
      <c r="B19" s="571"/>
      <c r="C19" s="571"/>
      <c r="D19" s="571"/>
      <c r="E19" s="571"/>
      <c r="F19" s="571"/>
      <c r="G19" s="571"/>
      <c r="H19" s="571"/>
      <c r="I19" s="571"/>
      <c r="J19" s="571"/>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row>
    <row r="20" spans="1:78">
      <c r="A20" s="571"/>
      <c r="B20" s="571"/>
      <c r="C20" s="571"/>
      <c r="D20" s="571"/>
      <c r="E20" s="571"/>
      <c r="F20" s="571"/>
      <c r="G20" s="571"/>
      <c r="H20" s="571"/>
      <c r="I20" s="571"/>
      <c r="J20" s="571"/>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row>
    <row r="21" spans="1:78">
      <c r="A21" s="571"/>
      <c r="B21" s="571"/>
      <c r="C21" s="571"/>
      <c r="D21" s="571"/>
      <c r="E21" s="571"/>
      <c r="F21" s="571"/>
      <c r="G21" s="571"/>
      <c r="H21" s="571"/>
      <c r="I21" s="571"/>
      <c r="J21" s="571"/>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row>
    <row r="22" spans="1:78">
      <c r="A22" s="364"/>
      <c r="B22" s="364"/>
      <c r="C22" s="364"/>
      <c r="D22" s="364"/>
      <c r="E22" s="364"/>
      <c r="F22" s="364"/>
      <c r="G22" s="364"/>
      <c r="H22" s="364"/>
      <c r="I22" s="364"/>
      <c r="J22" s="36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row>
    <row r="23" spans="1:78">
      <c r="A23" s="119"/>
      <c r="B23" s="286"/>
      <c r="C23" s="119"/>
      <c r="D23" s="119"/>
      <c r="E23" s="119"/>
      <c r="F23" s="119"/>
      <c r="G23" s="119"/>
      <c r="H23" s="119"/>
      <c r="I23" s="119"/>
      <c r="J23" s="119"/>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row>
    <row r="24" spans="1:78" ht="31.35">
      <c r="A24" s="253" t="s">
        <v>245</v>
      </c>
      <c r="B24" s="287"/>
      <c r="C24" s="120"/>
      <c r="D24" s="120"/>
      <c r="E24" s="120"/>
      <c r="F24" s="120"/>
      <c r="G24" s="120"/>
      <c r="H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row>
    <row r="25" spans="1:78">
      <c r="A25" s="578" t="s">
        <v>246</v>
      </c>
      <c r="B25" s="580" t="s">
        <v>247</v>
      </c>
      <c r="C25" s="582" t="s">
        <v>338</v>
      </c>
      <c r="D25" s="583"/>
      <c r="E25" s="582" t="s">
        <v>249</v>
      </c>
      <c r="F25" s="582"/>
      <c r="G25" s="584" t="s">
        <v>339</v>
      </c>
      <c r="H25" s="585" t="s">
        <v>251</v>
      </c>
      <c r="I25" s="586" t="s">
        <v>252</v>
      </c>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4"/>
      <c r="BZ25" s="254"/>
    </row>
    <row r="26" spans="1:78" ht="30.75" customHeight="1">
      <c r="A26" s="579"/>
      <c r="B26" s="581"/>
      <c r="C26" s="279" t="s">
        <v>253</v>
      </c>
      <c r="D26" s="280" t="s">
        <v>254</v>
      </c>
      <c r="E26" s="281" t="s">
        <v>255</v>
      </c>
      <c r="F26" s="280" t="s">
        <v>254</v>
      </c>
      <c r="G26" s="584"/>
      <c r="H26" s="585"/>
      <c r="I26" s="586"/>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4"/>
      <c r="BZ26" s="254"/>
    </row>
    <row r="27" spans="1:78">
      <c r="A27" s="255" t="s">
        <v>0</v>
      </c>
      <c r="B27" s="256">
        <v>1</v>
      </c>
      <c r="C27" s="386"/>
      <c r="D27" s="391">
        <f>$B27*C27</f>
        <v>0</v>
      </c>
      <c r="E27" s="321">
        <f>H98+H46+H132+H116</f>
        <v>0</v>
      </c>
      <c r="F27" s="387">
        <f>$B27*E27</f>
        <v>0</v>
      </c>
      <c r="G27" s="389" t="str">
        <f>IFERROR(E27/C27, "-")</f>
        <v>-</v>
      </c>
      <c r="H27" s="393">
        <f>H99+H47+H133+H117</f>
        <v>0</v>
      </c>
      <c r="I27" s="320" t="e">
        <f>H27/E27</f>
        <v>#DIV/0!</v>
      </c>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row>
    <row r="28" spans="1:78">
      <c r="A28" s="258" t="s">
        <v>255</v>
      </c>
      <c r="B28" s="289"/>
      <c r="C28" s="259" t="s">
        <v>256</v>
      </c>
      <c r="D28" s="289">
        <f>SUM(D27:D27)</f>
        <v>0</v>
      </c>
      <c r="E28" s="305" t="s">
        <v>256</v>
      </c>
      <c r="F28" s="305">
        <f>SUM(F27:F27)</f>
        <v>0</v>
      </c>
      <c r="G28" s="251" t="str">
        <f>IFERROR(E28/C28, "-")</f>
        <v>-</v>
      </c>
      <c r="H28" s="248"/>
      <c r="I28" s="249"/>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row>
    <row r="29" spans="1:78">
      <c r="A29" s="254"/>
      <c r="B29" s="290"/>
      <c r="C29" s="261"/>
      <c r="D29" s="261"/>
      <c r="E29" s="261"/>
      <c r="F29" s="261"/>
      <c r="G29" s="261"/>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row>
    <row r="30" spans="1:78">
      <c r="A30" s="254"/>
      <c r="B30" s="290"/>
      <c r="C30" s="261"/>
      <c r="D30" s="261"/>
      <c r="E30" s="261"/>
      <c r="F30" s="261"/>
      <c r="G30" s="261"/>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row>
    <row r="31" spans="1:78">
      <c r="A31" s="254"/>
      <c r="B31" s="290"/>
      <c r="C31" s="261"/>
      <c r="D31" s="261"/>
      <c r="E31" s="261"/>
      <c r="F31" s="261"/>
      <c r="G31" s="261"/>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row>
    <row r="32" spans="1:78">
      <c r="A32" s="254"/>
      <c r="B32" s="290"/>
      <c r="C32" s="261"/>
      <c r="D32" s="261"/>
      <c r="E32" s="261"/>
      <c r="F32" s="261"/>
      <c r="G32" s="261"/>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row>
    <row r="33" spans="1:78">
      <c r="A33" s="254"/>
      <c r="B33" s="291"/>
      <c r="C33" s="261"/>
      <c r="D33" s="307"/>
      <c r="E33" s="308"/>
      <c r="F33" s="261"/>
      <c r="G33" s="261"/>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row>
    <row r="34" spans="1:78" ht="31.35">
      <c r="A34" s="253" t="s">
        <v>257</v>
      </c>
      <c r="B34" s="292"/>
      <c r="C34" s="38"/>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row>
    <row r="35" spans="1:78">
      <c r="A35" s="587" t="s">
        <v>258</v>
      </c>
      <c r="B35" s="587"/>
      <c r="C35" s="587"/>
      <c r="D35" s="587" t="s">
        <v>0</v>
      </c>
      <c r="E35" s="587"/>
      <c r="F35" s="587"/>
      <c r="G35" s="587"/>
      <c r="H35" s="587"/>
      <c r="I35" s="313"/>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M35" s="672"/>
      <c r="AN35" s="672"/>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c r="BM35" s="672"/>
      <c r="BN35" s="672"/>
      <c r="BO35" s="672"/>
      <c r="BP35" s="672"/>
      <c r="BQ35" s="672"/>
      <c r="BR35" s="672"/>
      <c r="BS35" s="672"/>
      <c r="BT35" s="672"/>
      <c r="BU35" s="672"/>
      <c r="BV35" s="672"/>
      <c r="BW35" s="672"/>
      <c r="BX35" s="672"/>
      <c r="BY35" s="672"/>
      <c r="BZ35" s="672"/>
    </row>
    <row r="36" spans="1:78" ht="29.45">
      <c r="A36" s="283" t="s">
        <v>259</v>
      </c>
      <c r="B36" s="294" t="s">
        <v>30</v>
      </c>
      <c r="C36" s="284" t="s">
        <v>260</v>
      </c>
      <c r="D36" s="285" t="s">
        <v>261</v>
      </c>
      <c r="E36" s="282" t="s">
        <v>32</v>
      </c>
      <c r="F36" s="282" t="s">
        <v>262</v>
      </c>
      <c r="G36" s="282" t="s">
        <v>263</v>
      </c>
      <c r="H36" s="284" t="s">
        <v>264</v>
      </c>
      <c r="I36" s="309" t="s">
        <v>265</v>
      </c>
    </row>
    <row r="37" spans="1:78">
      <c r="A37" s="270" t="s">
        <v>58</v>
      </c>
      <c r="B37" s="292" t="s">
        <v>44</v>
      </c>
      <c r="C37" s="278">
        <f>'Default EF'!J26</f>
        <v>1.2647999999999999</v>
      </c>
      <c r="D37" s="374"/>
      <c r="E37" s="272"/>
      <c r="F37" s="272" t="s">
        <v>318</v>
      </c>
      <c r="G37" s="422"/>
      <c r="H37" s="382">
        <f>IF(F37='Reference (hide)'!$A$1, (D37-E37)*$C37, (D37-E37)*G37)</f>
        <v>0</v>
      </c>
      <c r="I37" s="310" t="s">
        <v>267</v>
      </c>
    </row>
    <row r="38" spans="1:78">
      <c r="A38" s="270" t="s">
        <v>340</v>
      </c>
      <c r="B38" s="292" t="s">
        <v>44</v>
      </c>
      <c r="C38" s="278">
        <f>'Default EF'!J34</f>
        <v>1.7499</v>
      </c>
      <c r="D38" s="374"/>
      <c r="E38" s="272"/>
      <c r="F38" s="272" t="s">
        <v>318</v>
      </c>
      <c r="G38" s="422"/>
      <c r="H38" s="382">
        <f>IF(F38='Reference (hide)'!$A$1, (D38-E38)*$C38, (D38-E38)*G38)</f>
        <v>0</v>
      </c>
      <c r="I38" s="310" t="s">
        <v>267</v>
      </c>
    </row>
    <row r="39" spans="1:78">
      <c r="A39" s="270" t="s">
        <v>70</v>
      </c>
      <c r="B39" s="292" t="s">
        <v>44</v>
      </c>
      <c r="C39" s="278">
        <f>'Default EF'!J39</f>
        <v>1.022</v>
      </c>
      <c r="D39" s="374"/>
      <c r="E39" s="272"/>
      <c r="F39" s="272" t="s">
        <v>45</v>
      </c>
      <c r="G39" s="422"/>
      <c r="H39" s="382">
        <f>IF(F39='Reference (hide)'!$A$1, (D39-E39)*$C39, (D39-E39)*G39)</f>
        <v>0</v>
      </c>
      <c r="I39" s="310" t="s">
        <v>267</v>
      </c>
    </row>
    <row r="40" spans="1:78">
      <c r="A40" s="270" t="s">
        <v>341</v>
      </c>
      <c r="B40" s="292" t="s">
        <v>44</v>
      </c>
      <c r="C40" s="278">
        <f>'Default EF'!J35</f>
        <v>1.89</v>
      </c>
      <c r="D40" s="374"/>
      <c r="E40" s="272"/>
      <c r="F40" s="272" t="s">
        <v>45</v>
      </c>
      <c r="G40" s="422"/>
      <c r="H40" s="382">
        <f>IF(F40='Reference (hide)'!$A$1, (D40-E40)*$C40, (D40-E40)*G40)</f>
        <v>0</v>
      </c>
      <c r="I40" s="310" t="s">
        <v>267</v>
      </c>
    </row>
    <row r="41" spans="1:78">
      <c r="A41" s="270" t="s">
        <v>342</v>
      </c>
      <c r="B41" s="292" t="s">
        <v>44</v>
      </c>
      <c r="C41" s="271">
        <f>'Default EF'!J38</f>
        <v>0.41492000000000001</v>
      </c>
      <c r="D41" s="272"/>
      <c r="E41" s="272"/>
      <c r="F41" s="272" t="s">
        <v>45</v>
      </c>
      <c r="G41" s="422"/>
      <c r="H41" s="382">
        <f>IF(F41='Reference (hide)'!$A$1, (D41-E41)*$C41, (D41-E41)*G41)</f>
        <v>0</v>
      </c>
      <c r="I41" s="310" t="s">
        <v>269</v>
      </c>
    </row>
    <row r="42" spans="1:78">
      <c r="A42" s="270" t="s">
        <v>343</v>
      </c>
      <c r="B42" s="292" t="s">
        <v>44</v>
      </c>
      <c r="C42" s="271"/>
      <c r="D42" s="272"/>
      <c r="E42" s="272"/>
      <c r="F42" s="272" t="s">
        <v>45</v>
      </c>
      <c r="G42" s="422"/>
      <c r="H42" s="382">
        <f>IF(F42='Reference (hide)'!$A$1, (D42-E42)*$C42, (D42-E42)*G42)</f>
        <v>0</v>
      </c>
      <c r="I42" s="310" t="s">
        <v>269</v>
      </c>
    </row>
    <row r="43" spans="1:78">
      <c r="A43" s="270" t="s">
        <v>274</v>
      </c>
      <c r="B43" s="292" t="s">
        <v>275</v>
      </c>
      <c r="C43" s="271"/>
      <c r="D43" s="272"/>
      <c r="E43" s="272"/>
      <c r="F43" s="272" t="s">
        <v>45</v>
      </c>
      <c r="G43" s="422"/>
      <c r="H43" s="382">
        <f>IF(F43='Reference (hide)'!$A$1, (D43-E43)*$C43, (D43-E43)*G43)</f>
        <v>0</v>
      </c>
      <c r="I43" s="310" t="s">
        <v>269</v>
      </c>
    </row>
    <row r="44" spans="1:78">
      <c r="A44" s="270" t="s">
        <v>276</v>
      </c>
      <c r="B44" s="292" t="s">
        <v>277</v>
      </c>
      <c r="C44" s="271"/>
      <c r="D44" s="272"/>
      <c r="E44" s="272"/>
      <c r="F44" s="272" t="s">
        <v>45</v>
      </c>
      <c r="G44" s="422"/>
      <c r="H44" s="382">
        <f>IF(F44='Reference (hide)'!$A$1, (D44-E44)*$C44, (D44-E44)*G44)</f>
        <v>0</v>
      </c>
      <c r="I44" s="310" t="s">
        <v>269</v>
      </c>
    </row>
    <row r="45" spans="1:78">
      <c r="A45" s="270" t="s">
        <v>278</v>
      </c>
      <c r="B45" s="292" t="s">
        <v>279</v>
      </c>
      <c r="C45" s="252"/>
      <c r="D45" s="316"/>
      <c r="E45" s="316"/>
      <c r="F45" s="316" t="s">
        <v>45</v>
      </c>
      <c r="G45" s="423"/>
      <c r="H45" s="382">
        <f>IF(F45='Reference (hide)'!$A$1, (D45-E45)*$C45, (D45-E45)*G45)</f>
        <v>0</v>
      </c>
      <c r="I45" s="348" t="s">
        <v>269</v>
      </c>
    </row>
    <row r="46" spans="1:78" ht="14.25" customHeight="1">
      <c r="A46" s="318" t="s">
        <v>255</v>
      </c>
      <c r="B46" s="305"/>
      <c r="C46" s="301"/>
      <c r="D46" s="350"/>
      <c r="E46" s="350"/>
      <c r="F46" s="350"/>
      <c r="G46" s="424"/>
      <c r="H46" s="406">
        <f>SUM(H37:H45)</f>
        <v>0</v>
      </c>
      <c r="I46" s="352"/>
    </row>
    <row r="47" spans="1:78" ht="14.25" customHeight="1">
      <c r="A47" s="588" t="s">
        <v>280</v>
      </c>
      <c r="B47" s="589"/>
      <c r="C47" s="590"/>
      <c r="D47" s="353"/>
      <c r="E47" s="350"/>
      <c r="F47" s="350"/>
      <c r="G47" s="424"/>
      <c r="H47" s="406">
        <f>SUMIF(I37:I45, "Primary", H37:H45)</f>
        <v>0</v>
      </c>
      <c r="I47" s="352"/>
    </row>
    <row r="48" spans="1:78" ht="14.25" customHeight="1">
      <c r="A48" s="44"/>
      <c r="B48" s="292"/>
      <c r="C48" s="344"/>
      <c r="D48" s="347"/>
      <c r="E48" s="347"/>
      <c r="F48" s="347"/>
      <c r="G48" s="347"/>
      <c r="H48" s="38"/>
      <c r="I48" s="349"/>
    </row>
    <row r="49" spans="1:78" ht="14.25" customHeight="1">
      <c r="A49" s="44"/>
      <c r="B49" s="292"/>
      <c r="C49" s="344"/>
      <c r="D49" s="347"/>
      <c r="E49" s="347"/>
      <c r="F49" s="347"/>
      <c r="G49" s="347"/>
      <c r="H49" s="38"/>
      <c r="I49" s="349"/>
    </row>
    <row r="50" spans="1:78">
      <c r="A50" s="254"/>
      <c r="B50" s="290"/>
      <c r="C50" s="261"/>
      <c r="D50" s="261"/>
      <c r="E50" s="261"/>
      <c r="F50" s="261"/>
      <c r="G50" s="261"/>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row>
    <row r="51" spans="1:78">
      <c r="A51" s="254"/>
      <c r="B51" s="303"/>
      <c r="F51" s="261"/>
      <c r="G51" s="261"/>
      <c r="H51" s="261"/>
      <c r="I51" s="261"/>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row>
    <row r="52" spans="1:78">
      <c r="A52" s="254"/>
      <c r="B52" s="292"/>
      <c r="D52" s="38"/>
      <c r="E52" s="38"/>
      <c r="F52" s="38"/>
      <c r="G52" s="38"/>
      <c r="H52" s="38"/>
      <c r="I52" s="38"/>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row>
    <row r="53" spans="1:78" ht="31.35">
      <c r="A53" s="253" t="s">
        <v>344</v>
      </c>
      <c r="B53" s="292"/>
      <c r="C53" s="38"/>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row>
    <row r="54" spans="1:78">
      <c r="A54" s="587" t="s">
        <v>258</v>
      </c>
      <c r="B54" s="587"/>
      <c r="C54" s="587"/>
      <c r="D54" s="587" t="str">
        <f>A27</f>
        <v>Asset 1</v>
      </c>
      <c r="E54" s="587"/>
      <c r="F54" s="587"/>
      <c r="G54" s="587"/>
      <c r="H54" s="587"/>
      <c r="I54" s="313"/>
      <c r="N54" s="672"/>
      <c r="O54" s="672"/>
      <c r="P54" s="672"/>
      <c r="Q54" s="672"/>
      <c r="R54" s="672"/>
      <c r="S54" s="672"/>
      <c r="T54" s="672"/>
      <c r="U54" s="672"/>
      <c r="V54" s="672"/>
      <c r="W54" s="672"/>
      <c r="X54" s="672"/>
      <c r="Y54" s="672"/>
      <c r="Z54" s="672"/>
      <c r="AA54" s="672"/>
      <c r="AB54" s="672"/>
      <c r="AC54" s="672"/>
      <c r="AD54" s="672"/>
      <c r="AE54" s="672"/>
      <c r="AF54" s="672"/>
      <c r="AG54" s="672"/>
      <c r="AH54" s="672"/>
      <c r="AI54" s="672"/>
      <c r="AJ54" s="672"/>
      <c r="AK54" s="672"/>
      <c r="AL54" s="672"/>
      <c r="AM54" s="672"/>
      <c r="AN54" s="672"/>
      <c r="AO54" s="672"/>
      <c r="AP54" s="672"/>
      <c r="AQ54" s="672"/>
      <c r="AR54" s="672"/>
      <c r="AS54" s="672"/>
      <c r="AT54" s="672"/>
      <c r="AU54" s="672"/>
      <c r="AV54" s="672"/>
      <c r="AW54" s="672"/>
      <c r="AX54" s="672"/>
      <c r="AY54" s="672"/>
      <c r="AZ54" s="672"/>
      <c r="BA54" s="672"/>
      <c r="BB54" s="672"/>
      <c r="BC54" s="672"/>
      <c r="BD54" s="672"/>
      <c r="BE54" s="672"/>
      <c r="BF54" s="672"/>
      <c r="BG54" s="672"/>
      <c r="BH54" s="672"/>
      <c r="BI54" s="672"/>
      <c r="BJ54" s="672"/>
      <c r="BK54" s="672"/>
      <c r="BL54" s="672"/>
      <c r="BM54" s="672"/>
      <c r="BN54" s="672"/>
      <c r="BO54" s="672"/>
      <c r="BP54" s="672"/>
      <c r="BQ54" s="672"/>
      <c r="BR54" s="672"/>
      <c r="BS54" s="672"/>
      <c r="BT54" s="672"/>
      <c r="BU54" s="672"/>
      <c r="BV54" s="672"/>
      <c r="BW54" s="672"/>
      <c r="BX54" s="672"/>
      <c r="BY54" s="672"/>
      <c r="BZ54" s="672"/>
    </row>
    <row r="55" spans="1:78" ht="29.45">
      <c r="A55" s="283" t="s">
        <v>259</v>
      </c>
      <c r="B55" s="294" t="s">
        <v>30</v>
      </c>
      <c r="C55" s="284" t="s">
        <v>260</v>
      </c>
      <c r="D55" s="285" t="s">
        <v>261</v>
      </c>
      <c r="E55" s="282" t="s">
        <v>32</v>
      </c>
      <c r="F55" s="282" t="s">
        <v>262</v>
      </c>
      <c r="G55" s="282" t="s">
        <v>263</v>
      </c>
      <c r="H55" s="284" t="s">
        <v>264</v>
      </c>
      <c r="I55" s="309" t="s">
        <v>265</v>
      </c>
    </row>
    <row r="56" spans="1:78">
      <c r="A56" s="265"/>
      <c r="B56" s="295"/>
      <c r="C56" s="267"/>
      <c r="D56" s="268"/>
      <c r="E56" s="266"/>
      <c r="F56" s="266"/>
      <c r="G56" s="266"/>
      <c r="H56" s="267"/>
    </row>
    <row r="57" spans="1:78">
      <c r="A57" s="591" t="s">
        <v>282</v>
      </c>
      <c r="B57" s="592"/>
      <c r="C57" s="593"/>
      <c r="D57" s="269"/>
      <c r="E57" s="269"/>
      <c r="F57" s="269"/>
      <c r="G57" s="269"/>
      <c r="H57" s="381">
        <f>SUM(H58:H66)</f>
        <v>0</v>
      </c>
    </row>
    <row r="58" spans="1:78">
      <c r="A58" s="270" t="s">
        <v>46</v>
      </c>
      <c r="B58" s="292" t="s">
        <v>44</v>
      </c>
      <c r="C58" s="278">
        <f>'Default EF'!G14</f>
        <v>2.6426992500000002</v>
      </c>
      <c r="D58" s="374"/>
      <c r="E58" s="374"/>
      <c r="F58" s="272" t="s">
        <v>45</v>
      </c>
      <c r="G58" s="272"/>
      <c r="H58" s="382">
        <f>IF(F58='Reference (hide)'!$A$1, (D58-E58)*$C58, (D58-E58)*G58)</f>
        <v>0</v>
      </c>
      <c r="I58" s="310" t="s">
        <v>269</v>
      </c>
    </row>
    <row r="59" spans="1:78">
      <c r="A59" s="270" t="s">
        <v>47</v>
      </c>
      <c r="B59" s="292" t="s">
        <v>44</v>
      </c>
      <c r="C59" s="278">
        <f>'Default EF'!G16</f>
        <v>2.4581595000000003</v>
      </c>
      <c r="D59" s="374"/>
      <c r="E59" s="374"/>
      <c r="F59" s="272" t="s">
        <v>45</v>
      </c>
      <c r="G59" s="272"/>
      <c r="H59" s="382">
        <f>IF(F59='Reference (hide)'!$A$1, (D59-E59)*$C59, (D59-E59)*G59)</f>
        <v>0</v>
      </c>
      <c r="I59" s="310" t="s">
        <v>269</v>
      </c>
    </row>
    <row r="60" spans="1:78">
      <c r="A60" s="270" t="s">
        <v>48</v>
      </c>
      <c r="B60" s="292" t="s">
        <v>44</v>
      </c>
      <c r="C60" s="278">
        <f>'Default EF'!G17</f>
        <v>1.8290947499999997</v>
      </c>
      <c r="D60" s="374"/>
      <c r="E60" s="374"/>
      <c r="F60" s="272" t="s">
        <v>45</v>
      </c>
      <c r="G60" s="272"/>
      <c r="H60" s="382">
        <f>IF(F60='Reference (hide)'!$A$1, (D60-E60)*$C60, (D60-E60)*G60)</f>
        <v>0</v>
      </c>
      <c r="I60" s="310" t="s">
        <v>269</v>
      </c>
    </row>
    <row r="61" spans="1:78">
      <c r="A61" s="270" t="s">
        <v>49</v>
      </c>
      <c r="B61" s="292" t="s">
        <v>44</v>
      </c>
      <c r="C61" s="278">
        <f>'Default EF'!G18</f>
        <v>1.2099622500000002</v>
      </c>
      <c r="D61" s="374"/>
      <c r="E61" s="374"/>
      <c r="F61" s="272" t="s">
        <v>45</v>
      </c>
      <c r="G61" s="272"/>
      <c r="H61" s="382">
        <f>IF(F61='Reference (hide)'!$A$1, (D61-E61)*$C61, (D61-E61)*G61)</f>
        <v>0</v>
      </c>
      <c r="I61" s="310" t="s">
        <v>269</v>
      </c>
    </row>
    <row r="62" spans="1:78">
      <c r="A62" s="270" t="s">
        <v>283</v>
      </c>
      <c r="B62" s="292" t="s">
        <v>275</v>
      </c>
      <c r="C62" s="271">
        <f>'Default EF'!G19</f>
        <v>2.9487799999999998E-3</v>
      </c>
      <c r="D62" s="374"/>
      <c r="E62" s="374"/>
      <c r="F62" s="272" t="s">
        <v>45</v>
      </c>
      <c r="G62" s="272"/>
      <c r="H62" s="382">
        <f>IF(F62='Reference (hide)'!$A$1, (D62-E62)*$C62, (D62-E62)*G62)</f>
        <v>0</v>
      </c>
      <c r="I62" s="310" t="s">
        <v>269</v>
      </c>
    </row>
    <row r="63" spans="1:78">
      <c r="A63" s="270" t="s">
        <v>284</v>
      </c>
      <c r="B63" s="292" t="s">
        <v>275</v>
      </c>
      <c r="C63" s="271">
        <f>'Default EF'!G20</f>
        <v>2.6854800000000001E-3</v>
      </c>
      <c r="D63" s="374"/>
      <c r="E63" s="374"/>
      <c r="F63" s="272" t="s">
        <v>45</v>
      </c>
      <c r="G63" s="272"/>
      <c r="H63" s="382">
        <f>IF(F63='Reference (hide)'!$A$1, (D63-E63)*$C63, (D63-E63)*G63)</f>
        <v>0</v>
      </c>
      <c r="I63" s="310" t="s">
        <v>269</v>
      </c>
    </row>
    <row r="64" spans="1:78">
      <c r="A64" s="270" t="s">
        <v>53</v>
      </c>
      <c r="B64" s="292" t="s">
        <v>275</v>
      </c>
      <c r="C64" s="271">
        <f>'Default EF'!G21</f>
        <v>1.6159529430000001E-3</v>
      </c>
      <c r="D64" s="374"/>
      <c r="E64" s="374"/>
      <c r="F64" s="272" t="s">
        <v>45</v>
      </c>
      <c r="G64" s="272"/>
      <c r="H64" s="382">
        <f>IF(F64='Reference (hide)'!$A$1, (D64-E64)*$C64, (D64-E64)*G64)</f>
        <v>0</v>
      </c>
      <c r="I64" s="310" t="s">
        <v>269</v>
      </c>
    </row>
    <row r="65" spans="1:9">
      <c r="A65" s="270" t="s">
        <v>285</v>
      </c>
      <c r="B65" s="292" t="s">
        <v>277</v>
      </c>
      <c r="C65" s="271">
        <f>'Default EF'!G22</f>
        <v>2.2102717812691286E-3</v>
      </c>
      <c r="D65" s="374"/>
      <c r="E65" s="374"/>
      <c r="F65" s="272" t="s">
        <v>45</v>
      </c>
      <c r="G65" s="272"/>
      <c r="H65" s="382">
        <f>IF(F65='Reference (hide)'!$A$1, (D65-E65)*$C65, (D65-E65)*G65)</f>
        <v>0</v>
      </c>
      <c r="I65" s="310" t="s">
        <v>269</v>
      </c>
    </row>
    <row r="66" spans="1:9">
      <c r="A66" s="270" t="s">
        <v>285</v>
      </c>
      <c r="B66" s="292" t="s">
        <v>279</v>
      </c>
      <c r="C66" s="252">
        <f>'Default EF'!G23</f>
        <v>5.8470000000000001E-2</v>
      </c>
      <c r="D66" s="374"/>
      <c r="E66" s="374"/>
      <c r="F66" s="272" t="s">
        <v>45</v>
      </c>
      <c r="G66" s="272"/>
      <c r="H66" s="382">
        <f>IF(F66='Reference (hide)'!$A$1, (D66-E66)*$C66, (D66-E66)*G66)</f>
        <v>0</v>
      </c>
      <c r="I66" s="310" t="s">
        <v>269</v>
      </c>
    </row>
    <row r="67" spans="1:9">
      <c r="A67" s="120"/>
      <c r="B67" s="296"/>
      <c r="C67" s="250"/>
      <c r="D67" s="249"/>
      <c r="E67" s="249"/>
      <c r="F67" s="249"/>
      <c r="G67" s="249"/>
      <c r="H67" s="383"/>
      <c r="I67" s="311"/>
    </row>
    <row r="68" spans="1:9">
      <c r="A68" s="591" t="s">
        <v>286</v>
      </c>
      <c r="B68" s="591"/>
      <c r="C68" s="591"/>
      <c r="D68" s="259"/>
      <c r="E68" s="260"/>
      <c r="F68" s="260"/>
      <c r="G68" s="260"/>
      <c r="H68" s="289">
        <f>SUM(H69:H77)</f>
        <v>0</v>
      </c>
      <c r="I68" s="311"/>
    </row>
    <row r="69" spans="1:9">
      <c r="A69" s="270" t="s">
        <v>287</v>
      </c>
      <c r="B69" s="292" t="s">
        <v>44</v>
      </c>
      <c r="C69" s="278">
        <f>'Default EF'!J14</f>
        <v>0.39248999999999995</v>
      </c>
      <c r="D69" s="375">
        <f t="shared" ref="D69:E71" si="0">D58</f>
        <v>0</v>
      </c>
      <c r="E69" s="375">
        <f t="shared" si="0"/>
        <v>0</v>
      </c>
      <c r="F69" s="272" t="s">
        <v>45</v>
      </c>
      <c r="G69" s="272"/>
      <c r="H69" s="382">
        <f>IF(F69='Reference (hide)'!$A$1, (D69-E69)*$C69, (D69-E69)*G69)</f>
        <v>0</v>
      </c>
      <c r="I69" s="310" t="s">
        <v>267</v>
      </c>
    </row>
    <row r="70" spans="1:9">
      <c r="A70" s="270" t="s">
        <v>288</v>
      </c>
      <c r="B70" s="292" t="s">
        <v>44</v>
      </c>
      <c r="C70" s="278">
        <f>'Default EF'!J16</f>
        <v>0.37925999999999999</v>
      </c>
      <c r="D70" s="375">
        <f t="shared" si="0"/>
        <v>0</v>
      </c>
      <c r="E70" s="375">
        <f t="shared" si="0"/>
        <v>0</v>
      </c>
      <c r="F70" s="272" t="s">
        <v>45</v>
      </c>
      <c r="G70" s="272"/>
      <c r="H70" s="382">
        <f>IF(F70='Reference (hide)'!$A$1, (D70-E70)*$C70, (D70-E70)*G70)</f>
        <v>0</v>
      </c>
      <c r="I70" s="310"/>
    </row>
    <row r="71" spans="1:9">
      <c r="A71" s="270" t="s">
        <v>289</v>
      </c>
      <c r="B71" s="292" t="s">
        <v>44</v>
      </c>
      <c r="C71" s="278">
        <f>'Default EF'!J17</f>
        <v>0.27782999999999997</v>
      </c>
      <c r="D71" s="375">
        <f t="shared" si="0"/>
        <v>0</v>
      </c>
      <c r="E71" s="375">
        <f t="shared" si="0"/>
        <v>0</v>
      </c>
      <c r="F71" s="272" t="s">
        <v>45</v>
      </c>
      <c r="G71" s="272"/>
      <c r="H71" s="382">
        <f>IF(F71='Reference (hide)'!$A$1, (D71-E71)*$C71, (D71-E71)*G71)</f>
        <v>0</v>
      </c>
      <c r="I71" s="310"/>
    </row>
    <row r="72" spans="1:9">
      <c r="A72" s="270" t="s">
        <v>290</v>
      </c>
      <c r="B72" s="292" t="s">
        <v>44</v>
      </c>
      <c r="C72" s="278">
        <f>'Default EF'!J18</f>
        <v>0.17493</v>
      </c>
      <c r="D72" s="375">
        <f>D61</f>
        <v>0</v>
      </c>
      <c r="E72" s="375">
        <f>E61</f>
        <v>0</v>
      </c>
      <c r="F72" s="272" t="s">
        <v>45</v>
      </c>
      <c r="G72" s="272"/>
      <c r="H72" s="382">
        <f>IF(F72='Reference (hide)'!$A$1, (D72-E72)*$C72, (D72-E72)*G72)</f>
        <v>0</v>
      </c>
      <c r="I72" s="310"/>
    </row>
    <row r="73" spans="1:9">
      <c r="A73" s="270" t="s">
        <v>291</v>
      </c>
      <c r="B73" s="292" t="s">
        <v>275</v>
      </c>
      <c r="C73" s="271">
        <f>'Default EF'!J19</f>
        <v>4.2533119999999989E-4</v>
      </c>
      <c r="D73" s="375">
        <f t="shared" ref="D73:D74" si="1">D62</f>
        <v>0</v>
      </c>
      <c r="E73" s="375">
        <f>E63</f>
        <v>0</v>
      </c>
      <c r="F73" s="272" t="s">
        <v>45</v>
      </c>
      <c r="G73" s="272"/>
      <c r="H73" s="382">
        <f>IF(F73='Reference (hide)'!$A$1, (D73-E73)*$C73, (D73-E73)*G73)</f>
        <v>0</v>
      </c>
      <c r="I73" s="310"/>
    </row>
    <row r="74" spans="1:9">
      <c r="A74" s="270" t="s">
        <v>292</v>
      </c>
      <c r="B74" s="292" t="s">
        <v>275</v>
      </c>
      <c r="C74" s="271">
        <f>'Default EF'!J20</f>
        <v>5.9092319999999989E-4</v>
      </c>
      <c r="D74" s="375">
        <f t="shared" si="1"/>
        <v>0</v>
      </c>
      <c r="E74" s="375">
        <f>E62</f>
        <v>0</v>
      </c>
      <c r="F74" s="272" t="s">
        <v>45</v>
      </c>
      <c r="G74" s="272"/>
      <c r="H74" s="382">
        <f>IF(F74='Reference (hide)'!$A$1, (D74-E74)*$C74, (D74-E74)*G74)</f>
        <v>0</v>
      </c>
      <c r="I74" s="310"/>
    </row>
    <row r="75" spans="1:9">
      <c r="A75" s="270" t="s">
        <v>293</v>
      </c>
      <c r="B75" s="292" t="s">
        <v>275</v>
      </c>
      <c r="C75" s="271">
        <f>'Default EF'!J21</f>
        <v>1.7956026000000001E-4</v>
      </c>
      <c r="D75" s="375">
        <f t="shared" ref="D75:E77" si="2">D64</f>
        <v>0</v>
      </c>
      <c r="E75" s="375">
        <f t="shared" si="2"/>
        <v>0</v>
      </c>
      <c r="F75" s="272" t="s">
        <v>45</v>
      </c>
      <c r="G75" s="272"/>
      <c r="H75" s="382">
        <f>IF(F75='Reference (hide)'!$A$1, (D75-E75)*$C75, (D75-E75)*G75)</f>
        <v>0</v>
      </c>
      <c r="I75" s="310"/>
    </row>
    <row r="76" spans="1:9">
      <c r="A76" s="270" t="s">
        <v>294</v>
      </c>
      <c r="B76" s="292" t="s">
        <v>277</v>
      </c>
      <c r="C76" s="271">
        <f>'Default EF'!J22</f>
        <v>3.2887573964497034E-4</v>
      </c>
      <c r="D76" s="375">
        <f t="shared" si="2"/>
        <v>0</v>
      </c>
      <c r="E76" s="375">
        <f t="shared" si="2"/>
        <v>0</v>
      </c>
      <c r="F76" s="272" t="s">
        <v>45</v>
      </c>
      <c r="G76" s="272"/>
      <c r="H76" s="382">
        <f>IF(F76='Reference (hide)'!$A$1, (D76-E76)*$C76, (D76-E76)*G76)</f>
        <v>0</v>
      </c>
      <c r="I76" s="310"/>
    </row>
    <row r="77" spans="1:9">
      <c r="A77" s="270" t="s">
        <v>294</v>
      </c>
      <c r="B77" s="292" t="s">
        <v>279</v>
      </c>
      <c r="C77" s="271">
        <f>'Default EF'!J23</f>
        <v>8.6999999999999994E-3</v>
      </c>
      <c r="D77" s="375">
        <f t="shared" si="2"/>
        <v>0</v>
      </c>
      <c r="E77" s="375">
        <f t="shared" si="2"/>
        <v>0</v>
      </c>
      <c r="F77" s="272" t="s">
        <v>45</v>
      </c>
      <c r="G77" s="272"/>
      <c r="H77" s="382">
        <f>IF(F77='Reference (hide)'!$A$1, (D77-E77)*$C77, (D77-E77)*G77)</f>
        <v>0</v>
      </c>
      <c r="I77" s="310"/>
    </row>
    <row r="78" spans="1:9">
      <c r="A78" s="273"/>
      <c r="B78" s="296"/>
      <c r="C78" s="250"/>
      <c r="D78" s="248"/>
      <c r="E78" s="249"/>
      <c r="F78" s="249"/>
      <c r="G78" s="249"/>
      <c r="H78" s="383"/>
      <c r="I78" s="311"/>
    </row>
    <row r="79" spans="1:9" ht="14.45" customHeight="1">
      <c r="A79" s="591" t="s">
        <v>295</v>
      </c>
      <c r="B79" s="591"/>
      <c r="C79" s="591"/>
      <c r="D79" s="274"/>
      <c r="E79" s="269"/>
      <c r="F79" s="269"/>
      <c r="G79" s="269"/>
      <c r="H79" s="381">
        <f>SUM(H80:H82)</f>
        <v>0</v>
      </c>
      <c r="I79" s="311"/>
    </row>
    <row r="80" spans="1:9" ht="14.45" customHeight="1">
      <c r="A80" s="270" t="s">
        <v>296</v>
      </c>
      <c r="B80" s="292" t="s">
        <v>44</v>
      </c>
      <c r="C80" s="278">
        <f>'Default EF'!G57</f>
        <v>0.11</v>
      </c>
      <c r="D80" s="272"/>
      <c r="E80" s="272"/>
      <c r="F80" s="272" t="s">
        <v>45</v>
      </c>
      <c r="G80" s="272"/>
      <c r="H80" s="382">
        <f>IF(F80='Reference (hide)'!$A$1, (D80-E80)*$C80, (D80-E80)*G80)</f>
        <v>0</v>
      </c>
      <c r="I80" s="310"/>
    </row>
    <row r="81" spans="1:78" ht="14.45" customHeight="1">
      <c r="A81" s="270" t="s">
        <v>297</v>
      </c>
      <c r="B81" s="292" t="s">
        <v>44</v>
      </c>
      <c r="C81" s="278">
        <f>'Default EF'!G58</f>
        <v>0.36</v>
      </c>
      <c r="D81" s="272"/>
      <c r="E81" s="272"/>
      <c r="F81" s="272" t="s">
        <v>45</v>
      </c>
      <c r="G81" s="272"/>
      <c r="H81" s="382">
        <f>IF(F81='Reference (hide)'!$A$1, (D81-E81)*$C81, (D81-E81)*G81)</f>
        <v>0</v>
      </c>
      <c r="I81" s="310"/>
    </row>
    <row r="82" spans="1:78">
      <c r="A82" s="270" t="s">
        <v>285</v>
      </c>
      <c r="B82" s="292" t="s">
        <v>277</v>
      </c>
      <c r="C82" s="271">
        <f>'Default EF'!G59</f>
        <v>3.2000000000000003E-4</v>
      </c>
      <c r="D82" s="272"/>
      <c r="E82" s="272"/>
      <c r="F82" s="272" t="s">
        <v>45</v>
      </c>
      <c r="G82" s="272"/>
      <c r="H82" s="382">
        <f>IF(F82='Reference (hide)'!$A$1, (D82-E82)*$C82, (D82-E82)*G82)</f>
        <v>0</v>
      </c>
      <c r="I82" s="310"/>
    </row>
    <row r="83" spans="1:78">
      <c r="A83" s="270"/>
      <c r="B83" s="292"/>
      <c r="C83" s="247"/>
      <c r="D83" s="246"/>
      <c r="E83" s="38"/>
      <c r="F83" s="38"/>
      <c r="G83" s="38"/>
      <c r="H83" s="382"/>
      <c r="I83" s="311"/>
    </row>
    <row r="84" spans="1:78" s="254" customFormat="1">
      <c r="A84" s="591" t="s">
        <v>298</v>
      </c>
      <c r="B84" s="592"/>
      <c r="C84" s="593"/>
      <c r="D84" s="260"/>
      <c r="E84" s="260"/>
      <c r="F84" s="260"/>
      <c r="G84" s="260"/>
      <c r="H84" s="289">
        <f>SUM(H85:H97)</f>
        <v>0</v>
      </c>
      <c r="I84" s="311"/>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row>
    <row r="85" spans="1:78" s="44" customFormat="1">
      <c r="A85" s="270" t="s">
        <v>299</v>
      </c>
      <c r="B85" s="292" t="s">
        <v>86</v>
      </c>
      <c r="C85" s="278">
        <f>'Default EF'!G64</f>
        <v>0.82</v>
      </c>
      <c r="D85" s="272"/>
      <c r="E85" s="272"/>
      <c r="F85" s="272" t="s">
        <v>45</v>
      </c>
      <c r="G85" s="272"/>
      <c r="H85" s="382">
        <f>IF(F85='Reference (hide)'!$A$1, (D85-E85)*$C85, (D85-E85)*G85)</f>
        <v>0</v>
      </c>
      <c r="I85" s="310"/>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row>
    <row r="86" spans="1:78" s="44" customFormat="1">
      <c r="A86" s="270" t="s">
        <v>285</v>
      </c>
      <c r="B86" s="292" t="s">
        <v>86</v>
      </c>
      <c r="C86" s="278">
        <f>'Default EF'!G65</f>
        <v>0.49</v>
      </c>
      <c r="D86" s="272"/>
      <c r="E86" s="272"/>
      <c r="F86" s="272" t="s">
        <v>45</v>
      </c>
      <c r="G86" s="272"/>
      <c r="H86" s="382">
        <f>IF(F86='Reference (hide)'!$A$1, (D86-E86)*$C86, (D86-E86)*G86)</f>
        <v>0</v>
      </c>
      <c r="I86" s="310"/>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row>
    <row r="87" spans="1:78" s="44" customFormat="1">
      <c r="A87" s="270" t="s">
        <v>300</v>
      </c>
      <c r="B87" s="292" t="s">
        <v>86</v>
      </c>
      <c r="C87" s="278">
        <f>'Default EF'!G66</f>
        <v>0.73299999999999998</v>
      </c>
      <c r="D87" s="272"/>
      <c r="E87" s="272"/>
      <c r="F87" s="272" t="s">
        <v>45</v>
      </c>
      <c r="G87" s="272"/>
      <c r="H87" s="382">
        <f>IF(F87='Reference (hide)'!$A$1, (D87-E87)*$C87, (D87-E87)*G87)</f>
        <v>0</v>
      </c>
      <c r="I87" s="310"/>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row>
    <row r="88" spans="1:78" s="44" customFormat="1">
      <c r="A88" s="270" t="s">
        <v>301</v>
      </c>
      <c r="B88" s="292" t="s">
        <v>86</v>
      </c>
      <c r="C88" s="278">
        <f>'Default EF'!G67</f>
        <v>0.65500000000000003</v>
      </c>
      <c r="D88" s="272"/>
      <c r="E88" s="272"/>
      <c r="F88" s="272" t="s">
        <v>45</v>
      </c>
      <c r="G88" s="272"/>
      <c r="H88" s="382">
        <f>IF(F88='Reference (hide)'!$A$1, (D88-E88)*$C88, (D88-E88)*G88)</f>
        <v>0</v>
      </c>
      <c r="I88" s="310"/>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row>
    <row r="89" spans="1:78" s="44" customFormat="1">
      <c r="A89" s="270" t="s">
        <v>302</v>
      </c>
      <c r="B89" s="292" t="s">
        <v>86</v>
      </c>
      <c r="C89" s="278">
        <f>'Default EF'!G68</f>
        <v>1.2E-2</v>
      </c>
      <c r="D89" s="272"/>
      <c r="E89" s="272"/>
      <c r="F89" s="272" t="s">
        <v>45</v>
      </c>
      <c r="G89" s="272"/>
      <c r="H89" s="382">
        <f>IF(F89='Reference (hide)'!$A$1, (D89-E89)*$C89, (D89-E89)*G89)</f>
        <v>0</v>
      </c>
      <c r="I89" s="310"/>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row>
    <row r="90" spans="1:78" s="44" customFormat="1">
      <c r="A90" s="270" t="s">
        <v>303</v>
      </c>
      <c r="B90" s="292" t="s">
        <v>86</v>
      </c>
      <c r="C90" s="278">
        <f>'Default EF'!G69</f>
        <v>2.4E-2</v>
      </c>
      <c r="D90" s="272"/>
      <c r="E90" s="272"/>
      <c r="F90" s="272" t="s">
        <v>45</v>
      </c>
      <c r="G90" s="272"/>
      <c r="H90" s="382">
        <f>IF(F90='Reference (hide)'!$A$1, (D90-E90)*$C90, (D90-E90)*G90)</f>
        <v>0</v>
      </c>
      <c r="I90" s="31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row>
    <row r="91" spans="1:78" s="44" customFormat="1">
      <c r="A91" s="270" t="s">
        <v>304</v>
      </c>
      <c r="B91" s="292" t="s">
        <v>86</v>
      </c>
      <c r="C91" s="278">
        <f>'Default EF'!G70</f>
        <v>1.0999999999999999E-2</v>
      </c>
      <c r="D91" s="272"/>
      <c r="E91" s="272"/>
      <c r="F91" s="272" t="s">
        <v>45</v>
      </c>
      <c r="G91" s="272"/>
      <c r="H91" s="382">
        <f>IF(F91='Reference (hide)'!$A$1, (D91-E91)*$C91, (D91-E91)*G91)</f>
        <v>0</v>
      </c>
      <c r="I91" s="310"/>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row>
    <row r="92" spans="1:78" s="44" customFormat="1">
      <c r="A92" s="270" t="s">
        <v>305</v>
      </c>
      <c r="B92" s="292" t="s">
        <v>86</v>
      </c>
      <c r="C92" s="278">
        <f>'Default EF'!G71</f>
        <v>4.8000000000000001E-2</v>
      </c>
      <c r="D92" s="272"/>
      <c r="E92" s="272"/>
      <c r="F92" s="272" t="s">
        <v>45</v>
      </c>
      <c r="G92" s="272"/>
      <c r="H92" s="382">
        <f>IF(F92='Reference (hide)'!$A$1, (D92-E92)*$C92, (D92-E92)*G92)</f>
        <v>0</v>
      </c>
      <c r="I92" s="310"/>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row>
    <row r="93" spans="1:78" s="44" customFormat="1">
      <c r="A93" s="270" t="s">
        <v>306</v>
      </c>
      <c r="B93" s="292" t="s">
        <v>86</v>
      </c>
      <c r="C93" s="278">
        <f>'Default EF'!G72</f>
        <v>0.23</v>
      </c>
      <c r="D93" s="272"/>
      <c r="E93" s="272"/>
      <c r="F93" s="272" t="s">
        <v>45</v>
      </c>
      <c r="G93" s="272"/>
      <c r="H93" s="382">
        <f>IF(F93='Reference (hide)'!$A$1, (D93-E93)*$C93, (D93-E93)*G93)</f>
        <v>0</v>
      </c>
      <c r="I93" s="310"/>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row>
    <row r="94" spans="1:78" s="44" customFormat="1">
      <c r="A94" s="270" t="s">
        <v>307</v>
      </c>
      <c r="B94" s="292" t="s">
        <v>86</v>
      </c>
      <c r="C94" s="278">
        <f>'Default EF'!G73</f>
        <v>6.4200000000000007E-2</v>
      </c>
      <c r="D94" s="272"/>
      <c r="E94" s="272"/>
      <c r="F94" s="272" t="s">
        <v>45</v>
      </c>
      <c r="G94" s="272"/>
      <c r="H94" s="382">
        <f>IF(F94='Reference (hide)'!$A$1, (D94-E94)*$C94, (D94-E94)*G94)</f>
        <v>0</v>
      </c>
      <c r="I94" s="310"/>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row>
    <row r="95" spans="1:78" s="44" customFormat="1">
      <c r="A95" s="507" t="s">
        <v>308</v>
      </c>
      <c r="B95" s="292" t="s">
        <v>86</v>
      </c>
      <c r="C95" s="278"/>
      <c r="D95" s="272"/>
      <c r="E95" s="272"/>
      <c r="F95" s="272"/>
      <c r="G95" s="272"/>
      <c r="H95" s="382"/>
      <c r="I95" s="310"/>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row>
    <row r="96" spans="1:78" s="44" customFormat="1" ht="29.45">
      <c r="A96" s="507" t="s">
        <v>309</v>
      </c>
      <c r="B96" s="292" t="s">
        <v>86</v>
      </c>
      <c r="C96" s="247"/>
      <c r="D96" s="374"/>
      <c r="E96" s="272"/>
      <c r="F96" s="272" t="s">
        <v>45</v>
      </c>
      <c r="G96" s="272"/>
      <c r="H96" s="382">
        <f>IF(F96='Reference (hide)'!$A$1, (D96-E96)*$C96, (D96-E96)*G96)</f>
        <v>0</v>
      </c>
      <c r="I96" s="310" t="s">
        <v>269</v>
      </c>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row>
    <row r="97" spans="1:9">
      <c r="A97" s="507" t="s">
        <v>310</v>
      </c>
      <c r="B97" s="292" t="s">
        <v>86</v>
      </c>
      <c r="C97" s="250"/>
      <c r="D97" s="374"/>
      <c r="E97" s="272"/>
      <c r="F97" s="272" t="s">
        <v>45</v>
      </c>
      <c r="G97" s="272"/>
      <c r="H97" s="382">
        <f>IF(F97='Reference (hide)'!$A$1, (D97-E97)*$C97, (D97-E97)*G97)</f>
        <v>0</v>
      </c>
      <c r="I97" s="310" t="s">
        <v>269</v>
      </c>
    </row>
    <row r="98" spans="1:9" ht="32.25" customHeight="1">
      <c r="A98" s="594" t="s">
        <v>311</v>
      </c>
      <c r="B98" s="595"/>
      <c r="C98" s="596"/>
      <c r="D98" s="275" t="s">
        <v>256</v>
      </c>
      <c r="E98" s="276" t="s">
        <v>256</v>
      </c>
      <c r="F98" s="276" t="s">
        <v>256</v>
      </c>
      <c r="G98" s="276" t="s">
        <v>256</v>
      </c>
      <c r="H98" s="384">
        <f>SUM(H57,H68,H79,H84)</f>
        <v>0</v>
      </c>
      <c r="I98" s="312"/>
    </row>
    <row r="99" spans="1:9">
      <c r="A99" s="588" t="s">
        <v>345</v>
      </c>
      <c r="B99" s="589"/>
      <c r="C99" s="590"/>
      <c r="D99" s="300"/>
      <c r="E99" s="301"/>
      <c r="F99" s="301"/>
      <c r="G99" s="301"/>
      <c r="H99" s="385">
        <f>SUM(SUMIF(I58:I66, "Primary", H58:H66), SUMIF(I69:I77, "Primary", H69:H77), SUMIF(I80:I82, "Primary", H80:H82), SUMIF(I85:I96, "Primary", H85:H96))</f>
        <v>0</v>
      </c>
    </row>
    <row r="104" spans="1:9" ht="31.35">
      <c r="A104" s="253" t="s">
        <v>346</v>
      </c>
      <c r="B104" s="292"/>
      <c r="C104" s="38"/>
      <c r="D104" s="44"/>
      <c r="E104" s="44"/>
      <c r="F104" s="44"/>
      <c r="G104" s="44"/>
      <c r="H104" s="44"/>
      <c r="I104" s="44"/>
    </row>
    <row r="105" spans="1:9">
      <c r="A105" s="587" t="s">
        <v>258</v>
      </c>
      <c r="B105" s="587"/>
      <c r="C105" s="587"/>
      <c r="D105" s="587" t="s">
        <v>0</v>
      </c>
      <c r="E105" s="587"/>
      <c r="F105" s="587"/>
      <c r="G105" s="587"/>
      <c r="H105" s="587"/>
      <c r="I105" s="313"/>
    </row>
    <row r="106" spans="1:9" ht="29.45">
      <c r="A106" s="283" t="s">
        <v>259</v>
      </c>
      <c r="B106" s="294" t="s">
        <v>30</v>
      </c>
      <c r="C106" s="284" t="s">
        <v>260</v>
      </c>
      <c r="D106" s="285" t="s">
        <v>261</v>
      </c>
      <c r="E106" s="282" t="s">
        <v>32</v>
      </c>
      <c r="F106" s="282" t="s">
        <v>262</v>
      </c>
      <c r="G106" s="282" t="s">
        <v>263</v>
      </c>
      <c r="H106" s="284" t="s">
        <v>264</v>
      </c>
      <c r="I106" s="309" t="s">
        <v>265</v>
      </c>
    </row>
    <row r="107" spans="1:9">
      <c r="A107" s="270" t="s">
        <v>340</v>
      </c>
      <c r="B107" s="292" t="s">
        <v>44</v>
      </c>
      <c r="C107" s="278">
        <f>'Default EF'!G43</f>
        <v>3.60666384</v>
      </c>
      <c r="D107" s="407">
        <f>D38</f>
        <v>0</v>
      </c>
      <c r="E107" s="272"/>
      <c r="F107" s="272" t="s">
        <v>45</v>
      </c>
      <c r="G107" s="272"/>
      <c r="H107" s="382">
        <f>IF(F107='Reference (hide)'!$A$1, (D107-E107)*$C107, (D107-E107)*G107)</f>
        <v>0</v>
      </c>
      <c r="I107" s="310" t="s">
        <v>267</v>
      </c>
    </row>
    <row r="108" spans="1:9">
      <c r="A108" s="270" t="s">
        <v>342</v>
      </c>
      <c r="B108" s="292" t="s">
        <v>44</v>
      </c>
      <c r="C108" s="278">
        <f>'Default EF'!G38</f>
        <v>0.39290472000000004</v>
      </c>
      <c r="D108" s="272"/>
      <c r="E108" s="272"/>
      <c r="F108" s="272" t="s">
        <v>45</v>
      </c>
      <c r="G108" s="272"/>
      <c r="H108" s="382">
        <f>IF(F108='Reference (hide)'!$A$1, (D108-E108)*$C108, (D108-E108)*G108)</f>
        <v>0</v>
      </c>
      <c r="I108" s="310" t="s">
        <v>269</v>
      </c>
    </row>
    <row r="109" spans="1:9">
      <c r="A109" s="270" t="s">
        <v>343</v>
      </c>
      <c r="B109" s="292" t="s">
        <v>44</v>
      </c>
      <c r="C109" s="278">
        <f>'Default EF'!G44</f>
        <v>3.5159935199999999</v>
      </c>
      <c r="D109" s="272"/>
      <c r="E109" s="272"/>
      <c r="F109" s="272" t="s">
        <v>45</v>
      </c>
      <c r="G109" s="272"/>
      <c r="H109" s="382">
        <f>IF(F109='Reference (hide)'!$A$1, (D109-E109)*$C109, (D109-E109)*G109)</f>
        <v>0</v>
      </c>
      <c r="I109" s="310" t="s">
        <v>269</v>
      </c>
    </row>
    <row r="110" spans="1:9">
      <c r="A110" s="270" t="s">
        <v>271</v>
      </c>
      <c r="B110" s="292" t="s">
        <v>44</v>
      </c>
      <c r="C110" s="278">
        <f>'Default EF'!J107</f>
        <v>0</v>
      </c>
      <c r="D110" s="272"/>
      <c r="E110" s="272"/>
      <c r="F110" s="272" t="s">
        <v>45</v>
      </c>
      <c r="G110" s="272"/>
      <c r="H110" s="382">
        <f>IF(F110='Reference (hide)'!$A$1, (D110-E110)*$C110, (D110-E110)*G110)</f>
        <v>0</v>
      </c>
      <c r="I110" s="310" t="s">
        <v>269</v>
      </c>
    </row>
    <row r="111" spans="1:9">
      <c r="A111" s="270" t="s">
        <v>272</v>
      </c>
      <c r="B111" s="292" t="s">
        <v>44</v>
      </c>
      <c r="C111" s="271">
        <f>'Default EF'!J110</f>
        <v>0</v>
      </c>
      <c r="D111" s="272"/>
      <c r="E111" s="272"/>
      <c r="F111" s="272" t="s">
        <v>45</v>
      </c>
      <c r="G111" s="272"/>
      <c r="H111" s="382">
        <f>IF(F111='Reference (hide)'!$A$1, (D111-E111)*$C111, (D111-E111)*G111)</f>
        <v>0</v>
      </c>
      <c r="I111" s="310" t="s">
        <v>269</v>
      </c>
    </row>
    <row r="112" spans="1:9">
      <c r="A112" s="270" t="s">
        <v>273</v>
      </c>
      <c r="B112" s="292" t="s">
        <v>275</v>
      </c>
      <c r="C112" s="271"/>
      <c r="D112" s="272"/>
      <c r="E112" s="272"/>
      <c r="F112" s="272" t="s">
        <v>45</v>
      </c>
      <c r="G112" s="272"/>
      <c r="H112" s="382">
        <f>IF(F112='Reference (hide)'!$A$1, (D112-E112)*$C112, (D112-E112)*G112)</f>
        <v>0</v>
      </c>
      <c r="I112" s="310" t="s">
        <v>269</v>
      </c>
    </row>
    <row r="113" spans="1:9">
      <c r="A113" s="270" t="s">
        <v>274</v>
      </c>
      <c r="B113" s="292" t="s">
        <v>275</v>
      </c>
      <c r="C113" s="271"/>
      <c r="D113" s="272"/>
      <c r="E113" s="272"/>
      <c r="F113" s="272" t="s">
        <v>45</v>
      </c>
      <c r="G113" s="272"/>
      <c r="H113" s="382">
        <f>IF(F113='Reference (hide)'!$A$1, (D113-E113)*$C113, (D113-E113)*G113)</f>
        <v>0</v>
      </c>
      <c r="I113" s="310" t="s">
        <v>269</v>
      </c>
    </row>
    <row r="114" spans="1:9">
      <c r="A114" s="270" t="s">
        <v>276</v>
      </c>
      <c r="B114" s="292" t="s">
        <v>277</v>
      </c>
      <c r="C114" s="271"/>
      <c r="D114" s="272"/>
      <c r="E114" s="272"/>
      <c r="F114" s="272" t="s">
        <v>45</v>
      </c>
      <c r="G114" s="272"/>
      <c r="H114" s="382">
        <f>IF(F114='Reference (hide)'!$A$1, (D114-E114)*$C114, (D114-E114)*G114)</f>
        <v>0</v>
      </c>
      <c r="I114" s="310" t="s">
        <v>269</v>
      </c>
    </row>
    <row r="115" spans="1:9">
      <c r="A115" s="270" t="s">
        <v>278</v>
      </c>
      <c r="B115" s="292" t="s">
        <v>279</v>
      </c>
      <c r="C115" s="252"/>
      <c r="D115" s="316"/>
      <c r="E115" s="316"/>
      <c r="F115" s="316" t="s">
        <v>45</v>
      </c>
      <c r="G115" s="316"/>
      <c r="H115" s="382">
        <f>IF(F115='Reference (hide)'!$A$1, (D115-E115)*$C115, (D115-E115)*G115)</f>
        <v>0</v>
      </c>
      <c r="I115" s="348" t="s">
        <v>269</v>
      </c>
    </row>
    <row r="116" spans="1:9">
      <c r="A116" s="318" t="s">
        <v>255</v>
      </c>
      <c r="B116" s="305"/>
      <c r="C116" s="301"/>
      <c r="D116" s="350"/>
      <c r="E116" s="350"/>
      <c r="F116" s="350"/>
      <c r="G116" s="350"/>
      <c r="H116" s="406">
        <f>SUM(H107:H115)</f>
        <v>0</v>
      </c>
      <c r="I116" s="352"/>
    </row>
    <row r="117" spans="1:9">
      <c r="A117" s="588" t="s">
        <v>347</v>
      </c>
      <c r="B117" s="589"/>
      <c r="C117" s="590"/>
      <c r="D117" s="353"/>
      <c r="E117" s="350"/>
      <c r="F117" s="350"/>
      <c r="G117" s="350"/>
      <c r="H117" s="406">
        <f>SUMIF(I107:I115, "Primary", H107:H115)</f>
        <v>0</v>
      </c>
      <c r="I117" s="352"/>
    </row>
    <row r="120" spans="1:9" ht="31.35">
      <c r="A120" s="253" t="s">
        <v>348</v>
      </c>
      <c r="B120" s="292"/>
      <c r="C120" s="38"/>
      <c r="D120" s="44"/>
      <c r="E120" s="44"/>
      <c r="F120" s="44"/>
      <c r="G120" s="44"/>
      <c r="H120" s="44"/>
      <c r="I120" s="44"/>
    </row>
    <row r="121" spans="1:9">
      <c r="A121" s="587" t="s">
        <v>258</v>
      </c>
      <c r="B121" s="587"/>
      <c r="C121" s="587"/>
      <c r="D121" s="587" t="s">
        <v>0</v>
      </c>
      <c r="E121" s="587"/>
      <c r="F121" s="587"/>
      <c r="G121" s="587"/>
      <c r="H121" s="587"/>
      <c r="I121" s="313"/>
    </row>
    <row r="122" spans="1:9" ht="29.45">
      <c r="A122" s="283" t="s">
        <v>349</v>
      </c>
      <c r="B122" s="294" t="s">
        <v>30</v>
      </c>
      <c r="C122" s="284" t="s">
        <v>260</v>
      </c>
      <c r="D122" s="285" t="s">
        <v>350</v>
      </c>
      <c r="E122" s="282"/>
      <c r="F122" s="282" t="s">
        <v>262</v>
      </c>
      <c r="G122" s="282" t="s">
        <v>263</v>
      </c>
      <c r="H122" s="284" t="s">
        <v>264</v>
      </c>
      <c r="I122" s="309" t="s">
        <v>265</v>
      </c>
    </row>
    <row r="123" spans="1:9">
      <c r="A123" s="270" t="s">
        <v>101</v>
      </c>
      <c r="B123" s="292" t="s">
        <v>44</v>
      </c>
      <c r="C123" s="278">
        <f>'Default EF'!G4</f>
        <v>3.0960000000000001</v>
      </c>
      <c r="D123" s="407">
        <f>C27</f>
        <v>0</v>
      </c>
      <c r="E123" s="272"/>
      <c r="F123" s="272" t="s">
        <v>45</v>
      </c>
      <c r="G123" s="272"/>
      <c r="H123" s="382">
        <f>IF(F123='Reference (hide)'!$A$1, (D123-E123)*$C123, (D123-E123)*G123)</f>
        <v>0</v>
      </c>
      <c r="I123" s="310" t="s">
        <v>267</v>
      </c>
    </row>
    <row r="124" spans="1:9">
      <c r="A124" s="270" t="s">
        <v>103</v>
      </c>
      <c r="B124" s="292" t="s">
        <v>44</v>
      </c>
      <c r="C124" s="278">
        <f>'Default EF'!G5</f>
        <v>15.048</v>
      </c>
      <c r="D124" s="272"/>
      <c r="E124" s="272"/>
      <c r="F124" s="272" t="s">
        <v>45</v>
      </c>
      <c r="G124" s="272"/>
      <c r="H124" s="382">
        <f>IF(F124='Reference (hide)'!$A$1, (D124-E124)*$C124, (D124-E124)*G124)</f>
        <v>0</v>
      </c>
      <c r="I124" s="310" t="s">
        <v>269</v>
      </c>
    </row>
    <row r="125" spans="1:9">
      <c r="A125" s="270" t="s">
        <v>104</v>
      </c>
      <c r="B125" s="292" t="s">
        <v>44</v>
      </c>
      <c r="C125" s="278">
        <f>'Default EF'!G6</f>
        <v>5.7480000000000002</v>
      </c>
      <c r="D125" s="272"/>
      <c r="E125" s="272"/>
      <c r="F125" s="272" t="s">
        <v>45</v>
      </c>
      <c r="G125" s="272"/>
      <c r="H125" s="382">
        <f>IF(F125='Reference (hide)'!$A$1, (D125-E125)*$C125, (D125-E125)*G125)</f>
        <v>0</v>
      </c>
      <c r="I125" s="310" t="s">
        <v>269</v>
      </c>
    </row>
    <row r="126" spans="1:9">
      <c r="A126" s="270" t="s">
        <v>105</v>
      </c>
      <c r="B126" s="292" t="s">
        <v>44</v>
      </c>
      <c r="C126" s="278">
        <f>'Default EF'!G7</f>
        <v>2.9849999999999999</v>
      </c>
      <c r="D126" s="272"/>
      <c r="E126" s="272"/>
      <c r="F126" s="272" t="s">
        <v>45</v>
      </c>
      <c r="G126" s="272"/>
      <c r="H126" s="382">
        <f>IF(F126='Reference (hide)'!$A$1, (D126-E126)*$C126, (D126-E126)*G126)</f>
        <v>0</v>
      </c>
      <c r="I126" s="310" t="s">
        <v>269</v>
      </c>
    </row>
    <row r="127" spans="1:9">
      <c r="A127" s="270" t="s">
        <v>272</v>
      </c>
      <c r="B127" s="292" t="s">
        <v>44</v>
      </c>
      <c r="C127" s="271">
        <f>'Default EF'!J126</f>
        <v>0</v>
      </c>
      <c r="D127" s="272"/>
      <c r="E127" s="272"/>
      <c r="F127" s="272" t="s">
        <v>45</v>
      </c>
      <c r="G127" s="272"/>
      <c r="H127" s="382">
        <f>IF(F127='Reference (hide)'!$A$1, (D127-E127)*$C127, (D127-E127)*G127)</f>
        <v>0</v>
      </c>
      <c r="I127" s="310" t="s">
        <v>269</v>
      </c>
    </row>
    <row r="128" spans="1:9">
      <c r="A128" s="270" t="s">
        <v>273</v>
      </c>
      <c r="B128" s="292" t="s">
        <v>275</v>
      </c>
      <c r="C128" s="271"/>
      <c r="D128" s="272"/>
      <c r="E128" s="272"/>
      <c r="F128" s="272" t="s">
        <v>45</v>
      </c>
      <c r="G128" s="272"/>
      <c r="H128" s="382">
        <f>IF(F128='Reference (hide)'!$A$1, (D128-E128)*$C128, (D128-E128)*G128)</f>
        <v>0</v>
      </c>
      <c r="I128" s="310" t="s">
        <v>269</v>
      </c>
    </row>
    <row r="129" spans="1:9">
      <c r="A129" s="270" t="s">
        <v>274</v>
      </c>
      <c r="B129" s="292" t="s">
        <v>275</v>
      </c>
      <c r="C129" s="271"/>
      <c r="D129" s="272"/>
      <c r="E129" s="272"/>
      <c r="F129" s="272" t="s">
        <v>45</v>
      </c>
      <c r="G129" s="272"/>
      <c r="H129" s="382">
        <f>IF(F129='Reference (hide)'!$A$1, (D129-E129)*$C129, (D129-E129)*G129)</f>
        <v>0</v>
      </c>
      <c r="I129" s="310" t="s">
        <v>269</v>
      </c>
    </row>
    <row r="130" spans="1:9">
      <c r="A130" s="270" t="s">
        <v>276</v>
      </c>
      <c r="B130" s="292" t="s">
        <v>277</v>
      </c>
      <c r="C130" s="271"/>
      <c r="D130" s="272"/>
      <c r="E130" s="272"/>
      <c r="F130" s="272" t="s">
        <v>45</v>
      </c>
      <c r="G130" s="272"/>
      <c r="H130" s="382">
        <f>IF(F130='Reference (hide)'!$A$1, (D130-E130)*$C130, (D130-E130)*G130)</f>
        <v>0</v>
      </c>
      <c r="I130" s="310" t="s">
        <v>269</v>
      </c>
    </row>
    <row r="131" spans="1:9">
      <c r="A131" s="270" t="s">
        <v>278</v>
      </c>
      <c r="B131" s="292" t="s">
        <v>279</v>
      </c>
      <c r="C131" s="252"/>
      <c r="D131" s="316"/>
      <c r="E131" s="316"/>
      <c r="F131" s="316" t="s">
        <v>45</v>
      </c>
      <c r="G131" s="316"/>
      <c r="H131" s="382">
        <f>IF(F131='Reference (hide)'!$A$1, (D131-E131)*$C131, (D131-E131)*G131)</f>
        <v>0</v>
      </c>
      <c r="I131" s="348" t="s">
        <v>269</v>
      </c>
    </row>
    <row r="132" spans="1:9">
      <c r="A132" s="318" t="s">
        <v>255</v>
      </c>
      <c r="B132" s="305"/>
      <c r="C132" s="301"/>
      <c r="D132" s="350"/>
      <c r="E132" s="350"/>
      <c r="F132" s="350"/>
      <c r="G132" s="350"/>
      <c r="H132" s="406">
        <f>SUM(H123:H131)</f>
        <v>0</v>
      </c>
      <c r="I132" s="352"/>
    </row>
    <row r="133" spans="1:9">
      <c r="A133" s="588" t="s">
        <v>351</v>
      </c>
      <c r="B133" s="589"/>
      <c r="C133" s="590"/>
      <c r="D133" s="353"/>
      <c r="E133" s="350"/>
      <c r="F133" s="350"/>
      <c r="G133" s="350"/>
      <c r="H133" s="406">
        <f>SUMIF(I123:I131, "Primary", H123:H131)</f>
        <v>0</v>
      </c>
      <c r="I133" s="352"/>
    </row>
  </sheetData>
  <mergeCells count="52">
    <mergeCell ref="A121:C121"/>
    <mergeCell ref="D121:H121"/>
    <mergeCell ref="A133:C133"/>
    <mergeCell ref="A47:C47"/>
    <mergeCell ref="A105:C105"/>
    <mergeCell ref="D105:H105"/>
    <mergeCell ref="A117:C117"/>
    <mergeCell ref="A54:C54"/>
    <mergeCell ref="D54:H54"/>
    <mergeCell ref="A57:C57"/>
    <mergeCell ref="A68:C68"/>
    <mergeCell ref="A79:C79"/>
    <mergeCell ref="A84:C84"/>
    <mergeCell ref="A98:C98"/>
    <mergeCell ref="A99:C99"/>
    <mergeCell ref="BB35:BF35"/>
    <mergeCell ref="BG35:BK35"/>
    <mergeCell ref="BL35:BP35"/>
    <mergeCell ref="BQ35:BU35"/>
    <mergeCell ref="BV35:BZ35"/>
    <mergeCell ref="AC35:AG35"/>
    <mergeCell ref="AH35:AL35"/>
    <mergeCell ref="AM35:AQ35"/>
    <mergeCell ref="AR35:AV35"/>
    <mergeCell ref="AW35:BA35"/>
    <mergeCell ref="A35:C35"/>
    <mergeCell ref="D35:H35"/>
    <mergeCell ref="N35:R35"/>
    <mergeCell ref="S35:W35"/>
    <mergeCell ref="X35:AB35"/>
    <mergeCell ref="A1:J3"/>
    <mergeCell ref="A25:A26"/>
    <mergeCell ref="B25:B26"/>
    <mergeCell ref="C25:D25"/>
    <mergeCell ref="E25:F25"/>
    <mergeCell ref="G25:G26"/>
    <mergeCell ref="H25:H26"/>
    <mergeCell ref="I25:I26"/>
    <mergeCell ref="A4:J21"/>
    <mergeCell ref="N54:R54"/>
    <mergeCell ref="S54:W54"/>
    <mergeCell ref="BL54:BP54"/>
    <mergeCell ref="BQ54:BU54"/>
    <mergeCell ref="BV54:BZ54"/>
    <mergeCell ref="AC54:AG54"/>
    <mergeCell ref="AH54:AL54"/>
    <mergeCell ref="AM54:AQ54"/>
    <mergeCell ref="AR54:AV54"/>
    <mergeCell ref="AW54:BA54"/>
    <mergeCell ref="BB54:BF54"/>
    <mergeCell ref="X54:AB54"/>
    <mergeCell ref="BG54:BK54"/>
  </mergeCells>
  <phoneticPr fontId="24"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90955C-4914-4CC2-931B-A38BBA1D6211}">
          <x14:formula1>
            <xm:f>'Reference (hide)'!$D$1:$D$2</xm:f>
          </x14:formula1>
          <xm:sqref>I58:I66 I69:I77 I80:I82 I85:I97 I37:I45 I107:I115 I123:I131</xm:sqref>
        </x14:dataValidation>
        <x14:dataValidation type="list" allowBlank="1" showInputMessage="1" showErrorMessage="1" xr:uid="{4D166A2B-2D2B-406B-8703-B303F50C56D6}">
          <x14:formula1>
            <xm:f>'Reference (hide)'!$A$1:$A$2</xm:f>
          </x14:formula1>
          <xm:sqref>F58:F66 F69:F77 F80:F82 F85:F97 F37:F49 F107:F117 F123:F133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883E1-9CCC-4244-9897-DEA17A5E59BA}">
  <sheetPr>
    <tabColor rgb="FF1F4E78"/>
  </sheetPr>
  <dimension ref="A1:BZ119"/>
  <sheetViews>
    <sheetView topLeftCell="A29" workbookViewId="0">
      <selection activeCell="E35" sqref="E35"/>
    </sheetView>
  </sheetViews>
  <sheetFormatPr defaultColWidth="8.85546875" defaultRowHeight="14.85"/>
  <cols>
    <col min="1" max="1" width="37.28515625" customWidth="1"/>
    <col min="2" max="2" width="14.42578125" style="297" customWidth="1"/>
    <col min="3" max="3" width="27.7109375" customWidth="1"/>
    <col min="4" max="6" width="14.42578125" customWidth="1"/>
    <col min="7" max="7" width="22.85546875" customWidth="1"/>
    <col min="8" max="8" width="17.42578125" customWidth="1"/>
    <col min="9" max="78" width="14.42578125" customWidth="1"/>
    <col min="79" max="97" width="13.85546875" customWidth="1"/>
  </cols>
  <sheetData>
    <row r="1" spans="1:78">
      <c r="A1" s="577" t="s">
        <v>352</v>
      </c>
      <c r="B1" s="577"/>
      <c r="C1" s="577"/>
      <c r="D1" s="577"/>
      <c r="E1" s="577"/>
      <c r="F1" s="577"/>
      <c r="G1" s="577"/>
      <c r="H1" s="577"/>
      <c r="I1" s="577"/>
      <c r="J1" s="577"/>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row>
    <row r="2" spans="1:78">
      <c r="A2" s="577"/>
      <c r="B2" s="577"/>
      <c r="C2" s="577"/>
      <c r="D2" s="577"/>
      <c r="E2" s="577"/>
      <c r="F2" s="577"/>
      <c r="G2" s="577"/>
      <c r="H2" s="577"/>
      <c r="I2" s="577"/>
      <c r="J2" s="577"/>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c r="A3" s="577"/>
      <c r="B3" s="577"/>
      <c r="C3" s="577"/>
      <c r="D3" s="577"/>
      <c r="E3" s="577"/>
      <c r="F3" s="577"/>
      <c r="G3" s="577"/>
      <c r="H3" s="577"/>
      <c r="I3" s="577"/>
      <c r="J3" s="577"/>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15" customHeight="1">
      <c r="A4" s="568" t="s">
        <v>353</v>
      </c>
      <c r="B4" s="568"/>
      <c r="C4" s="568"/>
      <c r="D4" s="568"/>
      <c r="E4" s="568"/>
      <c r="F4" s="568"/>
      <c r="G4" s="568"/>
      <c r="H4" s="568"/>
      <c r="I4" s="568"/>
      <c r="J4" s="568"/>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c r="A5" s="571"/>
      <c r="B5" s="571"/>
      <c r="C5" s="571"/>
      <c r="D5" s="571"/>
      <c r="E5" s="571"/>
      <c r="F5" s="571"/>
      <c r="G5" s="571"/>
      <c r="H5" s="571"/>
      <c r="I5" s="571"/>
      <c r="J5" s="571"/>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row>
    <row r="6" spans="1:78">
      <c r="A6" s="571"/>
      <c r="B6" s="571"/>
      <c r="C6" s="571"/>
      <c r="D6" s="571"/>
      <c r="E6" s="571"/>
      <c r="F6" s="571"/>
      <c r="G6" s="571"/>
      <c r="H6" s="571"/>
      <c r="I6" s="571"/>
      <c r="J6" s="571"/>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row>
    <row r="7" spans="1:78">
      <c r="A7" s="571"/>
      <c r="B7" s="571"/>
      <c r="C7" s="571"/>
      <c r="D7" s="571"/>
      <c r="E7" s="571"/>
      <c r="F7" s="571"/>
      <c r="G7" s="571"/>
      <c r="H7" s="571"/>
      <c r="I7" s="571"/>
      <c r="J7" s="571"/>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row>
    <row r="8" spans="1:78">
      <c r="A8" s="571"/>
      <c r="B8" s="571"/>
      <c r="C8" s="571"/>
      <c r="D8" s="571"/>
      <c r="E8" s="571"/>
      <c r="F8" s="571"/>
      <c r="G8" s="571"/>
      <c r="H8" s="571"/>
      <c r="I8" s="571"/>
      <c r="J8" s="571"/>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row>
    <row r="9" spans="1:78">
      <c r="A9" s="571"/>
      <c r="B9" s="571"/>
      <c r="C9" s="571"/>
      <c r="D9" s="571"/>
      <c r="E9" s="571"/>
      <c r="F9" s="571"/>
      <c r="G9" s="571"/>
      <c r="H9" s="571"/>
      <c r="I9" s="571"/>
      <c r="J9" s="571"/>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row>
    <row r="10" spans="1:78">
      <c r="A10" s="571"/>
      <c r="B10" s="571"/>
      <c r="C10" s="571"/>
      <c r="D10" s="571"/>
      <c r="E10" s="571"/>
      <c r="F10" s="571"/>
      <c r="G10" s="571"/>
      <c r="H10" s="571"/>
      <c r="I10" s="571"/>
      <c r="J10" s="571"/>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row>
    <row r="11" spans="1:78">
      <c r="A11" s="571"/>
      <c r="B11" s="571"/>
      <c r="C11" s="571"/>
      <c r="D11" s="571"/>
      <c r="E11" s="571"/>
      <c r="F11" s="571"/>
      <c r="G11" s="571"/>
      <c r="H11" s="571"/>
      <c r="I11" s="571"/>
      <c r="J11" s="571"/>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row>
    <row r="12" spans="1:78" ht="15" customHeight="1">
      <c r="A12" s="571"/>
      <c r="B12" s="571"/>
      <c r="C12" s="571"/>
      <c r="D12" s="571"/>
      <c r="E12" s="571"/>
      <c r="F12" s="571"/>
      <c r="G12" s="571"/>
      <c r="H12" s="571"/>
      <c r="I12" s="571"/>
      <c r="J12" s="571"/>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row>
    <row r="13" spans="1:78">
      <c r="A13" s="571"/>
      <c r="B13" s="571"/>
      <c r="C13" s="571"/>
      <c r="D13" s="571"/>
      <c r="E13" s="571"/>
      <c r="F13" s="571"/>
      <c r="G13" s="571"/>
      <c r="H13" s="571"/>
      <c r="I13" s="571"/>
      <c r="J13" s="571"/>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1:78">
      <c r="A14" s="571"/>
      <c r="B14" s="571"/>
      <c r="C14" s="571"/>
      <c r="D14" s="571"/>
      <c r="E14" s="571"/>
      <c r="F14" s="571"/>
      <c r="G14" s="571"/>
      <c r="H14" s="571"/>
      <c r="I14" s="571"/>
      <c r="J14" s="571"/>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1:78">
      <c r="A15" s="571"/>
      <c r="B15" s="571"/>
      <c r="C15" s="571"/>
      <c r="D15" s="571"/>
      <c r="E15" s="571"/>
      <c r="F15" s="571"/>
      <c r="G15" s="571"/>
      <c r="H15" s="571"/>
      <c r="I15" s="571"/>
      <c r="J15" s="571"/>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row>
    <row r="16" spans="1:78">
      <c r="A16" s="571"/>
      <c r="B16" s="571"/>
      <c r="C16" s="571"/>
      <c r="D16" s="571"/>
      <c r="E16" s="571"/>
      <c r="F16" s="571"/>
      <c r="G16" s="571"/>
      <c r="H16" s="571"/>
      <c r="I16" s="571"/>
      <c r="J16" s="571"/>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row>
    <row r="17" spans="1:78">
      <c r="A17" s="571"/>
      <c r="B17" s="571"/>
      <c r="C17" s="571"/>
      <c r="D17" s="571"/>
      <c r="E17" s="571"/>
      <c r="F17" s="571"/>
      <c r="G17" s="571"/>
      <c r="H17" s="571"/>
      <c r="I17" s="571"/>
      <c r="J17" s="571"/>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row>
    <row r="18" spans="1:78">
      <c r="A18" s="119"/>
      <c r="B18" s="286"/>
      <c r="C18" s="119"/>
      <c r="D18" s="119"/>
      <c r="E18" s="119"/>
      <c r="F18" s="119"/>
      <c r="G18" s="119"/>
      <c r="H18" s="119"/>
      <c r="I18" s="119"/>
      <c r="J18" s="119"/>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row>
    <row r="19" spans="1:78">
      <c r="A19" s="119"/>
      <c r="B19" s="286"/>
      <c r="C19" s="119"/>
      <c r="D19" s="119"/>
      <c r="E19" s="119"/>
      <c r="F19" s="119"/>
      <c r="G19" s="119"/>
      <c r="H19" s="119"/>
      <c r="I19" s="119"/>
      <c r="J19" s="119"/>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row>
    <row r="20" spans="1:78" ht="31.35">
      <c r="A20" s="253" t="s">
        <v>354</v>
      </c>
      <c r="B20" s="287"/>
      <c r="C20" s="120"/>
      <c r="D20" s="120"/>
      <c r="E20" s="120"/>
      <c r="F20" s="120"/>
      <c r="G20" s="120"/>
      <c r="H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row>
    <row r="21" spans="1:78">
      <c r="A21" s="578" t="s">
        <v>246</v>
      </c>
      <c r="B21" s="580" t="s">
        <v>247</v>
      </c>
      <c r="C21" s="582" t="s">
        <v>338</v>
      </c>
      <c r="D21" s="583"/>
      <c r="E21" s="582" t="s">
        <v>249</v>
      </c>
      <c r="F21" s="582"/>
      <c r="G21" s="584" t="s">
        <v>355</v>
      </c>
      <c r="H21" s="585" t="s">
        <v>251</v>
      </c>
      <c r="I21" s="586" t="s">
        <v>252</v>
      </c>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row>
    <row r="22" spans="1:78" ht="30.75" customHeight="1">
      <c r="A22" s="579"/>
      <c r="B22" s="581"/>
      <c r="C22" s="279" t="s">
        <v>253</v>
      </c>
      <c r="D22" s="280" t="s">
        <v>254</v>
      </c>
      <c r="E22" s="281" t="s">
        <v>255</v>
      </c>
      <c r="F22" s="280" t="s">
        <v>254</v>
      </c>
      <c r="G22" s="584"/>
      <c r="H22" s="585"/>
      <c r="I22" s="586"/>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row>
    <row r="23" spans="1:78">
      <c r="A23" s="255" t="s">
        <v>0</v>
      </c>
      <c r="B23" s="256">
        <v>1</v>
      </c>
      <c r="C23" s="386"/>
      <c r="D23" s="391">
        <f>$B23*C23</f>
        <v>0</v>
      </c>
      <c r="E23" s="321">
        <f>H118+G52</f>
        <v>0</v>
      </c>
      <c r="F23" s="387">
        <f>$B23*E23</f>
        <v>0</v>
      </c>
      <c r="G23" s="389" t="str">
        <f>IFERROR(E23/C23, "-")</f>
        <v>-</v>
      </c>
      <c r="H23" s="393">
        <f>H119+G53</f>
        <v>0</v>
      </c>
      <c r="I23" s="320" t="e">
        <f>H23/E23</f>
        <v>#DIV/0!</v>
      </c>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row>
    <row r="24" spans="1:78">
      <c r="A24" s="258" t="s">
        <v>255</v>
      </c>
      <c r="B24" s="289"/>
      <c r="C24" s="259" t="s">
        <v>256</v>
      </c>
      <c r="D24" s="289">
        <f>SUM(D23:D23)</f>
        <v>0</v>
      </c>
      <c r="E24" s="305" t="s">
        <v>256</v>
      </c>
      <c r="F24" s="305">
        <f>SUM(F23:F23)</f>
        <v>0</v>
      </c>
      <c r="G24" s="251" t="str">
        <f>IFERROR(E24/C24, "-")</f>
        <v>-</v>
      </c>
      <c r="H24" s="376"/>
      <c r="I24" s="249"/>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row>
    <row r="25" spans="1:78">
      <c r="A25" s="254"/>
      <c r="B25" s="290"/>
      <c r="C25" s="261"/>
      <c r="D25" s="261"/>
      <c r="E25" s="261"/>
      <c r="F25" s="261"/>
      <c r="G25" s="261"/>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row>
    <row r="26" spans="1:78" ht="31.35">
      <c r="A26" s="253" t="s">
        <v>356</v>
      </c>
      <c r="B26" s="287"/>
      <c r="C26" s="120"/>
      <c r="D26" s="120"/>
      <c r="E26" s="120"/>
      <c r="F26" s="120"/>
      <c r="G26" s="120"/>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row>
    <row r="27" spans="1:78" ht="15" customHeight="1">
      <c r="A27" s="578" t="s">
        <v>246</v>
      </c>
      <c r="B27" s="580" t="s">
        <v>247</v>
      </c>
      <c r="C27" s="582" t="s">
        <v>338</v>
      </c>
      <c r="D27" s="583"/>
      <c r="E27" s="582" t="s">
        <v>249</v>
      </c>
      <c r="F27" s="582"/>
      <c r="G27" s="584" t="s">
        <v>355</v>
      </c>
      <c r="H27" s="585" t="s">
        <v>251</v>
      </c>
      <c r="I27" s="586" t="s">
        <v>252</v>
      </c>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row>
    <row r="28" spans="1:78" ht="28.5" customHeight="1">
      <c r="A28" s="579"/>
      <c r="B28" s="581"/>
      <c r="C28" s="279" t="s">
        <v>253</v>
      </c>
      <c r="D28" s="280" t="s">
        <v>254</v>
      </c>
      <c r="E28" s="281" t="s">
        <v>255</v>
      </c>
      <c r="F28" s="280" t="s">
        <v>254</v>
      </c>
      <c r="G28" s="584"/>
      <c r="H28" s="585"/>
      <c r="I28" s="586"/>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row>
    <row r="29" spans="1:78">
      <c r="A29" s="255" t="s">
        <v>0</v>
      </c>
      <c r="B29" s="256">
        <v>1</v>
      </c>
      <c r="C29" s="386"/>
      <c r="D29" s="391">
        <f>$B29*C29</f>
        <v>0</v>
      </c>
      <c r="E29" s="321">
        <f>H118+G69</f>
        <v>0</v>
      </c>
      <c r="F29" s="387">
        <f>$B29*E29</f>
        <v>0</v>
      </c>
      <c r="G29" s="389" t="str">
        <f>IFERROR(E29/C29, "-")</f>
        <v>-</v>
      </c>
      <c r="H29" s="297">
        <f>H119+G70</f>
        <v>0</v>
      </c>
      <c r="I29" s="159" t="e">
        <f>H29/E29</f>
        <v>#DIV/0!</v>
      </c>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row>
    <row r="30" spans="1:78">
      <c r="A30" s="258" t="s">
        <v>255</v>
      </c>
      <c r="B30" s="289"/>
      <c r="C30" s="259" t="s">
        <v>256</v>
      </c>
      <c r="D30" s="289">
        <f>SUM(D29:D29)</f>
        <v>0</v>
      </c>
      <c r="E30" s="305" t="s">
        <v>256</v>
      </c>
      <c r="F30" s="305">
        <f>SUM(F29:F29)</f>
        <v>0</v>
      </c>
      <c r="G30" s="392" t="str">
        <f>IFERROR(E30/C30, "-")</f>
        <v>-</v>
      </c>
      <c r="H30" s="394"/>
      <c r="I30" s="315"/>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row>
    <row r="31" spans="1:78">
      <c r="A31" s="254"/>
      <c r="B31" s="290"/>
      <c r="C31" s="261"/>
      <c r="D31" s="261"/>
      <c r="E31" s="261"/>
      <c r="F31" s="261"/>
      <c r="G31" s="261"/>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row>
    <row r="32" spans="1:78" ht="31.35">
      <c r="A32" s="253" t="s">
        <v>357</v>
      </c>
      <c r="B32" s="287"/>
      <c r="C32" s="120"/>
      <c r="D32" s="120"/>
      <c r="E32" s="120"/>
      <c r="F32" s="120"/>
      <c r="G32" s="120"/>
      <c r="H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row>
    <row r="33" spans="1:78" ht="15" customHeight="1">
      <c r="A33" s="578" t="s">
        <v>246</v>
      </c>
      <c r="B33" s="580" t="s">
        <v>247</v>
      </c>
      <c r="C33" s="582" t="s">
        <v>338</v>
      </c>
      <c r="D33" s="583"/>
      <c r="E33" s="582" t="s">
        <v>249</v>
      </c>
      <c r="F33" s="582"/>
      <c r="G33" s="584" t="s">
        <v>355</v>
      </c>
      <c r="H33" s="585" t="s">
        <v>251</v>
      </c>
      <c r="I33" s="586" t="s">
        <v>252</v>
      </c>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row>
    <row r="34" spans="1:78">
      <c r="A34" s="579"/>
      <c r="B34" s="581"/>
      <c r="C34" s="279" t="s">
        <v>253</v>
      </c>
      <c r="D34" s="280" t="s">
        <v>254</v>
      </c>
      <c r="E34" s="281" t="s">
        <v>255</v>
      </c>
      <c r="F34" s="280" t="s">
        <v>254</v>
      </c>
      <c r="G34" s="584"/>
      <c r="H34" s="585"/>
      <c r="I34" s="586"/>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row>
    <row r="35" spans="1:78">
      <c r="A35" s="255" t="s">
        <v>0</v>
      </c>
      <c r="B35" s="256">
        <v>1</v>
      </c>
      <c r="C35" s="386"/>
      <c r="D35" s="391">
        <f>$B35*C35</f>
        <v>0</v>
      </c>
      <c r="E35" s="321">
        <f>H118+G52+'Mine to Smelter'!E27</f>
        <v>0</v>
      </c>
      <c r="F35" s="387">
        <f>$B35*E35</f>
        <v>0</v>
      </c>
      <c r="G35" s="389" t="str">
        <f>IFERROR(E35/C35, "-")</f>
        <v>-</v>
      </c>
      <c r="H35" s="393">
        <f>H119+G53+'Mine to Smelter'!H27</f>
        <v>0</v>
      </c>
      <c r="I35" s="320" t="e">
        <f>H35/E35</f>
        <v>#DIV/0!</v>
      </c>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row>
    <row r="36" spans="1:78">
      <c r="A36" s="258" t="s">
        <v>255</v>
      </c>
      <c r="B36" s="289"/>
      <c r="C36" s="259" t="s">
        <v>256</v>
      </c>
      <c r="D36" s="289">
        <f>SUM(D35:D35)</f>
        <v>0</v>
      </c>
      <c r="E36" s="305" t="s">
        <v>256</v>
      </c>
      <c r="F36" s="305">
        <f>SUM(F35:F35)</f>
        <v>0</v>
      </c>
      <c r="G36" s="251" t="str">
        <f>IFERROR(E36/C36, "-")</f>
        <v>-</v>
      </c>
      <c r="H36" s="376"/>
      <c r="I36" s="249"/>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row>
    <row r="37" spans="1:78">
      <c r="A37" s="254"/>
      <c r="B37" s="291"/>
      <c r="C37" s="261"/>
      <c r="D37" s="261"/>
      <c r="E37" s="261"/>
      <c r="F37" s="261"/>
      <c r="G37" s="261"/>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row>
    <row r="38" spans="1:78">
      <c r="A38" s="254"/>
      <c r="B38" s="290"/>
      <c r="C38" s="261"/>
      <c r="D38" s="261"/>
      <c r="E38" s="261"/>
      <c r="F38" s="261"/>
      <c r="G38" s="261"/>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row>
    <row r="39" spans="1:78" ht="31.35">
      <c r="A39" s="253" t="s">
        <v>358</v>
      </c>
      <c r="B39" s="292"/>
      <c r="C39" s="38"/>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row>
    <row r="40" spans="1:78">
      <c r="A40" s="614" t="s">
        <v>359</v>
      </c>
      <c r="B40" s="580" t="s">
        <v>360</v>
      </c>
      <c r="C40" s="615" t="s">
        <v>361</v>
      </c>
      <c r="D40" s="616" t="s">
        <v>362</v>
      </c>
      <c r="E40" s="608" t="s">
        <v>262</v>
      </c>
      <c r="F40" s="609" t="s">
        <v>363</v>
      </c>
      <c r="G40" s="611" t="s">
        <v>255</v>
      </c>
      <c r="H40" s="613" t="s">
        <v>265</v>
      </c>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row>
    <row r="41" spans="1:78" ht="27" customHeight="1">
      <c r="A41" s="614"/>
      <c r="B41" s="580"/>
      <c r="C41" s="615"/>
      <c r="D41" s="616"/>
      <c r="E41" s="608"/>
      <c r="F41" s="610"/>
      <c r="G41" s="612"/>
      <c r="H41" s="613"/>
      <c r="J41" s="44"/>
      <c r="K41" s="120"/>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row>
    <row r="42" spans="1:78">
      <c r="A42" s="255" t="s">
        <v>364</v>
      </c>
      <c r="B42" s="288"/>
      <c r="C42" s="159"/>
      <c r="D42" s="298">
        <f>B42*C42</f>
        <v>0</v>
      </c>
      <c r="E42" s="310" t="s">
        <v>365</v>
      </c>
      <c r="F42" s="314">
        <v>0</v>
      </c>
      <c r="G42" s="321">
        <f t="shared" ref="G42:G51" si="0">$B42*F42</f>
        <v>0</v>
      </c>
      <c r="H42" s="272" t="s">
        <v>269</v>
      </c>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row>
    <row r="43" spans="1:78">
      <c r="A43" s="257" t="s">
        <v>268</v>
      </c>
      <c r="B43" s="293"/>
      <c r="C43" s="159"/>
      <c r="D43" s="298">
        <f t="shared" ref="D43:D51" si="1">B43*C43</f>
        <v>0</v>
      </c>
      <c r="E43" s="310" t="s">
        <v>45</v>
      </c>
      <c r="F43" s="263"/>
      <c r="G43" s="321">
        <f t="shared" si="0"/>
        <v>0</v>
      </c>
      <c r="H43" s="272"/>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row>
    <row r="44" spans="1:78">
      <c r="A44" s="257" t="s">
        <v>270</v>
      </c>
      <c r="B44" s="293"/>
      <c r="C44" s="159"/>
      <c r="D44" s="298">
        <f t="shared" si="1"/>
        <v>0</v>
      </c>
      <c r="E44" s="310" t="s">
        <v>45</v>
      </c>
      <c r="F44" s="263">
        <v>0</v>
      </c>
      <c r="G44" s="321">
        <f t="shared" si="0"/>
        <v>0</v>
      </c>
      <c r="H44" s="272" t="s">
        <v>267</v>
      </c>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row>
    <row r="45" spans="1:78">
      <c r="A45" s="257" t="s">
        <v>271</v>
      </c>
      <c r="B45" s="293"/>
      <c r="C45" s="159"/>
      <c r="D45" s="298">
        <f t="shared" si="1"/>
        <v>0</v>
      </c>
      <c r="E45" s="310" t="s">
        <v>45</v>
      </c>
      <c r="F45" s="263">
        <v>0</v>
      </c>
      <c r="G45" s="321">
        <f t="shared" si="0"/>
        <v>0</v>
      </c>
      <c r="H45" s="272" t="s">
        <v>267</v>
      </c>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row>
    <row r="46" spans="1:78">
      <c r="A46" s="257" t="s">
        <v>272</v>
      </c>
      <c r="B46" s="293"/>
      <c r="C46" s="159"/>
      <c r="D46" s="298">
        <f t="shared" si="1"/>
        <v>0</v>
      </c>
      <c r="E46" s="310" t="s">
        <v>45</v>
      </c>
      <c r="F46" s="263">
        <v>0</v>
      </c>
      <c r="G46" s="321">
        <f t="shared" si="0"/>
        <v>0</v>
      </c>
      <c r="H46" s="272" t="s">
        <v>267</v>
      </c>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row>
    <row r="47" spans="1:78">
      <c r="A47" s="257" t="s">
        <v>273</v>
      </c>
      <c r="B47" s="293"/>
      <c r="C47" s="159"/>
      <c r="D47" s="298">
        <f t="shared" si="1"/>
        <v>0</v>
      </c>
      <c r="E47" s="310"/>
      <c r="F47" s="263"/>
      <c r="G47" s="321">
        <f t="shared" si="0"/>
        <v>0</v>
      </c>
      <c r="H47" s="272"/>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row>
    <row r="48" spans="1:78">
      <c r="A48" s="257" t="s">
        <v>274</v>
      </c>
      <c r="B48" s="293"/>
      <c r="C48" s="159"/>
      <c r="D48" s="298">
        <f t="shared" si="1"/>
        <v>0</v>
      </c>
      <c r="E48" s="310"/>
      <c r="F48" s="263"/>
      <c r="G48" s="321">
        <f t="shared" si="0"/>
        <v>0</v>
      </c>
      <c r="H48" s="272"/>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row>
    <row r="49" spans="1:78">
      <c r="A49" s="257" t="s">
        <v>276</v>
      </c>
      <c r="B49" s="293"/>
      <c r="C49" s="159"/>
      <c r="D49" s="298">
        <f t="shared" si="1"/>
        <v>0</v>
      </c>
      <c r="E49" s="310"/>
      <c r="F49" s="263"/>
      <c r="G49" s="321">
        <f t="shared" si="0"/>
        <v>0</v>
      </c>
      <c r="H49" s="272"/>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row>
    <row r="50" spans="1:78">
      <c r="A50" s="257" t="s">
        <v>278</v>
      </c>
      <c r="B50" s="293"/>
      <c r="C50" s="159"/>
      <c r="D50" s="298">
        <f t="shared" si="1"/>
        <v>0</v>
      </c>
      <c r="E50" s="310"/>
      <c r="F50" s="263"/>
      <c r="G50" s="321">
        <f t="shared" si="0"/>
        <v>0</v>
      </c>
      <c r="H50" s="272"/>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row>
    <row r="51" spans="1:78">
      <c r="A51" s="257" t="s">
        <v>366</v>
      </c>
      <c r="B51" s="302"/>
      <c r="C51" s="159"/>
      <c r="D51" s="298">
        <f t="shared" si="1"/>
        <v>0</v>
      </c>
      <c r="E51" s="310"/>
      <c r="F51" s="299"/>
      <c r="G51" s="322">
        <f t="shared" si="0"/>
        <v>0</v>
      </c>
      <c r="H51" s="316"/>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row>
    <row r="52" spans="1:78">
      <c r="A52" s="318" t="s">
        <v>255</v>
      </c>
      <c r="B52" s="305">
        <f>SUM(B42:B51)</f>
        <v>0</v>
      </c>
      <c r="C52" s="301"/>
      <c r="D52" s="306">
        <f>SUM(D42:D51)</f>
        <v>0</v>
      </c>
      <c r="E52" s="315"/>
      <c r="F52" s="260" t="s">
        <v>256</v>
      </c>
      <c r="G52" s="304">
        <f>SUM(G42:G51)</f>
        <v>0</v>
      </c>
      <c r="H52" s="317"/>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row>
    <row r="53" spans="1:78">
      <c r="A53" s="588" t="s">
        <v>280</v>
      </c>
      <c r="B53" s="589"/>
      <c r="C53" s="590"/>
      <c r="F53" s="261"/>
      <c r="G53" s="290">
        <f>SUMIF(H42:H51, "Primary", G42:G51)</f>
        <v>0</v>
      </c>
      <c r="H53" s="261"/>
      <c r="I53" s="261"/>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row>
    <row r="54" spans="1:78">
      <c r="A54" s="254"/>
      <c r="B54" s="290"/>
      <c r="F54" s="261"/>
      <c r="G54" s="261"/>
      <c r="H54" s="261"/>
      <c r="I54" s="261"/>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row>
    <row r="55" spans="1:78">
      <c r="A55" s="254"/>
      <c r="B55" s="290"/>
      <c r="F55" s="261"/>
      <c r="G55" s="261"/>
      <c r="H55" s="261"/>
      <c r="I55" s="261"/>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row>
    <row r="56" spans="1:78" ht="31.35">
      <c r="A56" s="253" t="s">
        <v>367</v>
      </c>
      <c r="B56" s="292"/>
      <c r="F56" s="38"/>
      <c r="G56" s="44"/>
      <c r="H56" s="261"/>
      <c r="I56" s="261"/>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row>
    <row r="57" spans="1:78" ht="15" customHeight="1">
      <c r="A57" s="614" t="s">
        <v>359</v>
      </c>
      <c r="B57" s="580" t="s">
        <v>360</v>
      </c>
      <c r="C57" s="585" t="s">
        <v>361</v>
      </c>
      <c r="D57" s="583" t="s">
        <v>368</v>
      </c>
      <c r="E57" s="608" t="s">
        <v>262</v>
      </c>
      <c r="F57" s="609" t="s">
        <v>363</v>
      </c>
      <c r="G57" s="611" t="s">
        <v>255</v>
      </c>
      <c r="H57" s="613" t="s">
        <v>265</v>
      </c>
      <c r="I57" s="261"/>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row>
    <row r="58" spans="1:78" ht="33" customHeight="1">
      <c r="A58" s="614"/>
      <c r="B58" s="580"/>
      <c r="C58" s="585"/>
      <c r="D58" s="583"/>
      <c r="E58" s="608"/>
      <c r="F58" s="610"/>
      <c r="G58" s="612"/>
      <c r="H58" s="613"/>
      <c r="I58" s="261"/>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row>
    <row r="59" spans="1:78">
      <c r="A59" s="255" t="s">
        <v>364</v>
      </c>
      <c r="B59" s="288"/>
      <c r="C59" s="159"/>
      <c r="D59" s="298">
        <f>B59*C59</f>
        <v>0</v>
      </c>
      <c r="E59" s="310" t="s">
        <v>365</v>
      </c>
      <c r="F59" s="262"/>
      <c r="G59" s="321">
        <f t="shared" ref="G59:G68" si="2">$B59*F59</f>
        <v>0</v>
      </c>
      <c r="H59" s="272" t="s">
        <v>269</v>
      </c>
      <c r="I59" s="261"/>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row>
    <row r="60" spans="1:78">
      <c r="A60" s="257" t="s">
        <v>268</v>
      </c>
      <c r="B60" s="293"/>
      <c r="C60" s="159"/>
      <c r="D60" s="298"/>
      <c r="E60" s="310" t="s">
        <v>45</v>
      </c>
      <c r="F60" s="263"/>
      <c r="G60" s="321">
        <f t="shared" si="2"/>
        <v>0</v>
      </c>
      <c r="H60" s="272"/>
      <c r="I60" s="261"/>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row>
    <row r="61" spans="1:78">
      <c r="A61" s="257" t="s">
        <v>270</v>
      </c>
      <c r="B61" s="293"/>
      <c r="C61" s="159"/>
      <c r="D61" s="298"/>
      <c r="E61" s="310" t="s">
        <v>45</v>
      </c>
      <c r="F61" s="263"/>
      <c r="G61" s="321">
        <f t="shared" si="2"/>
        <v>0</v>
      </c>
      <c r="H61" s="272" t="s">
        <v>267</v>
      </c>
      <c r="I61" s="261"/>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row>
    <row r="62" spans="1:78">
      <c r="A62" s="257" t="s">
        <v>271</v>
      </c>
      <c r="B62" s="293"/>
      <c r="C62" s="159"/>
      <c r="D62" s="298"/>
      <c r="E62" s="310" t="s">
        <v>45</v>
      </c>
      <c r="F62" s="263"/>
      <c r="G62" s="321">
        <f t="shared" si="2"/>
        <v>0</v>
      </c>
      <c r="H62" s="272" t="s">
        <v>267</v>
      </c>
      <c r="I62" s="261"/>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row>
    <row r="63" spans="1:78">
      <c r="A63" s="257" t="s">
        <v>272</v>
      </c>
      <c r="B63" s="293"/>
      <c r="C63" s="159"/>
      <c r="D63" s="298"/>
      <c r="E63" s="310" t="s">
        <v>45</v>
      </c>
      <c r="F63" s="263"/>
      <c r="G63" s="321">
        <f t="shared" si="2"/>
        <v>0</v>
      </c>
      <c r="H63" s="272" t="s">
        <v>267</v>
      </c>
      <c r="I63" s="261"/>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row>
    <row r="64" spans="1:78">
      <c r="A64" s="257" t="s">
        <v>273</v>
      </c>
      <c r="B64" s="293"/>
      <c r="D64" s="298">
        <f t="shared" ref="D64:D68" si="3">B64*C64</f>
        <v>0</v>
      </c>
      <c r="E64" s="310"/>
      <c r="F64" s="263"/>
      <c r="G64" s="321">
        <f t="shared" si="2"/>
        <v>0</v>
      </c>
      <c r="H64" s="272"/>
      <c r="I64" s="261"/>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row>
    <row r="65" spans="1:78">
      <c r="A65" s="257" t="s">
        <v>274</v>
      </c>
      <c r="B65" s="293"/>
      <c r="D65" s="298">
        <f t="shared" si="3"/>
        <v>0</v>
      </c>
      <c r="E65" s="310"/>
      <c r="F65" s="263"/>
      <c r="G65" s="321">
        <f t="shared" si="2"/>
        <v>0</v>
      </c>
      <c r="H65" s="272"/>
      <c r="I65" s="261"/>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row>
    <row r="66" spans="1:78">
      <c r="A66" s="257" t="s">
        <v>276</v>
      </c>
      <c r="B66" s="293"/>
      <c r="D66" s="298">
        <f t="shared" si="3"/>
        <v>0</v>
      </c>
      <c r="E66" s="310"/>
      <c r="F66" s="263"/>
      <c r="G66" s="321">
        <f t="shared" si="2"/>
        <v>0</v>
      </c>
      <c r="H66" s="272"/>
      <c r="I66" s="261"/>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row>
    <row r="67" spans="1:78">
      <c r="A67" s="257" t="s">
        <v>278</v>
      </c>
      <c r="B67" s="293"/>
      <c r="D67" s="298">
        <f t="shared" si="3"/>
        <v>0</v>
      </c>
      <c r="E67" s="310"/>
      <c r="F67" s="263"/>
      <c r="G67" s="321">
        <f t="shared" si="2"/>
        <v>0</v>
      </c>
      <c r="H67" s="272"/>
      <c r="I67" s="261"/>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row>
    <row r="68" spans="1:78">
      <c r="A68" s="257" t="s">
        <v>366</v>
      </c>
      <c r="B68" s="302"/>
      <c r="D68" s="298">
        <f t="shared" si="3"/>
        <v>0</v>
      </c>
      <c r="E68" s="310"/>
      <c r="F68" s="264"/>
      <c r="G68" s="322">
        <f t="shared" si="2"/>
        <v>0</v>
      </c>
      <c r="H68" s="272"/>
      <c r="I68" s="261"/>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row>
    <row r="69" spans="1:78">
      <c r="A69" s="318" t="s">
        <v>255</v>
      </c>
      <c r="B69" s="305">
        <f>SUM(B59:B68)</f>
        <v>0</v>
      </c>
      <c r="C69" s="301"/>
      <c r="D69" s="301"/>
      <c r="E69" s="301"/>
      <c r="F69" s="260" t="s">
        <v>256</v>
      </c>
      <c r="G69" s="304">
        <f>SUM(G59:G68)</f>
        <v>0</v>
      </c>
      <c r="H69" s="269"/>
      <c r="I69" s="261"/>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row>
    <row r="70" spans="1:78">
      <c r="A70" s="319" t="s">
        <v>280</v>
      </c>
      <c r="B70" s="303"/>
      <c r="F70" s="261"/>
      <c r="G70" s="290">
        <f>SUMIF(H59:H68, "Primary", G59:G68)</f>
        <v>0</v>
      </c>
      <c r="H70" s="261"/>
      <c r="I70" s="261"/>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row>
    <row r="71" spans="1:78">
      <c r="A71" s="254"/>
      <c r="B71" s="303"/>
      <c r="F71" s="261"/>
      <c r="G71" s="261"/>
      <c r="H71" s="261"/>
      <c r="I71" s="261"/>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row>
    <row r="72" spans="1:78">
      <c r="A72" s="254"/>
      <c r="B72" s="292"/>
      <c r="D72" s="38"/>
      <c r="E72" s="38"/>
      <c r="F72" s="38"/>
      <c r="G72" s="38"/>
      <c r="H72" s="38"/>
      <c r="I72" s="38"/>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row>
    <row r="73" spans="1:78" ht="31.35">
      <c r="A73" s="253" t="s">
        <v>369</v>
      </c>
      <c r="B73" s="292"/>
      <c r="C73" s="38"/>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row>
    <row r="74" spans="1:78">
      <c r="A74" s="587" t="s">
        <v>258</v>
      </c>
      <c r="B74" s="587"/>
      <c r="C74" s="587"/>
      <c r="D74" s="587" t="str">
        <f>A23</f>
        <v>Asset 1</v>
      </c>
      <c r="E74" s="587"/>
      <c r="F74" s="587"/>
      <c r="G74" s="587"/>
      <c r="H74" s="587"/>
      <c r="I74" s="313"/>
      <c r="N74" s="672"/>
      <c r="O74" s="672"/>
      <c r="P74" s="672"/>
      <c r="Q74" s="672"/>
      <c r="R74" s="672"/>
      <c r="S74" s="672"/>
      <c r="T74" s="672"/>
      <c r="U74" s="672"/>
      <c r="V74" s="672"/>
      <c r="W74" s="672"/>
      <c r="X74" s="672"/>
      <c r="Y74" s="672"/>
      <c r="Z74" s="672"/>
      <c r="AA74" s="672"/>
      <c r="AB74" s="672"/>
      <c r="AC74" s="672"/>
      <c r="AD74" s="672"/>
      <c r="AE74" s="672"/>
      <c r="AF74" s="672"/>
      <c r="AG74" s="672"/>
      <c r="AH74" s="672"/>
      <c r="AI74" s="672"/>
      <c r="AJ74" s="672"/>
      <c r="AK74" s="672"/>
      <c r="AL74" s="672"/>
      <c r="AM74" s="672"/>
      <c r="AN74" s="672"/>
      <c r="AO74" s="672"/>
      <c r="AP74" s="672"/>
      <c r="AQ74" s="672"/>
      <c r="AR74" s="672"/>
      <c r="AS74" s="672"/>
      <c r="AT74" s="672"/>
      <c r="AU74" s="672"/>
      <c r="AV74" s="672"/>
      <c r="AW74" s="672"/>
      <c r="AX74" s="672"/>
      <c r="AY74" s="672"/>
      <c r="AZ74" s="672"/>
      <c r="BA74" s="672"/>
      <c r="BB74" s="672"/>
      <c r="BC74" s="672"/>
      <c r="BD74" s="672"/>
      <c r="BE74" s="672"/>
      <c r="BF74" s="672"/>
      <c r="BG74" s="672"/>
      <c r="BH74" s="672"/>
      <c r="BI74" s="672"/>
      <c r="BJ74" s="672"/>
      <c r="BK74" s="672"/>
      <c r="BL74" s="672"/>
      <c r="BM74" s="672"/>
      <c r="BN74" s="672"/>
      <c r="BO74" s="672"/>
      <c r="BP74" s="672"/>
      <c r="BQ74" s="672"/>
      <c r="BR74" s="672"/>
      <c r="BS74" s="672"/>
      <c r="BT74" s="672"/>
      <c r="BU74" s="672"/>
      <c r="BV74" s="672"/>
      <c r="BW74" s="672"/>
      <c r="BX74" s="672"/>
      <c r="BY74" s="672"/>
      <c r="BZ74" s="672"/>
    </row>
    <row r="75" spans="1:78" ht="29.45">
      <c r="A75" s="283" t="s">
        <v>259</v>
      </c>
      <c r="B75" s="294" t="s">
        <v>30</v>
      </c>
      <c r="C75" s="284" t="s">
        <v>260</v>
      </c>
      <c r="D75" s="285" t="s">
        <v>261</v>
      </c>
      <c r="E75" s="282" t="s">
        <v>32</v>
      </c>
      <c r="F75" s="282" t="s">
        <v>262</v>
      </c>
      <c r="G75" s="282" t="s">
        <v>263</v>
      </c>
      <c r="H75" s="284" t="s">
        <v>264</v>
      </c>
      <c r="I75" s="309" t="s">
        <v>265</v>
      </c>
    </row>
    <row r="76" spans="1:78">
      <c r="A76" s="265"/>
      <c r="B76" s="295"/>
      <c r="C76" s="267"/>
      <c r="D76" s="268"/>
      <c r="E76" s="266"/>
      <c r="F76" s="266"/>
      <c r="G76" s="266"/>
      <c r="H76" s="267"/>
    </row>
    <row r="77" spans="1:78">
      <c r="A77" s="591" t="s">
        <v>282</v>
      </c>
      <c r="B77" s="592"/>
      <c r="C77" s="593"/>
      <c r="D77" s="269"/>
      <c r="E77" s="269"/>
      <c r="F77" s="269"/>
      <c r="G77" s="269"/>
      <c r="H77" s="381">
        <f>SUM(H78:H86)</f>
        <v>0</v>
      </c>
    </row>
    <row r="78" spans="1:78">
      <c r="A78" s="270" t="s">
        <v>46</v>
      </c>
      <c r="B78" s="292" t="s">
        <v>44</v>
      </c>
      <c r="C78" s="278">
        <f>'Default EF'!G14</f>
        <v>2.6426992500000002</v>
      </c>
      <c r="D78" s="374"/>
      <c r="E78" s="272"/>
      <c r="F78" s="272" t="s">
        <v>45</v>
      </c>
      <c r="G78" s="272"/>
      <c r="H78" s="382">
        <f>IF(F78='Reference (hide)'!$A$1, (D78-E78)*$C78, (D78-E78)*G78)</f>
        <v>0</v>
      </c>
      <c r="I78" s="310" t="s">
        <v>269</v>
      </c>
    </row>
    <row r="79" spans="1:78">
      <c r="A79" s="270" t="s">
        <v>47</v>
      </c>
      <c r="B79" s="292" t="s">
        <v>44</v>
      </c>
      <c r="C79" s="278">
        <f>'Default EF'!G16</f>
        <v>2.4581595000000003</v>
      </c>
      <c r="D79" s="374"/>
      <c r="E79" s="272"/>
      <c r="F79" s="272" t="s">
        <v>45</v>
      </c>
      <c r="G79" s="272"/>
      <c r="H79" s="382">
        <f>IF(F79='Reference (hide)'!$A$1, (D79-E79)*$C79, (D79-E79)*G79)</f>
        <v>0</v>
      </c>
      <c r="I79" s="310" t="s">
        <v>269</v>
      </c>
    </row>
    <row r="80" spans="1:78">
      <c r="A80" s="270" t="s">
        <v>48</v>
      </c>
      <c r="B80" s="292" t="s">
        <v>44</v>
      </c>
      <c r="C80" s="278">
        <f>'Default EF'!G17</f>
        <v>1.8290947499999997</v>
      </c>
      <c r="D80" s="374"/>
      <c r="E80" s="272"/>
      <c r="F80" s="272" t="s">
        <v>45</v>
      </c>
      <c r="G80" s="272"/>
      <c r="H80" s="382">
        <f>IF(F80='Reference (hide)'!$A$1, (D80-E80)*$C80, (D80-E80)*G80)</f>
        <v>0</v>
      </c>
      <c r="I80" s="310" t="s">
        <v>269</v>
      </c>
    </row>
    <row r="81" spans="1:9">
      <c r="A81" s="270" t="s">
        <v>49</v>
      </c>
      <c r="B81" s="292" t="s">
        <v>44</v>
      </c>
      <c r="C81" s="278">
        <f>'Default EF'!G18</f>
        <v>1.2099622500000002</v>
      </c>
      <c r="D81" s="374"/>
      <c r="E81" s="272"/>
      <c r="F81" s="272" t="s">
        <v>45</v>
      </c>
      <c r="G81" s="272"/>
      <c r="H81" s="382">
        <f>IF(F81='Reference (hide)'!$A$1, (D81-E81)*$C81, (D81-E81)*G81)</f>
        <v>0</v>
      </c>
      <c r="I81" s="310" t="s">
        <v>269</v>
      </c>
    </row>
    <row r="82" spans="1:9">
      <c r="A82" s="270" t="s">
        <v>283</v>
      </c>
      <c r="B82" s="292" t="s">
        <v>275</v>
      </c>
      <c r="C82" s="271">
        <f>'Default EF'!G19</f>
        <v>2.9487799999999998E-3</v>
      </c>
      <c r="D82" s="374"/>
      <c r="E82" s="272"/>
      <c r="F82" s="272" t="s">
        <v>45</v>
      </c>
      <c r="G82" s="272"/>
      <c r="H82" s="382">
        <f>IF(F82='Reference (hide)'!$A$1, (D82-E82)*$C82, (D82-E82)*G82)</f>
        <v>0</v>
      </c>
      <c r="I82" s="310" t="s">
        <v>269</v>
      </c>
    </row>
    <row r="83" spans="1:9">
      <c r="A83" s="270" t="s">
        <v>284</v>
      </c>
      <c r="B83" s="292" t="s">
        <v>275</v>
      </c>
      <c r="C83" s="271">
        <f>'Default EF'!G20</f>
        <v>2.6854800000000001E-3</v>
      </c>
      <c r="D83" s="374"/>
      <c r="E83" s="272"/>
      <c r="F83" s="272" t="s">
        <v>45</v>
      </c>
      <c r="G83" s="272"/>
      <c r="H83" s="382">
        <f>IF(F83='Reference (hide)'!$A$1, (D83-E83)*$C83, (D83-E83)*G83)</f>
        <v>0</v>
      </c>
      <c r="I83" s="310" t="s">
        <v>269</v>
      </c>
    </row>
    <row r="84" spans="1:9">
      <c r="A84" s="270" t="s">
        <v>53</v>
      </c>
      <c r="B84" s="292" t="s">
        <v>275</v>
      </c>
      <c r="C84" s="271">
        <f>'Default EF'!G21</f>
        <v>1.6159529430000001E-3</v>
      </c>
      <c r="D84" s="374"/>
      <c r="E84" s="272"/>
      <c r="F84" s="272" t="s">
        <v>45</v>
      </c>
      <c r="G84" s="272"/>
      <c r="H84" s="382">
        <f>IF(F84='Reference (hide)'!$A$1, (D84-E84)*$C84, (D84-E84)*G84)</f>
        <v>0</v>
      </c>
      <c r="I84" s="310" t="s">
        <v>269</v>
      </c>
    </row>
    <row r="85" spans="1:9">
      <c r="A85" s="270" t="s">
        <v>285</v>
      </c>
      <c r="B85" s="292" t="s">
        <v>277</v>
      </c>
      <c r="C85" s="271">
        <f>'Default EF'!G22</f>
        <v>2.2102717812691286E-3</v>
      </c>
      <c r="D85" s="374"/>
      <c r="E85" s="272"/>
      <c r="F85" s="272" t="s">
        <v>45</v>
      </c>
      <c r="G85" s="272"/>
      <c r="H85" s="382">
        <f>IF(F85='Reference (hide)'!$A$1, (D85-E85)*$C85, (D85-E85)*G85)</f>
        <v>0</v>
      </c>
      <c r="I85" s="310" t="s">
        <v>269</v>
      </c>
    </row>
    <row r="86" spans="1:9">
      <c r="A86" s="270" t="s">
        <v>285</v>
      </c>
      <c r="B86" s="292" t="s">
        <v>279</v>
      </c>
      <c r="C86" s="252">
        <f>'Default EF'!G23</f>
        <v>5.8470000000000001E-2</v>
      </c>
      <c r="D86" s="374"/>
      <c r="E86" s="272"/>
      <c r="F86" s="272" t="s">
        <v>45</v>
      </c>
      <c r="G86" s="272"/>
      <c r="H86" s="382">
        <f>IF(F86='Reference (hide)'!$A$1, (D86-E86)*$C86, (D86-E86)*G86)</f>
        <v>0</v>
      </c>
      <c r="I86" s="310" t="s">
        <v>269</v>
      </c>
    </row>
    <row r="87" spans="1:9">
      <c r="A87" s="120"/>
      <c r="B87" s="296"/>
      <c r="C87" s="250"/>
      <c r="D87" s="296"/>
      <c r="E87" s="249"/>
      <c r="F87" s="249"/>
      <c r="G87" s="249"/>
      <c r="H87" s="383"/>
      <c r="I87" s="311"/>
    </row>
    <row r="88" spans="1:9">
      <c r="A88" s="591" t="s">
        <v>286</v>
      </c>
      <c r="B88" s="591"/>
      <c r="C88" s="591"/>
      <c r="D88" s="324"/>
      <c r="E88" s="260"/>
      <c r="F88" s="260"/>
      <c r="G88" s="260"/>
      <c r="H88" s="289">
        <f>SUM(H89:H97)</f>
        <v>0</v>
      </c>
      <c r="I88" s="311"/>
    </row>
    <row r="89" spans="1:9">
      <c r="A89" s="270" t="s">
        <v>287</v>
      </c>
      <c r="B89" s="292" t="s">
        <v>44</v>
      </c>
      <c r="C89" s="278">
        <f>'Default EF'!J14</f>
        <v>0.39248999999999995</v>
      </c>
      <c r="D89" s="375">
        <f t="shared" ref="D89:E91" si="4">D78</f>
        <v>0</v>
      </c>
      <c r="E89" s="375">
        <f t="shared" si="4"/>
        <v>0</v>
      </c>
      <c r="F89" s="272" t="s">
        <v>45</v>
      </c>
      <c r="G89" s="272"/>
      <c r="H89" s="382">
        <f>IF(F89='Reference (hide)'!$A$1, (D89-E89)*$C89, (D89-E89)*G89)</f>
        <v>0</v>
      </c>
      <c r="I89" s="310" t="s">
        <v>267</v>
      </c>
    </row>
    <row r="90" spans="1:9">
      <c r="A90" s="270" t="s">
        <v>288</v>
      </c>
      <c r="B90" s="292" t="s">
        <v>44</v>
      </c>
      <c r="C90" s="278">
        <f>'Default EF'!J16</f>
        <v>0.37925999999999999</v>
      </c>
      <c r="D90" s="375">
        <f t="shared" si="4"/>
        <v>0</v>
      </c>
      <c r="E90" s="375">
        <f t="shared" si="4"/>
        <v>0</v>
      </c>
      <c r="F90" s="272" t="s">
        <v>45</v>
      </c>
      <c r="G90" s="272"/>
      <c r="H90" s="382">
        <f>IF(F90='Reference (hide)'!$A$1, (D90-E90)*$C90, (D90-E90)*G90)</f>
        <v>0</v>
      </c>
      <c r="I90" s="310"/>
    </row>
    <row r="91" spans="1:9">
      <c r="A91" s="270" t="s">
        <v>289</v>
      </c>
      <c r="B91" s="292" t="s">
        <v>44</v>
      </c>
      <c r="C91" s="278">
        <f>'Default EF'!J17</f>
        <v>0.27782999999999997</v>
      </c>
      <c r="D91" s="375">
        <f t="shared" si="4"/>
        <v>0</v>
      </c>
      <c r="E91" s="375">
        <f t="shared" si="4"/>
        <v>0</v>
      </c>
      <c r="F91" s="272" t="s">
        <v>45</v>
      </c>
      <c r="G91" s="272"/>
      <c r="H91" s="382">
        <f>IF(F91='Reference (hide)'!$A$1, (D91-E91)*$C91, (D91-E91)*G91)</f>
        <v>0</v>
      </c>
      <c r="I91" s="310"/>
    </row>
    <row r="92" spans="1:9">
      <c r="A92" s="270" t="s">
        <v>290</v>
      </c>
      <c r="B92" s="292" t="s">
        <v>44</v>
      </c>
      <c r="C92" s="278">
        <f>'Default EF'!J18</f>
        <v>0.17493</v>
      </c>
      <c r="D92" s="375">
        <f>D81</f>
        <v>0</v>
      </c>
      <c r="E92" s="375">
        <f>E81</f>
        <v>0</v>
      </c>
      <c r="F92" s="272" t="s">
        <v>45</v>
      </c>
      <c r="G92" s="272"/>
      <c r="H92" s="382">
        <f>IF(F92='Reference (hide)'!$A$1, (D92-E92)*$C92, (D92-E92)*G92)</f>
        <v>0</v>
      </c>
      <c r="I92" s="310"/>
    </row>
    <row r="93" spans="1:9">
      <c r="A93" s="270" t="s">
        <v>291</v>
      </c>
      <c r="B93" s="292" t="s">
        <v>275</v>
      </c>
      <c r="C93" s="271">
        <f>'Default EF'!J19</f>
        <v>4.2533119999999989E-4</v>
      </c>
      <c r="D93" s="375">
        <f t="shared" ref="D93:E97" si="5">D82</f>
        <v>0</v>
      </c>
      <c r="E93" s="375">
        <f>E83</f>
        <v>0</v>
      </c>
      <c r="F93" s="272" t="s">
        <v>45</v>
      </c>
      <c r="G93" s="272"/>
      <c r="H93" s="382">
        <f>IF(F93='Reference (hide)'!$A$1, (D93-E93)*$C93, (D93-E93)*G93)</f>
        <v>0</v>
      </c>
      <c r="I93" s="310" t="s">
        <v>267</v>
      </c>
    </row>
    <row r="94" spans="1:9">
      <c r="A94" s="270" t="s">
        <v>292</v>
      </c>
      <c r="B94" s="292" t="s">
        <v>275</v>
      </c>
      <c r="C94" s="271">
        <f>'Default EF'!J20</f>
        <v>5.9092319999999989E-4</v>
      </c>
      <c r="D94" s="375">
        <f t="shared" si="5"/>
        <v>0</v>
      </c>
      <c r="E94" s="375">
        <f>E82</f>
        <v>0</v>
      </c>
      <c r="F94" s="272" t="s">
        <v>45</v>
      </c>
      <c r="G94" s="272"/>
      <c r="H94" s="382">
        <f>IF(F94='Reference (hide)'!$A$1, (D94-E94)*$C94, (D94-E94)*G94)</f>
        <v>0</v>
      </c>
      <c r="I94" s="310" t="s">
        <v>267</v>
      </c>
    </row>
    <row r="95" spans="1:9">
      <c r="A95" s="270" t="s">
        <v>293</v>
      </c>
      <c r="B95" s="292" t="s">
        <v>275</v>
      </c>
      <c r="C95" s="271">
        <f>'Default EF'!J21</f>
        <v>1.7956026000000001E-4</v>
      </c>
      <c r="D95" s="375">
        <f t="shared" si="5"/>
        <v>0</v>
      </c>
      <c r="E95" s="375">
        <f t="shared" si="5"/>
        <v>0</v>
      </c>
      <c r="F95" s="272" t="s">
        <v>45</v>
      </c>
      <c r="G95" s="272"/>
      <c r="H95" s="382">
        <f>IF(F95='Reference (hide)'!$A$1, (D95-E95)*$C95, (D95-E95)*G95)</f>
        <v>0</v>
      </c>
      <c r="I95" s="310"/>
    </row>
    <row r="96" spans="1:9">
      <c r="A96" s="270" t="s">
        <v>294</v>
      </c>
      <c r="B96" s="292" t="s">
        <v>277</v>
      </c>
      <c r="C96" s="271">
        <f>'Default EF'!J22</f>
        <v>3.2887573964497034E-4</v>
      </c>
      <c r="D96" s="375">
        <f t="shared" si="5"/>
        <v>0</v>
      </c>
      <c r="E96" s="375">
        <f t="shared" si="5"/>
        <v>0</v>
      </c>
      <c r="F96" s="272" t="s">
        <v>45</v>
      </c>
      <c r="G96" s="272"/>
      <c r="H96" s="382">
        <f>IF(F96='Reference (hide)'!$A$1, (D96-E96)*$C96, (D96-E96)*G96)</f>
        <v>0</v>
      </c>
      <c r="I96" s="310" t="s">
        <v>267</v>
      </c>
    </row>
    <row r="97" spans="1:78">
      <c r="A97" s="270" t="s">
        <v>294</v>
      </c>
      <c r="B97" s="292" t="s">
        <v>279</v>
      </c>
      <c r="C97" s="271">
        <f>'Default EF'!J23</f>
        <v>8.6999999999999994E-3</v>
      </c>
      <c r="D97" s="375">
        <f t="shared" si="5"/>
        <v>0</v>
      </c>
      <c r="E97" s="375">
        <f t="shared" si="5"/>
        <v>0</v>
      </c>
      <c r="F97" s="272" t="s">
        <v>45</v>
      </c>
      <c r="G97" s="272"/>
      <c r="H97" s="382">
        <f>IF(F97='Reference (hide)'!$A$1, (D97-E97)*$C97, (D97-E97)*G97)</f>
        <v>0</v>
      </c>
      <c r="I97" s="310"/>
    </row>
    <row r="98" spans="1:78">
      <c r="A98" s="273"/>
      <c r="B98" s="296"/>
      <c r="C98" s="250"/>
      <c r="D98" s="376"/>
      <c r="E98" s="249"/>
      <c r="F98" s="249"/>
      <c r="G98" s="249"/>
      <c r="H98" s="383"/>
      <c r="I98" s="311"/>
    </row>
    <row r="99" spans="1:78" ht="14.45" customHeight="1">
      <c r="A99" s="591" t="s">
        <v>295</v>
      </c>
      <c r="B99" s="591"/>
      <c r="C99" s="591"/>
      <c r="D99" s="377"/>
      <c r="E99" s="269"/>
      <c r="F99" s="269"/>
      <c r="G99" s="269"/>
      <c r="H99" s="381">
        <f>SUM(H100:H102)</f>
        <v>0</v>
      </c>
      <c r="I99" s="311"/>
    </row>
    <row r="100" spans="1:78" ht="14.45" customHeight="1">
      <c r="A100" s="270" t="s">
        <v>296</v>
      </c>
      <c r="B100" s="292" t="s">
        <v>44</v>
      </c>
      <c r="C100" s="278">
        <f>'Default EF'!G57</f>
        <v>0.11</v>
      </c>
      <c r="D100" s="374"/>
      <c r="E100" s="272"/>
      <c r="F100" s="272" t="s">
        <v>45</v>
      </c>
      <c r="G100" s="272"/>
      <c r="H100" s="382">
        <f>IF(F100='Reference (hide)'!$A$1, (D100-E100)*$C100, (D100-E100)*G100)</f>
        <v>0</v>
      </c>
      <c r="I100" s="310"/>
    </row>
    <row r="101" spans="1:78" ht="14.45" customHeight="1">
      <c r="A101" s="270" t="s">
        <v>297</v>
      </c>
      <c r="B101" s="292" t="s">
        <v>44</v>
      </c>
      <c r="C101" s="278">
        <f>'Default EF'!G58</f>
        <v>0.36</v>
      </c>
      <c r="D101" s="374"/>
      <c r="E101" s="272"/>
      <c r="F101" s="272" t="s">
        <v>45</v>
      </c>
      <c r="G101" s="272"/>
      <c r="H101" s="382">
        <f>IF(F101='Reference (hide)'!$A$1, (D101-E101)*$C101, (D101-E101)*G101)</f>
        <v>0</v>
      </c>
      <c r="I101" s="310"/>
    </row>
    <row r="102" spans="1:78">
      <c r="A102" s="270" t="s">
        <v>285</v>
      </c>
      <c r="B102" s="292" t="s">
        <v>277</v>
      </c>
      <c r="C102" s="271">
        <f>'Default EF'!G59</f>
        <v>3.2000000000000003E-4</v>
      </c>
      <c r="D102" s="374"/>
      <c r="E102" s="272"/>
      <c r="F102" s="272" t="s">
        <v>45</v>
      </c>
      <c r="G102" s="272"/>
      <c r="H102" s="382">
        <f>IF(F102='Reference (hide)'!$A$1, (D102-E102)*$C102, (D102-E102)*G102)</f>
        <v>0</v>
      </c>
      <c r="I102" s="310"/>
    </row>
    <row r="103" spans="1:78">
      <c r="A103" s="270"/>
      <c r="B103" s="292"/>
      <c r="C103" s="247"/>
      <c r="D103" s="378"/>
      <c r="E103" s="38"/>
      <c r="F103" s="38"/>
      <c r="G103" s="38"/>
      <c r="H103" s="382"/>
      <c r="I103" s="311"/>
    </row>
    <row r="104" spans="1:78" s="254" customFormat="1">
      <c r="A104" s="591" t="s">
        <v>298</v>
      </c>
      <c r="B104" s="592"/>
      <c r="C104" s="593"/>
      <c r="D104" s="305"/>
      <c r="E104" s="260"/>
      <c r="F104" s="260"/>
      <c r="G104" s="260"/>
      <c r="H104" s="289">
        <f>SUM(H105:H117)</f>
        <v>0</v>
      </c>
      <c r="I104" s="311"/>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row>
    <row r="105" spans="1:78" s="44" customFormat="1">
      <c r="A105" s="270" t="s">
        <v>299</v>
      </c>
      <c r="B105" s="292" t="s">
        <v>86</v>
      </c>
      <c r="C105" s="247">
        <f>'Default EF'!G64</f>
        <v>0.82</v>
      </c>
      <c r="D105" s="374"/>
      <c r="E105" s="272"/>
      <c r="F105" s="272" t="s">
        <v>45</v>
      </c>
      <c r="G105" s="272"/>
      <c r="H105" s="382">
        <f>IF(F105='Reference (hide)'!$A$1, (D105-E105)*$C105, (D105-E105)*G105)</f>
        <v>0</v>
      </c>
      <c r="I105" s="310"/>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row>
    <row r="106" spans="1:78" s="44" customFormat="1">
      <c r="A106" s="270" t="s">
        <v>285</v>
      </c>
      <c r="B106" s="292" t="s">
        <v>86</v>
      </c>
      <c r="C106" s="247">
        <f>'Default EF'!G65</f>
        <v>0.49</v>
      </c>
      <c r="D106" s="374"/>
      <c r="E106" s="272"/>
      <c r="F106" s="272" t="s">
        <v>45</v>
      </c>
      <c r="G106" s="272"/>
      <c r="H106" s="382">
        <f>IF(F106='Reference (hide)'!$A$1, (D106-E106)*$C106, (D106-E106)*G106)</f>
        <v>0</v>
      </c>
      <c r="I106" s="310"/>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row>
    <row r="107" spans="1:78" s="44" customFormat="1">
      <c r="A107" s="270" t="s">
        <v>300</v>
      </c>
      <c r="B107" s="292" t="s">
        <v>86</v>
      </c>
      <c r="C107" s="247">
        <f>'Default EF'!G66</f>
        <v>0.73299999999999998</v>
      </c>
      <c r="D107" s="374"/>
      <c r="E107" s="272"/>
      <c r="F107" s="272" t="s">
        <v>45</v>
      </c>
      <c r="G107" s="272"/>
      <c r="H107" s="382">
        <f>IF(F107='Reference (hide)'!$A$1, (D107-E107)*$C107, (D107-E107)*G107)</f>
        <v>0</v>
      </c>
      <c r="I107" s="310"/>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row>
    <row r="108" spans="1:78" s="44" customFormat="1">
      <c r="A108" s="270" t="s">
        <v>301</v>
      </c>
      <c r="B108" s="292" t="s">
        <v>86</v>
      </c>
      <c r="C108" s="247">
        <f>'Default EF'!G67</f>
        <v>0.65500000000000003</v>
      </c>
      <c r="D108" s="374"/>
      <c r="E108" s="272"/>
      <c r="F108" s="272" t="s">
        <v>45</v>
      </c>
      <c r="G108" s="272"/>
      <c r="H108" s="382">
        <f>IF(F108='Reference (hide)'!$A$1, (D108-E108)*$C108, (D108-E108)*G108)</f>
        <v>0</v>
      </c>
      <c r="I108" s="310"/>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row>
    <row r="109" spans="1:78" s="44" customFormat="1">
      <c r="A109" s="270" t="s">
        <v>302</v>
      </c>
      <c r="B109" s="292" t="s">
        <v>86</v>
      </c>
      <c r="C109" s="247">
        <f>'Default EF'!G68</f>
        <v>1.2E-2</v>
      </c>
      <c r="D109" s="374"/>
      <c r="E109" s="272"/>
      <c r="F109" s="272" t="s">
        <v>45</v>
      </c>
      <c r="G109" s="272"/>
      <c r="H109" s="382">
        <f>IF(F109='Reference (hide)'!$A$1, (D109-E109)*$C109, (D109-E109)*G109)</f>
        <v>0</v>
      </c>
      <c r="I109" s="310"/>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row>
    <row r="110" spans="1:78" s="44" customFormat="1">
      <c r="A110" s="270" t="s">
        <v>303</v>
      </c>
      <c r="B110" s="292" t="s">
        <v>86</v>
      </c>
      <c r="C110" s="247">
        <f>'Default EF'!G69</f>
        <v>2.4E-2</v>
      </c>
      <c r="D110" s="374"/>
      <c r="E110" s="272"/>
      <c r="F110" s="272" t="s">
        <v>45</v>
      </c>
      <c r="G110" s="272"/>
      <c r="H110" s="382">
        <f>IF(F110='Reference (hide)'!$A$1, (D110-E110)*$C110, (D110-E110)*G110)</f>
        <v>0</v>
      </c>
      <c r="I110" s="3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row>
    <row r="111" spans="1:78" s="44" customFormat="1">
      <c r="A111" s="270" t="s">
        <v>304</v>
      </c>
      <c r="B111" s="292" t="s">
        <v>86</v>
      </c>
      <c r="C111" s="247">
        <f>'Default EF'!G70</f>
        <v>1.0999999999999999E-2</v>
      </c>
      <c r="D111" s="374"/>
      <c r="E111" s="272"/>
      <c r="F111" s="272" t="s">
        <v>45</v>
      </c>
      <c r="G111" s="272"/>
      <c r="H111" s="382">
        <f>IF(F111='Reference (hide)'!$A$1, (D111-E111)*$C111, (D111-E111)*G111)</f>
        <v>0</v>
      </c>
      <c r="I111" s="310"/>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1:78" s="44" customFormat="1">
      <c r="A112" s="270" t="s">
        <v>305</v>
      </c>
      <c r="B112" s="292" t="s">
        <v>86</v>
      </c>
      <c r="C112" s="247">
        <f>'Default EF'!G71</f>
        <v>4.8000000000000001E-2</v>
      </c>
      <c r="D112" s="374"/>
      <c r="E112" s="272"/>
      <c r="F112" s="272" t="s">
        <v>45</v>
      </c>
      <c r="G112" s="272"/>
      <c r="H112" s="382">
        <f>IF(F112='Reference (hide)'!$A$1, (D112-E112)*$C112, (D112-E112)*G112)</f>
        <v>0</v>
      </c>
      <c r="I112" s="310"/>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1:78" s="44" customFormat="1">
      <c r="A113" s="270" t="s">
        <v>306</v>
      </c>
      <c r="B113" s="292" t="s">
        <v>86</v>
      </c>
      <c r="C113" s="247">
        <f>'Default EF'!G72</f>
        <v>0.23</v>
      </c>
      <c r="D113" s="374"/>
      <c r="E113" s="272"/>
      <c r="F113" s="272" t="s">
        <v>45</v>
      </c>
      <c r="G113" s="272"/>
      <c r="H113" s="382">
        <f>IF(F113='Reference (hide)'!$A$1, (D113-E113)*$C113, (D113-E113)*G113)</f>
        <v>0</v>
      </c>
      <c r="I113" s="310"/>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1:78" s="44" customFormat="1">
      <c r="A114" s="270" t="s">
        <v>307</v>
      </c>
      <c r="B114" s="292" t="s">
        <v>86</v>
      </c>
      <c r="C114" s="247">
        <f>'Default EF'!G73</f>
        <v>6.4200000000000007E-2</v>
      </c>
      <c r="D114" s="374"/>
      <c r="E114" s="272"/>
      <c r="F114" s="272" t="s">
        <v>45</v>
      </c>
      <c r="G114" s="272"/>
      <c r="H114" s="382">
        <f>IF(F114='Reference (hide)'!$A$1, (D114-E114)*$C114, (D114-E114)*G114)</f>
        <v>0</v>
      </c>
      <c r="I114" s="310"/>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1:78" s="44" customFormat="1">
      <c r="A115" s="507" t="s">
        <v>308</v>
      </c>
      <c r="B115" s="292" t="s">
        <v>86</v>
      </c>
      <c r="C115" s="247"/>
      <c r="D115" s="374"/>
      <c r="E115" s="272"/>
      <c r="F115" s="272"/>
      <c r="G115" s="272"/>
      <c r="H115" s="382"/>
      <c r="I115" s="310"/>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1:78" s="44" customFormat="1" ht="29.45">
      <c r="A116" s="507" t="s">
        <v>309</v>
      </c>
      <c r="B116" s="292" t="s">
        <v>86</v>
      </c>
      <c r="C116" s="247"/>
      <c r="D116" s="374"/>
      <c r="E116" s="272"/>
      <c r="F116" s="272" t="s">
        <v>45</v>
      </c>
      <c r="G116" s="272"/>
      <c r="H116" s="382">
        <f>IF(F116='Reference (hide)'!$A$1, (D116-E116)*$C116, (D116-E116)*G116)</f>
        <v>0</v>
      </c>
      <c r="I116" s="310" t="s">
        <v>267</v>
      </c>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row>
    <row r="117" spans="1:78">
      <c r="A117" s="507" t="s">
        <v>310</v>
      </c>
      <c r="B117" s="292" t="s">
        <v>86</v>
      </c>
      <c r="C117" s="250"/>
      <c r="D117" s="374"/>
      <c r="E117" s="272"/>
      <c r="F117" s="272" t="s">
        <v>45</v>
      </c>
      <c r="G117" s="272"/>
      <c r="H117" s="382">
        <f>IF(F117='Reference (hide)'!$A$1, (D117-E117)*$C117, (D117-E117)*G117)</f>
        <v>0</v>
      </c>
      <c r="I117" s="310" t="s">
        <v>267</v>
      </c>
    </row>
    <row r="118" spans="1:78" ht="32.25" customHeight="1">
      <c r="A118" s="594" t="s">
        <v>311</v>
      </c>
      <c r="B118" s="595"/>
      <c r="C118" s="596"/>
      <c r="D118" s="379" t="s">
        <v>256</v>
      </c>
      <c r="E118" s="276" t="s">
        <v>256</v>
      </c>
      <c r="F118" s="276" t="s">
        <v>256</v>
      </c>
      <c r="G118" s="276" t="s">
        <v>256</v>
      </c>
      <c r="H118" s="384">
        <f>SUM(H77,H88,H99,H104)</f>
        <v>0</v>
      </c>
      <c r="I118" s="312"/>
    </row>
    <row r="119" spans="1:78">
      <c r="A119" s="588" t="s">
        <v>370</v>
      </c>
      <c r="B119" s="589"/>
      <c r="C119" s="590"/>
      <c r="D119" s="380"/>
      <c r="E119" s="301"/>
      <c r="F119" s="301"/>
      <c r="G119" s="301"/>
      <c r="H119" s="385">
        <f>SUM(SUMIF(I78:I86, "Primary", H78:H86), SUMIF(I89:I97, "Primary", H89:H97), SUMIF(I100:I102, "Primary", H100:H102), SUMIF(I105:I116, "Primary", H105:H116))</f>
        <v>0</v>
      </c>
    </row>
  </sheetData>
  <mergeCells count="61">
    <mergeCell ref="A119:C119"/>
    <mergeCell ref="AW74:BA74"/>
    <mergeCell ref="BB74:BF74"/>
    <mergeCell ref="BG74:BK74"/>
    <mergeCell ref="BL74:BP74"/>
    <mergeCell ref="N74:R74"/>
    <mergeCell ref="A77:C77"/>
    <mergeCell ref="A88:C88"/>
    <mergeCell ref="A99:C99"/>
    <mergeCell ref="A104:C104"/>
    <mergeCell ref="A118:C118"/>
    <mergeCell ref="BQ74:BU74"/>
    <mergeCell ref="BV74:BZ74"/>
    <mergeCell ref="S74:W74"/>
    <mergeCell ref="X74:AB74"/>
    <mergeCell ref="AC74:AG74"/>
    <mergeCell ref="AH74:AL74"/>
    <mergeCell ref="AM74:AQ74"/>
    <mergeCell ref="AR74:AV74"/>
    <mergeCell ref="F57:F58"/>
    <mergeCell ref="G57:G58"/>
    <mergeCell ref="H57:H58"/>
    <mergeCell ref="A74:C74"/>
    <mergeCell ref="D74:H74"/>
    <mergeCell ref="A57:A58"/>
    <mergeCell ref="B57:B58"/>
    <mergeCell ref="C57:C58"/>
    <mergeCell ref="D57:D58"/>
    <mergeCell ref="E57:E58"/>
    <mergeCell ref="E40:E41"/>
    <mergeCell ref="F40:F41"/>
    <mergeCell ref="G40:G41"/>
    <mergeCell ref="H40:H41"/>
    <mergeCell ref="A53:C53"/>
    <mergeCell ref="A40:A41"/>
    <mergeCell ref="B40:B41"/>
    <mergeCell ref="C40:C41"/>
    <mergeCell ref="D40:D41"/>
    <mergeCell ref="I27:I28"/>
    <mergeCell ref="A27:A28"/>
    <mergeCell ref="B27:B28"/>
    <mergeCell ref="C27:D27"/>
    <mergeCell ref="E27:F27"/>
    <mergeCell ref="G27:G28"/>
    <mergeCell ref="H27:H28"/>
    <mergeCell ref="A1:J3"/>
    <mergeCell ref="A4:J17"/>
    <mergeCell ref="A21:A22"/>
    <mergeCell ref="B21:B22"/>
    <mergeCell ref="C21:D21"/>
    <mergeCell ref="E21:F21"/>
    <mergeCell ref="G21:G22"/>
    <mergeCell ref="H21:H22"/>
    <mergeCell ref="I21:I22"/>
    <mergeCell ref="H33:H34"/>
    <mergeCell ref="I33:I34"/>
    <mergeCell ref="A33:A34"/>
    <mergeCell ref="B33:B34"/>
    <mergeCell ref="C33:D33"/>
    <mergeCell ref="E33:F33"/>
    <mergeCell ref="G33:G34"/>
  </mergeCells>
  <phoneticPr fontId="24" type="noConversion"/>
  <conditionalFormatting sqref="G59:G68">
    <cfRule type="cellIs" dxfId="8" priority="1" operator="equal">
      <formula>"-"</formula>
    </cfRule>
  </conditionalFormatting>
  <conditionalFormatting sqref="G42:H51">
    <cfRule type="cellIs" dxfId="7" priority="2" operator="equal">
      <formula>"-"</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6D4E1BC-9089-47AE-ADF8-15AC605ABCA5}">
          <x14:formula1>
            <xm:f>'Reference (hide)'!$E$1:$E$2</xm:f>
          </x14:formula1>
          <xm:sqref>E42:E51 E59:E68</xm:sqref>
        </x14:dataValidation>
        <x14:dataValidation type="list" allowBlank="1" showInputMessage="1" showErrorMessage="1" xr:uid="{EF2D3E6C-EA06-4411-A6BE-1AD9DBB36F4F}">
          <x14:formula1>
            <xm:f>'Reference (hide)'!$D$1:$D$2</xm:f>
          </x14:formula1>
          <xm:sqref>I78:I86 I89:I97 I100:I102 I105:I117 H42:H51 H59:H68</xm:sqref>
        </x14:dataValidation>
        <x14:dataValidation type="list" allowBlank="1" showInputMessage="1" showErrorMessage="1" xr:uid="{B112F9E5-E6AE-4B67-9FD5-9BC70E328D39}">
          <x14:formula1>
            <xm:f>'Reference (hide)'!$A$1:$A$2</xm:f>
          </x14:formula1>
          <xm:sqref>F78:F86 F89:F97 F100:F102 F105:F117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78ca830c-a034-4168-b956-d7763e68b615" ContentTypeId="0x010100510ED7DDF0B7174EA8E5395FB52A0653"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ject xmlns="a1df9832-fa29-4d0b-8301-c5ccf72ca850">Horizon Zero</Project>
    <n48685bf95bc4b8fa4aa6bfb34ecb222 xmlns="a1df9832-fa29-4d0b-8301-c5ccf72ca850">
      <Terms xmlns="http://schemas.microsoft.com/office/infopath/2007/PartnerControls">
        <TermInfo xmlns="http://schemas.microsoft.com/office/infopath/2007/PartnerControls">
          <TermName xmlns="http://schemas.microsoft.com/office/infopath/2007/PartnerControls">Climate Intelligence</TermName>
          <TermId xmlns="http://schemas.microsoft.com/office/infopath/2007/PartnerControls">a315e826-51a4-44c5-84ca-6e423461dc3a</TermId>
        </TermInfo>
      </Terms>
    </n48685bf95bc4b8fa4aa6bfb34ecb222>
    <o811e3c0c0214fc6bb33522f4837a579 xmlns="a1df9832-fa29-4d0b-8301-c5ccf72ca850">
      <Terms xmlns="http://schemas.microsoft.com/office/infopath/2007/PartnerControls">
        <TermInfo xmlns="http://schemas.microsoft.com/office/infopath/2007/PartnerControls">
          <TermName xmlns="http://schemas.microsoft.com/office/infopath/2007/PartnerControls">Confidential - project team use only</TermName>
          <TermId xmlns="http://schemas.microsoft.com/office/infopath/2007/PartnerControls">54d3cecb-33d6-4e58-8a62-4705f8ce86d9</TermId>
        </TermInfo>
      </Terms>
    </o811e3c0c0214fc6bb33522f4837a579>
    <e8144e7327f648c595f8fe404acef197 xmlns="a1df9832-fa29-4d0b-8301-c5ccf72ca850">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1196e416-c1e2-46e4-892a-39f21fb650b4</TermId>
        </TermInfo>
      </Terms>
    </e8144e7327f648c595f8fe404acef197>
    <TaxCatchAll xmlns="a1df9832-fa29-4d0b-8301-c5ccf72ca850">
      <Value>12</Value>
      <Value>11</Value>
      <Value>10</Value>
      <Value>9</Value>
      <Value>8</Value>
      <Value>7</Value>
      <Value>6</Value>
      <Value>5</Value>
      <Value>4</Value>
      <Value>3</Value>
      <Value>1</Value>
    </TaxCatchAll>
    <eda3356070224fe59cf39745c882f8c6 xmlns="a1df9832-fa29-4d0b-8301-c5ccf72ca850">
      <Terms xmlns="http://schemas.microsoft.com/office/infopath/2007/PartnerControls">
        <TermInfo xmlns="http://schemas.microsoft.com/office/infopath/2007/PartnerControls">
          <TermName xmlns="http://schemas.microsoft.com/office/infopath/2007/PartnerControls">CIP - Supply Chain Carbon Accounting and Scope 3 Emissions</TermName>
          <TermId xmlns="http://schemas.microsoft.com/office/infopath/2007/PartnerControls">bceaded6-15b3-4c85-9101-7683e099aa16</TermId>
        </TermInfo>
      </Terms>
    </eda3356070224fe59cf39745c882f8c6>
    <m2d3b84e453a41b493d2f8293d453bfc xmlns="a1df9832-fa29-4d0b-8301-c5ccf72ca850">
      <Terms xmlns="http://schemas.microsoft.com/office/infopath/2007/PartnerControls">
        <TermInfo xmlns="http://schemas.microsoft.com/office/infopath/2007/PartnerControls">
          <TermName xmlns="http://schemas.microsoft.com/office/infopath/2007/PartnerControls">United States</TermName>
          <TermId xmlns="http://schemas.microsoft.com/office/infopath/2007/PartnerControls">e78c81d2-f77a-4423-bced-88c0de1115e6</TermId>
        </TermInfo>
      </Terms>
    </m2d3b84e453a41b493d2f8293d453bfc>
    <m26e38606aa543cb981614fc6d49280d xmlns="a1df9832-fa29-4d0b-8301-c5ccf72ca850">
      <Terms xmlns="http://schemas.microsoft.com/office/infopath/2007/PartnerControls">
        <TermInfo xmlns="http://schemas.microsoft.com/office/infopath/2007/PartnerControls">
          <TermName xmlns="http://schemas.microsoft.com/office/infopath/2007/PartnerControls">Biofuels</TermName>
          <TermId xmlns="http://schemas.microsoft.com/office/infopath/2007/PartnerControls">6665c0dc-8d43-4d0b-91dc-b109a752c445</TermId>
        </TermInfo>
        <TermInfo xmlns="http://schemas.microsoft.com/office/infopath/2007/PartnerControls">
          <TermName xmlns="http://schemas.microsoft.com/office/infopath/2007/PartnerControls">Climate Pathways</TermName>
          <TermId xmlns="http://schemas.microsoft.com/office/infopath/2007/PartnerControls">0d1251c6-a427-4b76-bb75-c42ea617d369</TermId>
        </TermInfo>
        <TermInfo xmlns="http://schemas.microsoft.com/office/infopath/2007/PartnerControls">
          <TermName xmlns="http://schemas.microsoft.com/office/infopath/2007/PartnerControls">Green Steel</TermName>
          <TermId xmlns="http://schemas.microsoft.com/office/infopath/2007/PartnerControls">db46dc8b-e3a4-49bc-8dc1-5fd703d33bb2</TermId>
        </TermInfo>
        <TermInfo xmlns="http://schemas.microsoft.com/office/infopath/2007/PartnerControls">
          <TermName xmlns="http://schemas.microsoft.com/office/infopath/2007/PartnerControls">Natural Gas Certification</TermName>
          <TermId xmlns="http://schemas.microsoft.com/office/infopath/2007/PartnerControls">56c68d24-af72-47d3-858d-6dec8d66df97</TermId>
        </TermInfo>
        <TermInfo xmlns="http://schemas.microsoft.com/office/infopath/2007/PartnerControls">
          <TermName xmlns="http://schemas.microsoft.com/office/infopath/2007/PartnerControls">Supply Chain emissions</TermName>
          <TermId xmlns="http://schemas.microsoft.com/office/infopath/2007/PartnerControls">b68aa466-0ea5-4e8c-b459-aa1768129cbf</TermId>
        </TermInfo>
        <TermInfo xmlns="http://schemas.microsoft.com/office/infopath/2007/PartnerControls">
          <TermName xmlns="http://schemas.microsoft.com/office/infopath/2007/PartnerControls">Sustainable Aviation Fuel</TermName>
          <TermId xmlns="http://schemas.microsoft.com/office/infopath/2007/PartnerControls">2e9fb162-7ac4-470f-b1b5-9cac139a9fee</TermId>
        </TermInfo>
      </Terms>
    </m26e38606aa543cb981614fc6d49280d>
  </documentManagement>
</p:properties>
</file>

<file path=customXml/item4.xml><?xml version="1.0" encoding="utf-8"?>
<ct:contentTypeSchema xmlns:ct="http://schemas.microsoft.com/office/2006/metadata/contentType" xmlns:ma="http://schemas.microsoft.com/office/2006/metadata/properties/metaAttributes" ct:_="" ma:_="" ma:contentTypeName="Project_Document" ma:contentTypeID="0x010100510ED7DDF0B7174EA8E5395FB52A065300902EC04C411FA54EA9B4578E3207F3B1" ma:contentTypeVersion="3" ma:contentTypeDescription="Content Type for document libraries on Project sites" ma:contentTypeScope="" ma:versionID="4ae418f7d2e06afb14e49f392e46008c">
  <xsd:schema xmlns:xsd="http://www.w3.org/2001/XMLSchema" xmlns:xs="http://www.w3.org/2001/XMLSchema" xmlns:p="http://schemas.microsoft.com/office/2006/metadata/properties" xmlns:ns2="a1df9832-fa29-4d0b-8301-c5ccf72ca850" targetNamespace="http://schemas.microsoft.com/office/2006/metadata/properties" ma:root="true" ma:fieldsID="357ad6569559116e57154399a5267402" ns2:_="">
    <xsd:import namespace="a1df9832-fa29-4d0b-8301-c5ccf72ca850"/>
    <xsd:element name="properties">
      <xsd:complexType>
        <xsd:sequence>
          <xsd:element name="documentManagement">
            <xsd:complexType>
              <xsd:all>
                <xsd:element ref="ns2:e8144e7327f648c595f8fe404acef197" minOccurs="0"/>
                <xsd:element ref="ns2:TaxCatchAll" minOccurs="0"/>
                <xsd:element ref="ns2:TaxCatchAllLabel" minOccurs="0"/>
                <xsd:element ref="ns2:m2d3b84e453a41b493d2f8293d453bfc" minOccurs="0"/>
                <xsd:element ref="ns2:o811e3c0c0214fc6bb33522f4837a579" minOccurs="0"/>
                <xsd:element ref="ns2:Project" minOccurs="0"/>
                <xsd:element ref="ns2:n48685bf95bc4b8fa4aa6bfb34ecb222" minOccurs="0"/>
                <xsd:element ref="ns2:eda3356070224fe59cf39745c882f8c6" minOccurs="0"/>
                <xsd:element ref="ns2:m26e38606aa543cb981614fc6d49280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f9832-fa29-4d0b-8301-c5ccf72ca850" elementFormDefault="qualified">
    <xsd:import namespace="http://schemas.microsoft.com/office/2006/documentManagement/types"/>
    <xsd:import namespace="http://schemas.microsoft.com/office/infopath/2007/PartnerControls"/>
    <xsd:element name="e8144e7327f648c595f8fe404acef197" ma:index="8" nillable="true" ma:taxonomy="true" ma:internalName="e8144e7327f648c595f8fe404acef197" ma:taxonomyFieldName="Document_x0020_Status" ma:displayName="Document Status" ma:default="1;#Draft|1196e416-c1e2-46e4-892a-39f21fb650b4" ma:fieldId="{e8144e73-27f6-48c5-95f8-fe404acef197}" ma:sspId="78ca830c-a034-4168-b956-d7763e68b615" ma:termSetId="d65b1371-216a-449b-be5c-ac755384594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4e82cbe-aaad-4247-b49f-6ca739d1db67}" ma:internalName="TaxCatchAll" ma:showField="CatchAllData" ma:web="1fa8be8b-6897-49ee-99d7-b4f9391782e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4e82cbe-aaad-4247-b49f-6ca739d1db67}" ma:internalName="TaxCatchAllLabel" ma:readOnly="true" ma:showField="CatchAllDataLabel" ma:web="1fa8be8b-6897-49ee-99d7-b4f9391782e1">
      <xsd:complexType>
        <xsd:complexContent>
          <xsd:extension base="dms:MultiChoiceLookup">
            <xsd:sequence>
              <xsd:element name="Value" type="dms:Lookup" maxOccurs="unbounded" minOccurs="0" nillable="true"/>
            </xsd:sequence>
          </xsd:extension>
        </xsd:complexContent>
      </xsd:complexType>
    </xsd:element>
    <xsd:element name="m2d3b84e453a41b493d2f8293d453bfc" ma:index="12" nillable="true" ma:taxonomy="true" ma:internalName="m2d3b84e453a41b493d2f8293d453bfc" ma:taxonomyFieldName="Countries_x0020_Impacted" ma:displayName="Countries Impacted" ma:default="3;#United States|e78c81d2-f77a-4423-bced-88c0de1115e6" ma:fieldId="{62d3b84e-453a-41b4-93d2-f8293d453bfc}" ma:sspId="78ca830c-a034-4168-b956-d7763e68b615" ma:termSetId="e1c3647c-981b-42b1-93b5-578d8c5389fd" ma:anchorId="00000000-0000-0000-0000-000000000000" ma:open="false" ma:isKeyword="false">
      <xsd:complexType>
        <xsd:sequence>
          <xsd:element ref="pc:Terms" minOccurs="0" maxOccurs="1"/>
        </xsd:sequence>
      </xsd:complexType>
    </xsd:element>
    <xsd:element name="o811e3c0c0214fc6bb33522f4837a579" ma:index="14" nillable="true" ma:taxonomy="true" ma:internalName="o811e3c0c0214fc6bb33522f4837a579" ma:taxonomyFieldName="Legal_x0020_Designation" ma:displayName="Legal Designation" ma:default="5;#Confidential - project team use only|54d3cecb-33d6-4e58-8a62-4705f8ce86d9" ma:fieldId="{8811e3c0-c021-4fc6-bb33-522f4837a579}" ma:sspId="78ca830c-a034-4168-b956-d7763e68b615" ma:termSetId="d7cab2b2-b4f8-46a9-89b2-4eecb42d47ca" ma:anchorId="00000000-0000-0000-0000-000000000000" ma:open="false" ma:isKeyword="false">
      <xsd:complexType>
        <xsd:sequence>
          <xsd:element ref="pc:Terms" minOccurs="0" maxOccurs="1"/>
        </xsd:sequence>
      </xsd:complexType>
    </xsd:element>
    <xsd:element name="Project" ma:index="16" nillable="true" ma:displayName="Project" ma:default="Horizon Zero" ma:internalName="Project">
      <xsd:simpleType>
        <xsd:restriction base="dms:Text">
          <xsd:maxLength value="255"/>
        </xsd:restriction>
      </xsd:simpleType>
    </xsd:element>
    <xsd:element name="n48685bf95bc4b8fa4aa6bfb34ecb222" ma:index="17" nillable="true" ma:taxonomy="true" ma:internalName="n48685bf95bc4b8fa4aa6bfb34ecb222" ma:taxonomyFieldName="Program" ma:displayName="Program" ma:default="6;#Climate Intelligence|a315e826-51a4-44c5-84ca-6e423461dc3a" ma:fieldId="{748685bf-95bc-4b8f-a4aa-6bfb34ecb222}" ma:sspId="78ca830c-a034-4168-b956-d7763e68b615" ma:termSetId="fb5b2e61-77ad-482a-9c70-531e7aa7f77d" ma:anchorId="00000000-0000-0000-0000-000000000000" ma:open="false" ma:isKeyword="false">
      <xsd:complexType>
        <xsd:sequence>
          <xsd:element ref="pc:Terms" minOccurs="0" maxOccurs="1"/>
        </xsd:sequence>
      </xsd:complexType>
    </xsd:element>
    <xsd:element name="eda3356070224fe59cf39745c882f8c6" ma:index="19" nillable="true" ma:taxonomy="true" ma:internalName="eda3356070224fe59cf39745c882f8c6" ma:taxonomyFieldName="Initiative" ma:displayName="Initiative" ma:default="4;#CIP - Supply Chain Carbon Accounting and Scope 3 Emissions|bceaded6-15b3-4c85-9101-7683e099aa16" ma:fieldId="{eda33560-7022-4fe5-9cf3-9745c882f8c6}" ma:sspId="78ca830c-a034-4168-b956-d7763e68b615" ma:termSetId="903b7f5a-2ae5-4e42-8208-77428af6ee1e" ma:anchorId="00000000-0000-0000-0000-000000000000" ma:open="false" ma:isKeyword="false">
      <xsd:complexType>
        <xsd:sequence>
          <xsd:element ref="pc:Terms" minOccurs="0" maxOccurs="1"/>
        </xsd:sequence>
      </xsd:complexType>
    </xsd:element>
    <xsd:element name="m26e38606aa543cb981614fc6d49280d" ma:index="21" nillable="true" ma:taxonomy="true" ma:internalName="m26e38606aa543cb981614fc6d49280d" ma:taxonomyFieldName="Technology" ma:displayName="Technology" ma:default="7;#Biofuels|6665c0dc-8d43-4d0b-91dc-b109a752c445;#8;#Climate Pathways|0d1251c6-a427-4b76-bb75-c42ea617d369;#9;#Green Steel|db46dc8b-e3a4-49bc-8dc1-5fd703d33bb2;#10;#Natural Gas Certification|56c68d24-af72-47d3-858d-6dec8d66df97;#11;#Supply Chain emissions|b68aa466-0ea5-4e8c-b459-aa1768129cbf;#12;#Sustainable Aviation Fuel|2e9fb162-7ac4-470f-b1b5-9cac139a9fee" ma:fieldId="{626e3860-6aa5-43cb-9816-14fc6d49280d}" ma:taxonomyMulti="true" ma:sspId="78ca830c-a034-4168-b956-d7763e68b615" ma:termSetId="fb0d05d2-464d-47d8-b8c5-88e37d853ee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8AE4AB-A533-495D-AE5A-9DB9D20E456C}"/>
</file>

<file path=customXml/itemProps2.xml><?xml version="1.0" encoding="utf-8"?>
<ds:datastoreItem xmlns:ds="http://schemas.openxmlformats.org/officeDocument/2006/customXml" ds:itemID="{DD593374-5224-49B3-AD23-0FEF974B5AF3}"/>
</file>

<file path=customXml/itemProps3.xml><?xml version="1.0" encoding="utf-8"?>
<ds:datastoreItem xmlns:ds="http://schemas.openxmlformats.org/officeDocument/2006/customXml" ds:itemID="{4495847B-5486-4C09-B20C-8FCC40897B0F}"/>
</file>

<file path=customXml/itemProps4.xml><?xml version="1.0" encoding="utf-8"?>
<ds:datastoreItem xmlns:ds="http://schemas.openxmlformats.org/officeDocument/2006/customXml" ds:itemID="{9EA1E94D-09DF-4354-A07F-12181D9664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2022-06-22T22:12:40Z</dcterms:created>
  <dcterms:modified xsi:type="dcterms:W3CDTF">2024-03-06T21:29:03Z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chnology">
    <vt:lpwstr>7;#Biofuels|6665c0dc-8d43-4d0b-91dc-b109a752c445;#8;#Climate Pathways|0d1251c6-a427-4b76-bb75-c42ea617d369;#9;#Green Steel|db46dc8b-e3a4-49bc-8dc1-5fd703d33bb2;#10;#Natural Gas Certification|56c68d24-af72-47d3-858d-6dec8d66df97;#11;#Supply Chain emissions|b68aa466-0ea5-4e8c-b459-aa1768129cbf;#12;#Sustainable Aviation Fuel|2e9fb162-7ac4-470f-b1b5-9cac139a9fee</vt:lpwstr>
  </property>
  <property fmtid="{D5CDD505-2E9C-101B-9397-08002B2CF9AE}" pid="3" name="Countries Impacted">
    <vt:lpwstr>3;#United States|e78c81d2-f77a-4423-bced-88c0de1115e6</vt:lpwstr>
  </property>
  <property fmtid="{D5CDD505-2E9C-101B-9397-08002B2CF9AE}" pid="4" name="Legal Designation">
    <vt:lpwstr>5;#Confidential - project team use only|54d3cecb-33d6-4e58-8a62-4705f8ce86d9</vt:lpwstr>
  </property>
  <property fmtid="{D5CDD505-2E9C-101B-9397-08002B2CF9AE}" pid="5" name="ContentTypeId">
    <vt:lpwstr>0x010100510ED7DDF0B7174EA8E5395FB52A065300902EC04C411FA54EA9B4578E3207F3B1</vt:lpwstr>
  </property>
  <property fmtid="{D5CDD505-2E9C-101B-9397-08002B2CF9AE}" pid="6" name="Document Status">
    <vt:lpwstr>1;#Draft|1196e416-c1e2-46e4-892a-39f21fb650b4</vt:lpwstr>
  </property>
  <property fmtid="{D5CDD505-2E9C-101B-9397-08002B2CF9AE}" pid="7" name="Program">
    <vt:lpwstr>6;#Climate Intelligence|a315e826-51a4-44c5-84ca-6e423461dc3a</vt:lpwstr>
  </property>
  <property fmtid="{D5CDD505-2E9C-101B-9397-08002B2CF9AE}" pid="8" name="Initiative">
    <vt:lpwstr>4;#CIP - Supply Chain Carbon Accounting and Scope 3 Emissions|bceaded6-15b3-4c85-9101-7683e099aa16</vt:lpwstr>
  </property>
  <property fmtid="{D5CDD505-2E9C-101B-9397-08002B2CF9AE}" pid="9" name="MediaServiceImageTags">
    <vt:lpwstr/>
  </property>
  <property fmtid="{D5CDD505-2E9C-101B-9397-08002B2CF9AE}" pid="10" name="lcf76f155ced4ddcb4097134ff3c332f">
    <vt:lpwstr/>
  </property>
</Properties>
</file>