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4"/>
  <workbookPr defaultThemeVersion="166925"/>
  <mc:AlternateContent xmlns:mc="http://schemas.openxmlformats.org/markup-compatibility/2006">
    <mc:Choice Requires="x15">
      <x15ac:absPath xmlns:x15ac="http://schemas.microsoft.com/office/spreadsheetml/2010/11/ac" url="https://rockmtnins.sharepoint.com/sites/HorizonZero/Shared Documents/4. Work/Carbon Accounting/Steel/Emissions Reporting Guidance/"/>
    </mc:Choice>
  </mc:AlternateContent>
  <xr:revisionPtr revIDLastSave="0" documentId="8_{5644F73B-28F0-4F2D-93B9-C4CE55629F79}" xr6:coauthVersionLast="47" xr6:coauthVersionMax="47" xr10:uidLastSave="{00000000-0000-0000-0000-000000000000}"/>
  <bookViews>
    <workbookView xWindow="1000" yWindow="500" windowWidth="27800" windowHeight="17500" tabRatio="640" xr2:uid="{2ADD0AA6-53AD-EF43-8042-A95821F58E81}"/>
  </bookViews>
  <sheets>
    <sheet name="Instructions" sheetId="22" r:id="rId1"/>
    <sheet name="Output" sheetId="3" state="hidden" r:id="rId2"/>
    <sheet name="Total output" sheetId="28" r:id="rId3"/>
    <sheet name="Basic Information" sheetId="25" r:id="rId4"/>
    <sheet name="HZ Steel Emissions Reporting" sheetId="26" state="hidden" r:id="rId5"/>
    <sheet name="Product-Level Calculation" sheetId="1" r:id="rId6"/>
    <sheet name="Example" sheetId="27" state="hidden" r:id="rId7"/>
    <sheet name="Example (del)" sheetId="23" state="hidden" r:id="rId8"/>
    <sheet name="Emissions Factors" sheetId="2" r:id="rId9"/>
    <sheet name="Decision tree (co-product)" sheetId="24" state="hidden" r:id="rId10"/>
  </sheets>
  <definedNames>
    <definedName name="Avoided_Products">_xlfn.VSTACK(INDEX(Byproduct_EF,0,2),"Other")</definedName>
    <definedName name="Byproduct_EF">OFFSET('Emissions Factors'!$S$3,0,0,COUNTA('Emissions Factors'!$T:$T),4)</definedName>
    <definedName name="Direct_EF">OFFSET('Emissions Factors'!$A$4,0,0,COUNTA('Emissions Factors'!$A:$A)-2,3)</definedName>
    <definedName name="Direct_Lookup">_xlfn.HSTACK(_xlfn.VSTACK(INDEX(Direct_EF,0,1),INDEX(Ferroalloys,0,1)),_xlfn.VSTACK(INDEX(Direct_EF,0,3),INDEX(Ferroalloys,0,4)))</definedName>
    <definedName name="Electricity_EF">OFFSET('Emissions Factors'!$Y$4,0,0,COUNTA('Emissions Factors'!$Y:$Y)-2,3)</definedName>
    <definedName name="Ferroalloys">'Emissions Factors'!$K$4:$Q$19</definedName>
    <definedName name="Indirect_EF">OFFSET('Emissions Factors'!$F$4,0,0,COUNTA('Emissions Factors'!$F:$F)-2,3)</definedName>
    <definedName name="Indirect_Lookup">_xlfn.HSTACK(_xlfn.VSTACK(INDEX(Indirect_EF,0,1),INDEX(Ferroalloys,0,1)),_xlfn.VSTACK(INDEX(Indirect_EF,0,3),INDEX(Ferroalloys,0,5)))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7" i="1" l="1"/>
  <c r="V52" i="1"/>
  <c r="S89" i="1"/>
  <c r="M124" i="1"/>
  <c r="L130" i="1"/>
  <c r="K100" i="1"/>
  <c r="K101" i="1"/>
  <c r="K102" i="1"/>
  <c r="K103" i="1"/>
  <c r="K104" i="1"/>
  <c r="K105" i="1"/>
  <c r="K106" i="1"/>
  <c r="K107" i="1"/>
  <c r="K108" i="1"/>
  <c r="K109" i="1"/>
  <c r="K110" i="1"/>
  <c r="K112" i="1"/>
  <c r="K113" i="1"/>
  <c r="K114" i="1"/>
  <c r="K115" i="1"/>
  <c r="K141" i="1"/>
  <c r="N102" i="1"/>
  <c r="N99" i="1"/>
  <c r="H31" i="2"/>
  <c r="H32" i="1"/>
  <c r="P5" i="1"/>
  <c r="O5" i="1"/>
  <c r="M5" i="1"/>
  <c r="M6" i="1"/>
  <c r="G142" i="1"/>
  <c r="M125" i="1"/>
  <c r="K124" i="1"/>
  <c r="V88" i="1"/>
  <c r="V91" i="1"/>
  <c r="Q91" i="1"/>
  <c r="N91" i="1"/>
  <c r="V90" i="1"/>
  <c r="Q90" i="1"/>
  <c r="N90" i="1"/>
  <c r="Q89" i="1"/>
  <c r="N89" i="1"/>
  <c r="H31" i="1"/>
  <c r="H25" i="2" s="1" a="1"/>
  <c r="H25" i="2" s="1"/>
  <c r="C33" i="1"/>
  <c r="C35" i="1" s="1"/>
  <c r="C11" i="27"/>
  <c r="M68" i="27"/>
  <c r="B106" i="27"/>
  <c r="B104" i="27"/>
  <c r="P6" i="1"/>
  <c r="P8" i="1"/>
  <c r="O8" i="1"/>
  <c r="P10" i="1"/>
  <c r="P7" i="1"/>
  <c r="P9" i="1"/>
  <c r="K125" i="1"/>
  <c r="O6" i="1"/>
  <c r="O10" i="1"/>
  <c r="O7" i="1"/>
  <c r="O9" i="1"/>
  <c r="M10" i="1"/>
  <c r="M7" i="1"/>
  <c r="M8" i="1"/>
  <c r="M9" i="1"/>
  <c r="N100" i="1"/>
  <c r="V89" i="1" l="1"/>
  <c r="H17" i="2"/>
  <c r="H29" i="2" a="1"/>
  <c r="H29" i="2" s="1"/>
  <c r="H28" i="2" a="1"/>
  <c r="H28" i="2" s="1"/>
  <c r="H27" i="2" a="1"/>
  <c r="H27" i="2" s="1"/>
  <c r="H26" i="2" a="1"/>
  <c r="H26" i="2" s="1"/>
  <c r="H30" i="2" a="1"/>
  <c r="H30" i="2" s="1"/>
  <c r="H142" i="1"/>
  <c r="I142" i="1"/>
  <c r="R91" i="1"/>
  <c r="R90" i="1"/>
  <c r="W90" i="1"/>
  <c r="W91" i="1"/>
  <c r="R89" i="1"/>
  <c r="K128" i="1"/>
  <c r="K126" i="1"/>
  <c r="K127" i="1"/>
  <c r="K129" i="1"/>
  <c r="F142" i="1"/>
  <c r="X91" i="1" l="1"/>
  <c r="X90" i="1"/>
  <c r="E142" i="1"/>
  <c r="L141" i="1"/>
  <c r="M141" i="1"/>
  <c r="J141" i="1"/>
  <c r="M129" i="1"/>
  <c r="M126" i="1"/>
  <c r="M127" i="1"/>
  <c r="M128" i="1"/>
  <c r="N52" i="1"/>
  <c r="L142" i="1" l="1"/>
  <c r="M142" i="1" s="1"/>
  <c r="J142" i="1"/>
  <c r="K142" i="1" s="1"/>
  <c r="M130" i="1"/>
  <c r="K7" i="27"/>
  <c r="H99" i="1" l="1"/>
  <c r="E141" i="1"/>
  <c r="J25" i="27" l="1"/>
  <c r="K5" i="27" s="1"/>
  <c r="J23" i="27"/>
  <c r="J24" i="27"/>
  <c r="I90" i="27"/>
  <c r="H90" i="27"/>
  <c r="G90" i="27"/>
  <c r="F90" i="27"/>
  <c r="E90" i="27"/>
  <c r="D90" i="27"/>
  <c r="I85" i="27"/>
  <c r="H85" i="27"/>
  <c r="G85" i="27"/>
  <c r="F85" i="27"/>
  <c r="E85" i="27"/>
  <c r="D85" i="27"/>
  <c r="M81" i="27"/>
  <c r="J81" i="27"/>
  <c r="G81" i="27"/>
  <c r="M80" i="27"/>
  <c r="J80" i="27"/>
  <c r="G80" i="27"/>
  <c r="M79" i="27"/>
  <c r="J79" i="27"/>
  <c r="G79" i="27"/>
  <c r="M78" i="27"/>
  <c r="J78" i="27"/>
  <c r="G78" i="27"/>
  <c r="M77" i="27"/>
  <c r="G77" i="27"/>
  <c r="M76" i="27"/>
  <c r="J76" i="27"/>
  <c r="G76" i="27"/>
  <c r="M75" i="27"/>
  <c r="J75" i="27"/>
  <c r="G75" i="27"/>
  <c r="M74" i="27"/>
  <c r="J74" i="27"/>
  <c r="G74" i="27"/>
  <c r="M73" i="27"/>
  <c r="J73" i="27"/>
  <c r="G73" i="27"/>
  <c r="M72" i="27"/>
  <c r="J72" i="27"/>
  <c r="G72" i="27"/>
  <c r="M71" i="27"/>
  <c r="J71" i="27"/>
  <c r="G71" i="27"/>
  <c r="M70" i="27"/>
  <c r="J70" i="27"/>
  <c r="G70" i="27"/>
  <c r="M69" i="27"/>
  <c r="J69" i="27"/>
  <c r="G69" i="27"/>
  <c r="J68" i="27"/>
  <c r="G68" i="27"/>
  <c r="M67" i="27"/>
  <c r="J67" i="27"/>
  <c r="G67" i="27"/>
  <c r="M66" i="27"/>
  <c r="J66" i="27"/>
  <c r="G66" i="27"/>
  <c r="M65" i="27"/>
  <c r="G65" i="27"/>
  <c r="R61" i="27"/>
  <c r="M61" i="27"/>
  <c r="J61" i="27"/>
  <c r="M60" i="27"/>
  <c r="J60" i="27"/>
  <c r="R59" i="27"/>
  <c r="S59" i="27" s="1"/>
  <c r="M59" i="27"/>
  <c r="J59" i="27"/>
  <c r="R58" i="27"/>
  <c r="M58" i="27"/>
  <c r="N58" i="27" s="1"/>
  <c r="J58" i="27"/>
  <c r="M57" i="27"/>
  <c r="J57" i="27"/>
  <c r="M56" i="27"/>
  <c r="N56" i="27" s="1"/>
  <c r="J56" i="27"/>
  <c r="M55" i="27"/>
  <c r="J55" i="27"/>
  <c r="M54" i="27"/>
  <c r="N54" i="27" s="1"/>
  <c r="J54" i="27"/>
  <c r="M53" i="27"/>
  <c r="J53" i="27"/>
  <c r="M52" i="27"/>
  <c r="N52" i="27" s="1"/>
  <c r="J52" i="27"/>
  <c r="R51" i="27"/>
  <c r="M51" i="27"/>
  <c r="J51" i="27"/>
  <c r="R50" i="27"/>
  <c r="M50" i="27"/>
  <c r="J50" i="27"/>
  <c r="R49" i="27"/>
  <c r="S49" i="27" s="1"/>
  <c r="M49" i="27"/>
  <c r="J49" i="27"/>
  <c r="M48" i="27"/>
  <c r="J48" i="27"/>
  <c r="C48" i="27"/>
  <c r="M47" i="27"/>
  <c r="N47" i="27" s="1"/>
  <c r="J47" i="27"/>
  <c r="C47" i="27"/>
  <c r="M46" i="27"/>
  <c r="J46" i="27"/>
  <c r="C46" i="27"/>
  <c r="M45" i="27"/>
  <c r="J45" i="27"/>
  <c r="C45" i="27"/>
  <c r="M44" i="27"/>
  <c r="J44" i="27"/>
  <c r="C44" i="27"/>
  <c r="M43" i="27"/>
  <c r="J43" i="27"/>
  <c r="M42" i="27"/>
  <c r="J42" i="27"/>
  <c r="M41" i="27"/>
  <c r="N41" i="27" s="1"/>
  <c r="J41" i="27"/>
  <c r="M40" i="27"/>
  <c r="J40" i="27"/>
  <c r="G6" i="27" s="1"/>
  <c r="M39" i="27"/>
  <c r="J39" i="27"/>
  <c r="G5" i="27" s="1"/>
  <c r="M38" i="27"/>
  <c r="J38" i="27"/>
  <c r="R37" i="27"/>
  <c r="S37" i="27" s="1"/>
  <c r="M37" i="27"/>
  <c r="J37" i="27"/>
  <c r="R36" i="27"/>
  <c r="M36" i="27"/>
  <c r="J36" i="27"/>
  <c r="R35" i="27"/>
  <c r="M35" i="27"/>
  <c r="J35" i="27"/>
  <c r="R34" i="27"/>
  <c r="M34" i="27"/>
  <c r="N34" i="27" s="1"/>
  <c r="J34" i="27"/>
  <c r="M33" i="27"/>
  <c r="J33" i="27"/>
  <c r="M32" i="27"/>
  <c r="J32" i="27"/>
  <c r="M31" i="27"/>
  <c r="J31" i="27"/>
  <c r="M30" i="27"/>
  <c r="N30" i="27" s="1"/>
  <c r="J30" i="27"/>
  <c r="M29" i="27"/>
  <c r="J29" i="27"/>
  <c r="M28" i="27"/>
  <c r="J28" i="27"/>
  <c r="M27" i="27"/>
  <c r="J27" i="27"/>
  <c r="M26" i="27"/>
  <c r="N26" i="27" s="1"/>
  <c r="J26" i="27"/>
  <c r="M25" i="27"/>
  <c r="M24" i="27"/>
  <c r="M23" i="27"/>
  <c r="R22" i="27"/>
  <c r="M22" i="27"/>
  <c r="J22" i="27"/>
  <c r="I16" i="27"/>
  <c r="H16" i="27"/>
  <c r="G16" i="27"/>
  <c r="F16" i="27"/>
  <c r="E16" i="27"/>
  <c r="D16" i="27"/>
  <c r="K14" i="27"/>
  <c r="H13" i="27"/>
  <c r="H12" i="27"/>
  <c r="G9" i="27"/>
  <c r="G8" i="27"/>
  <c r="D8" i="27"/>
  <c r="G7" i="27"/>
  <c r="Q52" i="1"/>
  <c r="Q53" i="1"/>
  <c r="Q54" i="1"/>
  <c r="Q55" i="1"/>
  <c r="Q56" i="1"/>
  <c r="Q57" i="1"/>
  <c r="Q58" i="1"/>
  <c r="Q59" i="1"/>
  <c r="Q60" i="1"/>
  <c r="Q61" i="1"/>
  <c r="Q62" i="1"/>
  <c r="Q63" i="1"/>
  <c r="Q64" i="1"/>
  <c r="Q65" i="1"/>
  <c r="Q66" i="1"/>
  <c r="Q67" i="1"/>
  <c r="Q68" i="1"/>
  <c r="Q69" i="1"/>
  <c r="Q70" i="1"/>
  <c r="Q71" i="1"/>
  <c r="Q72" i="1"/>
  <c r="Q73" i="1"/>
  <c r="Q74" i="1"/>
  <c r="Q75" i="1"/>
  <c r="Q76" i="1"/>
  <c r="Q77" i="1"/>
  <c r="Q78" i="1"/>
  <c r="Q79" i="1"/>
  <c r="Q80" i="1"/>
  <c r="Q81" i="1"/>
  <c r="Q82" i="1"/>
  <c r="Q83" i="1"/>
  <c r="Q84" i="1"/>
  <c r="Q85" i="1"/>
  <c r="Q86" i="1"/>
  <c r="Q87" i="1"/>
  <c r="Q88" i="1"/>
  <c r="V64" i="1"/>
  <c r="V65" i="1"/>
  <c r="V66" i="1"/>
  <c r="V67" i="1"/>
  <c r="V79" i="1"/>
  <c r="V80" i="1"/>
  <c r="V81" i="1"/>
  <c r="H51" i="2"/>
  <c r="I143" i="1" l="1"/>
  <c r="F143" i="1"/>
  <c r="G143" i="1"/>
  <c r="H143" i="1"/>
  <c r="J143" i="1"/>
  <c r="M143" i="1"/>
  <c r="L143" i="1"/>
  <c r="O67" i="27"/>
  <c r="P67" i="27" s="1"/>
  <c r="O68" i="27"/>
  <c r="P68" i="27" s="1"/>
  <c r="S61" i="27"/>
  <c r="S22" i="27"/>
  <c r="O69" i="27"/>
  <c r="P69" i="27" s="1"/>
  <c r="O79" i="27"/>
  <c r="P79" i="27" s="1"/>
  <c r="S35" i="27"/>
  <c r="S34" i="27"/>
  <c r="T34" i="27" s="1"/>
  <c r="O71" i="27"/>
  <c r="P71" i="27" s="1"/>
  <c r="O72" i="27"/>
  <c r="P72" i="27" s="1"/>
  <c r="O73" i="27"/>
  <c r="P73" i="27" s="1"/>
  <c r="O74" i="27"/>
  <c r="P74" i="27" s="1"/>
  <c r="O75" i="27"/>
  <c r="P75" i="27" s="1"/>
  <c r="O76" i="27"/>
  <c r="P76" i="27" s="1"/>
  <c r="O80" i="27"/>
  <c r="P80" i="27" s="1"/>
  <c r="O81" i="27"/>
  <c r="P81" i="27" s="1"/>
  <c r="N25" i="27"/>
  <c r="N51" i="27"/>
  <c r="N45" i="27"/>
  <c r="N43" i="27"/>
  <c r="N37" i="27"/>
  <c r="T37" i="27" s="1"/>
  <c r="G4" i="27"/>
  <c r="K6" i="27" s="1"/>
  <c r="N29" i="27"/>
  <c r="N33" i="27"/>
  <c r="N50" i="27"/>
  <c r="N60" i="27"/>
  <c r="N38" i="27"/>
  <c r="N42" i="27"/>
  <c r="S50" i="27"/>
  <c r="N48" i="27"/>
  <c r="S58" i="27"/>
  <c r="T58" i="27" s="1"/>
  <c r="S51" i="27"/>
  <c r="N31" i="27"/>
  <c r="N28" i="27"/>
  <c r="N32" i="27"/>
  <c r="G91" i="27"/>
  <c r="O66" i="27"/>
  <c r="P66" i="27" s="1"/>
  <c r="N46" i="27"/>
  <c r="N55" i="27"/>
  <c r="N27" i="27"/>
  <c r="N49" i="27"/>
  <c r="T49" i="27" s="1"/>
  <c r="N59" i="27"/>
  <c r="T59" i="27" s="1"/>
  <c r="N24" i="27"/>
  <c r="N36" i="27"/>
  <c r="N44" i="27"/>
  <c r="O70" i="27"/>
  <c r="P70" i="27" s="1"/>
  <c r="H91" i="27"/>
  <c r="O78" i="27"/>
  <c r="P78" i="27" s="1"/>
  <c r="N53" i="27"/>
  <c r="N57" i="27"/>
  <c r="H86" i="27"/>
  <c r="I86" i="27"/>
  <c r="I91" i="27"/>
  <c r="K4" i="27"/>
  <c r="N23" i="27"/>
  <c r="N35" i="27"/>
  <c r="S36" i="27"/>
  <c r="N39" i="27"/>
  <c r="D86" i="27"/>
  <c r="D91" i="27"/>
  <c r="N61" i="27"/>
  <c r="T61" i="27" s="1"/>
  <c r="E86" i="27"/>
  <c r="E91" i="27"/>
  <c r="N40" i="27"/>
  <c r="N22" i="27"/>
  <c r="F86" i="27"/>
  <c r="F91" i="27"/>
  <c r="G86" i="27"/>
  <c r="T35" i="27" l="1"/>
  <c r="T51" i="27"/>
  <c r="T22" i="27"/>
  <c r="K8" i="27"/>
  <c r="T50" i="27"/>
  <c r="T36" i="27"/>
  <c r="K3" i="27" l="1"/>
  <c r="AB2" i="26"/>
  <c r="AQ2" i="26"/>
  <c r="AO2" i="26"/>
  <c r="AN2" i="26"/>
  <c r="AM2" i="26"/>
  <c r="AL2" i="26"/>
  <c r="AK2" i="26"/>
  <c r="AJ2" i="26"/>
  <c r="AF2" i="26"/>
  <c r="AE2" i="26"/>
  <c r="X2" i="26"/>
  <c r="W2" i="26"/>
  <c r="V2" i="26"/>
  <c r="U2" i="26"/>
  <c r="T2" i="26"/>
  <c r="S2" i="26"/>
  <c r="N2" i="26"/>
  <c r="M2" i="26"/>
  <c r="K2" i="26"/>
  <c r="J2" i="26"/>
  <c r="H2" i="26"/>
  <c r="F2" i="26"/>
  <c r="J61" i="23"/>
  <c r="R61" i="23"/>
  <c r="J62" i="23"/>
  <c r="R62" i="23"/>
  <c r="S62" i="23" s="1"/>
  <c r="T62" i="23" s="1"/>
  <c r="J63" i="23"/>
  <c r="R63" i="23"/>
  <c r="S61" i="23" l="1"/>
  <c r="T61" i="23" s="1"/>
  <c r="S63" i="23"/>
  <c r="T63" i="23" s="1"/>
  <c r="N88" i="1" l="1"/>
  <c r="N87" i="1"/>
  <c r="C15" i="2"/>
  <c r="M23" i="23"/>
  <c r="M24" i="23"/>
  <c r="M22" i="23"/>
  <c r="R88" i="1" l="1"/>
  <c r="W88" i="1"/>
  <c r="N55" i="1"/>
  <c r="B107" i="23"/>
  <c r="B109" i="23" s="1"/>
  <c r="I93" i="23"/>
  <c r="H93" i="23"/>
  <c r="G93" i="23"/>
  <c r="F93" i="23"/>
  <c r="E93" i="23"/>
  <c r="D93" i="23"/>
  <c r="I88" i="23"/>
  <c r="H88" i="23"/>
  <c r="G88" i="23"/>
  <c r="F88" i="23"/>
  <c r="E88" i="23"/>
  <c r="D88" i="23"/>
  <c r="M84" i="23"/>
  <c r="J84" i="23"/>
  <c r="G84" i="23"/>
  <c r="M83" i="23"/>
  <c r="J83" i="23"/>
  <c r="G83" i="23"/>
  <c r="M82" i="23"/>
  <c r="J82" i="23"/>
  <c r="G82" i="23"/>
  <c r="M81" i="23"/>
  <c r="G81" i="23"/>
  <c r="M80" i="23"/>
  <c r="G80" i="23"/>
  <c r="M79" i="23"/>
  <c r="J79" i="23"/>
  <c r="G79" i="23"/>
  <c r="M78" i="23"/>
  <c r="J78" i="23"/>
  <c r="G78" i="23"/>
  <c r="M77" i="23"/>
  <c r="J77" i="23"/>
  <c r="G77" i="23"/>
  <c r="M76" i="23"/>
  <c r="J76" i="23"/>
  <c r="G76" i="23"/>
  <c r="M75" i="23"/>
  <c r="J75" i="23"/>
  <c r="G75" i="23"/>
  <c r="M74" i="23"/>
  <c r="J74" i="23"/>
  <c r="G74" i="23"/>
  <c r="M73" i="23"/>
  <c r="J73" i="23"/>
  <c r="G73" i="23"/>
  <c r="M72" i="23"/>
  <c r="J72" i="23"/>
  <c r="G72" i="23"/>
  <c r="M71" i="23"/>
  <c r="J71" i="23"/>
  <c r="G71" i="23"/>
  <c r="M70" i="23"/>
  <c r="G70" i="23"/>
  <c r="M69" i="23"/>
  <c r="G69" i="23"/>
  <c r="M68" i="23"/>
  <c r="G68" i="23"/>
  <c r="R60" i="23"/>
  <c r="M60" i="23"/>
  <c r="J60" i="23"/>
  <c r="R59" i="23"/>
  <c r="M59" i="23"/>
  <c r="J59" i="23"/>
  <c r="R58" i="23"/>
  <c r="M58" i="23"/>
  <c r="J58" i="23"/>
  <c r="M57" i="23"/>
  <c r="J57" i="23"/>
  <c r="R56" i="23"/>
  <c r="M56" i="23"/>
  <c r="J56" i="23"/>
  <c r="R55" i="23"/>
  <c r="M55" i="23"/>
  <c r="J55" i="23"/>
  <c r="R54" i="23"/>
  <c r="M54" i="23"/>
  <c r="J54" i="23"/>
  <c r="R53" i="23"/>
  <c r="M53" i="23"/>
  <c r="J53" i="23"/>
  <c r="R52" i="23"/>
  <c r="M52" i="23"/>
  <c r="J52" i="23"/>
  <c r="R51" i="23"/>
  <c r="M51" i="23"/>
  <c r="J51" i="23"/>
  <c r="R50" i="23"/>
  <c r="M50" i="23"/>
  <c r="J50" i="23"/>
  <c r="R49" i="23"/>
  <c r="S49" i="23" s="1"/>
  <c r="M49" i="23"/>
  <c r="J49" i="23"/>
  <c r="J48" i="23"/>
  <c r="C48" i="23"/>
  <c r="J47" i="23"/>
  <c r="C47" i="23"/>
  <c r="J46" i="23"/>
  <c r="C46" i="23"/>
  <c r="J45" i="23"/>
  <c r="C45" i="23"/>
  <c r="J44" i="23"/>
  <c r="C44" i="23"/>
  <c r="R43" i="23"/>
  <c r="M43" i="23"/>
  <c r="J43" i="23"/>
  <c r="R42" i="23"/>
  <c r="S42" i="23" s="1"/>
  <c r="M42" i="23"/>
  <c r="J42" i="23"/>
  <c r="R41" i="23"/>
  <c r="M41" i="23"/>
  <c r="J41" i="23"/>
  <c r="R40" i="23"/>
  <c r="M40" i="23"/>
  <c r="J40" i="23"/>
  <c r="G6" i="23" s="1"/>
  <c r="R39" i="23"/>
  <c r="M39" i="23"/>
  <c r="J39" i="23"/>
  <c r="G5" i="23" s="1"/>
  <c r="R38" i="23"/>
  <c r="M38" i="23"/>
  <c r="J38" i="23"/>
  <c r="R37" i="23"/>
  <c r="M37" i="23"/>
  <c r="J37" i="23"/>
  <c r="R36" i="23"/>
  <c r="M36" i="23"/>
  <c r="J36" i="23"/>
  <c r="R35" i="23"/>
  <c r="M35" i="23"/>
  <c r="J35" i="23"/>
  <c r="R34" i="23"/>
  <c r="S34" i="23" s="1"/>
  <c r="M34" i="23"/>
  <c r="J34" i="23"/>
  <c r="R33" i="23"/>
  <c r="M33" i="23"/>
  <c r="J33" i="23"/>
  <c r="M32" i="23"/>
  <c r="J32" i="23"/>
  <c r="M31" i="23"/>
  <c r="J31" i="23"/>
  <c r="M30" i="23"/>
  <c r="J30" i="23"/>
  <c r="M29" i="23"/>
  <c r="J29" i="23"/>
  <c r="M28" i="23"/>
  <c r="J28" i="23"/>
  <c r="M27" i="23"/>
  <c r="J27" i="23"/>
  <c r="R26" i="23"/>
  <c r="M26" i="23"/>
  <c r="J26" i="23"/>
  <c r="R25" i="23"/>
  <c r="M25" i="23"/>
  <c r="R24" i="23"/>
  <c r="S24" i="23" s="1"/>
  <c r="R22" i="23"/>
  <c r="J22" i="23"/>
  <c r="G4" i="23" s="1"/>
  <c r="I16" i="23"/>
  <c r="H16" i="23"/>
  <c r="G16" i="23"/>
  <c r="F16" i="23"/>
  <c r="E16" i="23"/>
  <c r="D16" i="23"/>
  <c r="H13" i="23"/>
  <c r="K14" i="23"/>
  <c r="H12" i="23"/>
  <c r="G9" i="23"/>
  <c r="G8" i="23"/>
  <c r="D8" i="23"/>
  <c r="N115" i="1"/>
  <c r="N114" i="1"/>
  <c r="N113" i="1"/>
  <c r="N112" i="1"/>
  <c r="N111" i="1"/>
  <c r="N110" i="1"/>
  <c r="N109" i="1"/>
  <c r="N108" i="1"/>
  <c r="N107" i="1"/>
  <c r="N106" i="1"/>
  <c r="N105" i="1"/>
  <c r="N104" i="1"/>
  <c r="N103" i="1"/>
  <c r="N101" i="1"/>
  <c r="X88" i="1" l="1"/>
  <c r="O73" i="23"/>
  <c r="P73" i="23" s="1"/>
  <c r="V8" i="2"/>
  <c r="K7" i="23"/>
  <c r="K4" i="23"/>
  <c r="K5" i="23"/>
  <c r="R55" i="1"/>
  <c r="S25" i="23"/>
  <c r="S38" i="23"/>
  <c r="S53" i="23"/>
  <c r="N56" i="23"/>
  <c r="S41" i="23"/>
  <c r="S56" i="23"/>
  <c r="S33" i="23"/>
  <c r="N52" i="23"/>
  <c r="N60" i="23"/>
  <c r="S37" i="23"/>
  <c r="S52" i="23"/>
  <c r="S60" i="23"/>
  <c r="S35" i="23"/>
  <c r="S43" i="23"/>
  <c r="S50" i="23"/>
  <c r="S58" i="23"/>
  <c r="S22" i="23"/>
  <c r="S55" i="23"/>
  <c r="N38" i="23"/>
  <c r="N53" i="23"/>
  <c r="S51" i="23"/>
  <c r="N26" i="23"/>
  <c r="S26" i="23"/>
  <c r="N30" i="23"/>
  <c r="S59" i="23"/>
  <c r="N34" i="23"/>
  <c r="T34" i="23" s="1"/>
  <c r="S39" i="23"/>
  <c r="N42" i="23"/>
  <c r="T42" i="23" s="1"/>
  <c r="N49" i="23"/>
  <c r="T49" i="23" s="1"/>
  <c r="S54" i="23"/>
  <c r="N57" i="23"/>
  <c r="O74" i="23"/>
  <c r="P74" i="23" s="1"/>
  <c r="O75" i="23"/>
  <c r="P75" i="23" s="1"/>
  <c r="O76" i="23"/>
  <c r="P76" i="23" s="1"/>
  <c r="O77" i="23"/>
  <c r="P77" i="23" s="1"/>
  <c r="O78" i="23"/>
  <c r="P78" i="23" s="1"/>
  <c r="O79" i="23"/>
  <c r="P79" i="23" s="1"/>
  <c r="O82" i="23"/>
  <c r="P82" i="23" s="1"/>
  <c r="O83" i="23"/>
  <c r="P83" i="23" s="1"/>
  <c r="O84" i="23"/>
  <c r="P84" i="23" s="1"/>
  <c r="N37" i="23"/>
  <c r="N54" i="23"/>
  <c r="N35" i="23"/>
  <c r="N29" i="23"/>
  <c r="N33" i="23"/>
  <c r="N55" i="23"/>
  <c r="N25" i="23"/>
  <c r="N31" i="23"/>
  <c r="N41" i="23"/>
  <c r="N28" i="23"/>
  <c r="N39" i="23"/>
  <c r="N50" i="23"/>
  <c r="N58" i="23"/>
  <c r="N32" i="23"/>
  <c r="O71" i="23"/>
  <c r="P71" i="23" s="1"/>
  <c r="N24" i="23"/>
  <c r="T24" i="23" s="1"/>
  <c r="N40" i="23"/>
  <c r="N51" i="23"/>
  <c r="N59" i="23"/>
  <c r="N27" i="23"/>
  <c r="N36" i="23"/>
  <c r="N43" i="23"/>
  <c r="O72" i="23"/>
  <c r="P72" i="23" s="1"/>
  <c r="G7" i="23"/>
  <c r="N22" i="23"/>
  <c r="T22" i="23" s="1"/>
  <c r="S36" i="23"/>
  <c r="S40" i="23"/>
  <c r="K99" i="1" l="1"/>
  <c r="P99" i="1" s="1"/>
  <c r="Q99" i="1" s="1"/>
  <c r="K111" i="1"/>
  <c r="T50" i="23"/>
  <c r="T35" i="23"/>
  <c r="T33" i="23"/>
  <c r="T37" i="23"/>
  <c r="J80" i="23"/>
  <c r="O80" i="23" s="1"/>
  <c r="P80" i="23" s="1"/>
  <c r="J77" i="27"/>
  <c r="O77" i="27" s="1"/>
  <c r="P77" i="27" s="1"/>
  <c r="J65" i="27"/>
  <c r="O65" i="27" s="1"/>
  <c r="P65" i="27" s="1"/>
  <c r="R57" i="23"/>
  <c r="S57" i="23" s="1"/>
  <c r="T57" i="23" s="1"/>
  <c r="T59" i="23"/>
  <c r="T58" i="23"/>
  <c r="T38" i="23"/>
  <c r="T52" i="23"/>
  <c r="T43" i="23"/>
  <c r="T25" i="23"/>
  <c r="T53" i="23"/>
  <c r="T60" i="23"/>
  <c r="T56" i="23"/>
  <c r="T41" i="23"/>
  <c r="T55" i="23"/>
  <c r="T51" i="23"/>
  <c r="T26" i="23"/>
  <c r="T54" i="23"/>
  <c r="T39" i="23"/>
  <c r="K6" i="23"/>
  <c r="K8" i="23" s="1"/>
  <c r="K3" i="23" s="1"/>
  <c r="C11" i="23" s="1"/>
  <c r="T36" i="23"/>
  <c r="T40" i="23"/>
  <c r="C12" i="27" l="1"/>
  <c r="V9" i="2"/>
  <c r="V6" i="2"/>
  <c r="H102" i="1"/>
  <c r="H115" i="1"/>
  <c r="H114" i="1"/>
  <c r="H113" i="1"/>
  <c r="P115" i="1" l="1"/>
  <c r="Q115" i="1" s="1"/>
  <c r="P114" i="1"/>
  <c r="Q114" i="1" s="1"/>
  <c r="P113" i="1"/>
  <c r="Q113" i="1" s="1"/>
  <c r="V7" i="2"/>
  <c r="J81" i="23"/>
  <c r="O81" i="23" s="1"/>
  <c r="P81" i="23" s="1"/>
  <c r="H112" i="1"/>
  <c r="H111" i="1"/>
  <c r="H110" i="1"/>
  <c r="H109" i="1"/>
  <c r="H108" i="1"/>
  <c r="H107" i="1"/>
  <c r="H106" i="1"/>
  <c r="H105" i="1"/>
  <c r="H104" i="1"/>
  <c r="H103" i="1"/>
  <c r="H101" i="1"/>
  <c r="H100" i="1"/>
  <c r="P101" i="1"/>
  <c r="P100" i="1"/>
  <c r="V10" i="2"/>
  <c r="P110" i="1" l="1"/>
  <c r="Q110" i="1" s="1"/>
  <c r="P109" i="1"/>
  <c r="Q109" i="1" s="1"/>
  <c r="P105" i="1"/>
  <c r="Q105" i="1" s="1"/>
  <c r="P106" i="1"/>
  <c r="Q106" i="1" s="1"/>
  <c r="P107" i="1"/>
  <c r="Q107" i="1" s="1"/>
  <c r="P108" i="1"/>
  <c r="Q108" i="1" s="1"/>
  <c r="P103" i="1"/>
  <c r="Q103" i="1" s="1"/>
  <c r="P111" i="1"/>
  <c r="Q111" i="1" s="1"/>
  <c r="P112" i="1"/>
  <c r="Q112" i="1" s="1"/>
  <c r="Q100" i="1"/>
  <c r="P104" i="1"/>
  <c r="Q104" i="1" s="1"/>
  <c r="P102" i="1"/>
  <c r="Q102" i="1" s="1"/>
  <c r="Q101" i="1"/>
  <c r="J70" i="23"/>
  <c r="O70" i="23" s="1"/>
  <c r="P70" i="23" s="1"/>
  <c r="J69" i="23"/>
  <c r="O69" i="23" s="1"/>
  <c r="P69" i="23" s="1"/>
  <c r="J68" i="23"/>
  <c r="O68" i="23" s="1"/>
  <c r="N86" i="1"/>
  <c r="N85" i="1"/>
  <c r="N84" i="1"/>
  <c r="N83" i="1"/>
  <c r="N82" i="1"/>
  <c r="N81" i="1"/>
  <c r="N80" i="1"/>
  <c r="N79" i="1"/>
  <c r="N78" i="1"/>
  <c r="N77" i="1"/>
  <c r="N76" i="1"/>
  <c r="N75" i="1"/>
  <c r="N74" i="1"/>
  <c r="N73" i="1"/>
  <c r="H10" i="1" s="1"/>
  <c r="N72" i="1"/>
  <c r="H9" i="1" s="1"/>
  <c r="N71" i="1"/>
  <c r="H8" i="1" s="1"/>
  <c r="N70" i="1"/>
  <c r="H7" i="1" s="1"/>
  <c r="N69" i="1"/>
  <c r="H6" i="1" s="1"/>
  <c r="N68" i="1"/>
  <c r="N67" i="1"/>
  <c r="N66" i="1"/>
  <c r="N65" i="1"/>
  <c r="N64" i="1"/>
  <c r="N63" i="1"/>
  <c r="N62" i="1"/>
  <c r="N61" i="1"/>
  <c r="N60" i="1"/>
  <c r="N59" i="1"/>
  <c r="N58" i="1"/>
  <c r="N57" i="1"/>
  <c r="N56" i="1"/>
  <c r="N54" i="1"/>
  <c r="N53" i="1"/>
  <c r="H5" i="1"/>
  <c r="H16" i="1" s="1" a="1"/>
  <c r="H16" i="1" s="1"/>
  <c r="H17" i="1" l="1"/>
  <c r="H18" i="1" s="1"/>
  <c r="D13" i="1"/>
  <c r="B33" i="28" s="1"/>
  <c r="H14" i="1"/>
  <c r="H15" i="1"/>
  <c r="R53" i="1"/>
  <c r="P68" i="23"/>
  <c r="G124" i="1" l="1"/>
  <c r="N5" i="1" s="1"/>
  <c r="G125" i="1"/>
  <c r="G126" i="1"/>
  <c r="G127" i="1"/>
  <c r="G128" i="1"/>
  <c r="G129" i="1"/>
  <c r="Z2" i="26"/>
  <c r="AH2" i="26"/>
  <c r="C12" i="23"/>
  <c r="F141" i="1" l="1"/>
  <c r="G141" i="1"/>
  <c r="H141" i="1"/>
  <c r="E9" i="1" l="1"/>
  <c r="N4" i="2"/>
  <c r="B11" i="3"/>
  <c r="R27" i="23" l="1"/>
  <c r="S27" i="23" s="1"/>
  <c r="O4" i="2"/>
  <c r="R44" i="23" s="1"/>
  <c r="S44" i="23" s="1"/>
  <c r="M44" i="23"/>
  <c r="R29" i="23"/>
  <c r="S29" i="23" s="1"/>
  <c r="T29" i="23" s="1"/>
  <c r="R30" i="23"/>
  <c r="S30" i="23" s="1"/>
  <c r="T30" i="23" s="1"/>
  <c r="R31" i="23"/>
  <c r="S31" i="23" s="1"/>
  <c r="T31" i="23" s="1"/>
  <c r="R54" i="1"/>
  <c r="J17" i="3"/>
  <c r="R52" i="1"/>
  <c r="W80" i="1"/>
  <c r="W65" i="1"/>
  <c r="W81" i="1"/>
  <c r="W64" i="1"/>
  <c r="W67" i="1"/>
  <c r="W79" i="1"/>
  <c r="W66" i="1"/>
  <c r="V57" i="1" l="1"/>
  <c r="V83" i="1"/>
  <c r="W89" i="1"/>
  <c r="X89" i="1" s="1"/>
  <c r="R28" i="23"/>
  <c r="S28" i="23" s="1"/>
  <c r="T28" i="23" s="1"/>
  <c r="R42" i="27"/>
  <c r="S42" i="27" s="1"/>
  <c r="T42" i="27" s="1"/>
  <c r="R38" i="27"/>
  <c r="S38" i="27" s="1"/>
  <c r="T38" i="27" s="1"/>
  <c r="R30" i="27"/>
  <c r="S30" i="27" s="1"/>
  <c r="T30" i="27" s="1"/>
  <c r="R26" i="27"/>
  <c r="S26" i="27" s="1"/>
  <c r="T26" i="27" s="1"/>
  <c r="R48" i="27"/>
  <c r="S48" i="27" s="1"/>
  <c r="T48" i="27" s="1"/>
  <c r="R57" i="27"/>
  <c r="S57" i="27" s="1"/>
  <c r="T57" i="27" s="1"/>
  <c r="R53" i="27"/>
  <c r="S53" i="27" s="1"/>
  <c r="T53" i="27" s="1"/>
  <c r="R46" i="27"/>
  <c r="S46" i="27" s="1"/>
  <c r="T46" i="27" s="1"/>
  <c r="R43" i="27"/>
  <c r="S43" i="27" s="1"/>
  <c r="T43" i="27" s="1"/>
  <c r="R39" i="27"/>
  <c r="S39" i="27" s="1"/>
  <c r="T39" i="27" s="1"/>
  <c r="R31" i="27"/>
  <c r="S31" i="27" s="1"/>
  <c r="T31" i="27" s="1"/>
  <c r="R27" i="27"/>
  <c r="S27" i="27" s="1"/>
  <c r="T27" i="27" s="1"/>
  <c r="R23" i="27"/>
  <c r="R55" i="27"/>
  <c r="S55" i="27" s="1"/>
  <c r="T55" i="27" s="1"/>
  <c r="R54" i="27"/>
  <c r="S54" i="27" s="1"/>
  <c r="T54" i="27" s="1"/>
  <c r="R44" i="27"/>
  <c r="S44" i="27" s="1"/>
  <c r="T44" i="27" s="1"/>
  <c r="R45" i="27"/>
  <c r="S45" i="27" s="1"/>
  <c r="T45" i="27" s="1"/>
  <c r="R40" i="27"/>
  <c r="S40" i="27" s="1"/>
  <c r="T40" i="27" s="1"/>
  <c r="R32" i="27"/>
  <c r="S32" i="27" s="1"/>
  <c r="T32" i="27" s="1"/>
  <c r="R28" i="27"/>
  <c r="S28" i="27" s="1"/>
  <c r="T28" i="27" s="1"/>
  <c r="R24" i="27"/>
  <c r="S24" i="27" s="1"/>
  <c r="T24" i="27" s="1"/>
  <c r="R47" i="27"/>
  <c r="S47" i="27" s="1"/>
  <c r="T47" i="27" s="1"/>
  <c r="R41" i="27"/>
  <c r="S41" i="27" s="1"/>
  <c r="T41" i="27" s="1"/>
  <c r="R33" i="27"/>
  <c r="S33" i="27" s="1"/>
  <c r="T33" i="27" s="1"/>
  <c r="R29" i="27"/>
  <c r="S29" i="27" s="1"/>
  <c r="T29" i="27" s="1"/>
  <c r="R25" i="27"/>
  <c r="S25" i="27" s="1"/>
  <c r="T25" i="27" s="1"/>
  <c r="R56" i="27"/>
  <c r="S56" i="27" s="1"/>
  <c r="T56" i="27" s="1"/>
  <c r="R52" i="27"/>
  <c r="S52" i="27" s="1"/>
  <c r="T52" i="27" s="1"/>
  <c r="R60" i="27"/>
  <c r="S60" i="27" s="1"/>
  <c r="T60" i="27" s="1"/>
  <c r="V59" i="1"/>
  <c r="V75" i="1"/>
  <c r="V60" i="1"/>
  <c r="V68" i="1"/>
  <c r="W68" i="1" s="1"/>
  <c r="V76" i="1"/>
  <c r="V84" i="1"/>
  <c r="V85" i="1"/>
  <c r="V82" i="1"/>
  <c r="V53" i="1"/>
  <c r="V61" i="1"/>
  <c r="V69" i="1"/>
  <c r="W69" i="1" s="1"/>
  <c r="V77" i="1"/>
  <c r="V86" i="1"/>
  <c r="W86" i="1" s="1"/>
  <c r="V72" i="1"/>
  <c r="V54" i="1"/>
  <c r="W54" i="1" s="1"/>
  <c r="X54" i="1" s="1"/>
  <c r="V62" i="1"/>
  <c r="W62" i="1" s="1"/>
  <c r="V70" i="1"/>
  <c r="W70" i="1" s="1"/>
  <c r="V78" i="1"/>
  <c r="V56" i="1"/>
  <c r="V55" i="1"/>
  <c r="W55" i="1" s="1"/>
  <c r="X55" i="1" s="1"/>
  <c r="V63" i="1"/>
  <c r="W63" i="1" s="1"/>
  <c r="V71" i="1"/>
  <c r="V74" i="1"/>
  <c r="V73" i="1"/>
  <c r="V58" i="1"/>
  <c r="V87" i="1"/>
  <c r="W87" i="1" s="1"/>
  <c r="N44" i="23"/>
  <c r="T44" i="23" s="1"/>
  <c r="T27" i="23"/>
  <c r="R32" i="23"/>
  <c r="S32" i="23" s="1"/>
  <c r="T32" i="23" s="1"/>
  <c r="H144" i="1" l="1"/>
  <c r="F144" i="1"/>
  <c r="F146" i="1" s="1"/>
  <c r="G144" i="1"/>
  <c r="G146" i="1" s="1"/>
  <c r="I144" i="1"/>
  <c r="I146" i="1" s="1"/>
  <c r="I147" i="1" s="1"/>
  <c r="J144" i="1"/>
  <c r="L144" i="1"/>
  <c r="M144" i="1"/>
  <c r="M146" i="1" s="1"/>
  <c r="W53" i="1"/>
  <c r="X53" i="1" s="1"/>
  <c r="S23" i="27"/>
  <c r="D87" i="27"/>
  <c r="D88" i="27" s="1"/>
  <c r="D92" i="27"/>
  <c r="D93" i="27" s="1"/>
  <c r="I92" i="27"/>
  <c r="I93" i="27" s="1"/>
  <c r="I87" i="27"/>
  <c r="I88" i="27" s="1"/>
  <c r="H87" i="27"/>
  <c r="H88" i="27" s="1"/>
  <c r="G87" i="27"/>
  <c r="G88" i="27" s="1"/>
  <c r="F92" i="27"/>
  <c r="F93" i="27" s="1"/>
  <c r="H92" i="27"/>
  <c r="H93" i="27" s="1"/>
  <c r="E92" i="27"/>
  <c r="E93" i="27" s="1"/>
  <c r="G92" i="27"/>
  <c r="G93" i="27" s="1"/>
  <c r="E87" i="27"/>
  <c r="E88" i="27" s="1"/>
  <c r="F87" i="27"/>
  <c r="F88" i="27" s="1"/>
  <c r="W60" i="1"/>
  <c r="B17" i="27" l="1" a="1"/>
  <c r="B17" i="27" s="1"/>
  <c r="C17" i="27" s="1"/>
  <c r="C8" i="27" s="1"/>
  <c r="F147" i="1"/>
  <c r="B18" i="27" a="1"/>
  <c r="B18" i="27" s="1"/>
  <c r="C18" i="27" s="1"/>
  <c r="C9" i="27" s="1"/>
  <c r="T23" i="27"/>
  <c r="R60" i="1"/>
  <c r="X60" i="1" s="1"/>
  <c r="R58" i="1"/>
  <c r="R59" i="1"/>
  <c r="D74" i="1"/>
  <c r="D75" i="1"/>
  <c r="D76" i="1"/>
  <c r="D77" i="1"/>
  <c r="D78" i="1"/>
  <c r="C10" i="27" l="1" a="1"/>
  <c r="C10" i="27" s="1"/>
  <c r="R74" i="1"/>
  <c r="P8" i="2" l="1"/>
  <c r="N19" i="2"/>
  <c r="O19" i="2" s="1"/>
  <c r="N18" i="2"/>
  <c r="O18" i="2" s="1"/>
  <c r="N17" i="2"/>
  <c r="O17" i="2" s="1"/>
  <c r="N16" i="2"/>
  <c r="O16" i="2" s="1"/>
  <c r="N15" i="2"/>
  <c r="O15" i="2" s="1"/>
  <c r="N14" i="2"/>
  <c r="O14" i="2" s="1"/>
  <c r="N13" i="2"/>
  <c r="O13" i="2" s="1"/>
  <c r="N12" i="2"/>
  <c r="O12" i="2" s="1"/>
  <c r="N11" i="2"/>
  <c r="O11" i="2" s="1"/>
  <c r="N10" i="2"/>
  <c r="O10" i="2" s="1"/>
  <c r="N9" i="2"/>
  <c r="O9" i="2" s="1"/>
  <c r="N8" i="2"/>
  <c r="M48" i="23" s="1"/>
  <c r="N48" i="23" s="1"/>
  <c r="N7" i="2"/>
  <c r="M47" i="23" s="1"/>
  <c r="N47" i="23" s="1"/>
  <c r="N6" i="2"/>
  <c r="M46" i="23" s="1"/>
  <c r="N46" i="23" s="1"/>
  <c r="N5" i="2"/>
  <c r="M45" i="23" s="1"/>
  <c r="W74" i="1"/>
  <c r="X74" i="1" s="1"/>
  <c r="N45" i="23" l="1"/>
  <c r="G94" i="23"/>
  <c r="H89" i="23"/>
  <c r="H94" i="23"/>
  <c r="I89" i="23"/>
  <c r="I94" i="23"/>
  <c r="D89" i="23"/>
  <c r="D94" i="23"/>
  <c r="E89" i="23"/>
  <c r="E94" i="23"/>
  <c r="F89" i="23"/>
  <c r="F94" i="23"/>
  <c r="G89" i="23"/>
  <c r="O5" i="2"/>
  <c r="R75" i="1"/>
  <c r="O6" i="2"/>
  <c r="R76" i="1"/>
  <c r="O7" i="2"/>
  <c r="R77" i="1"/>
  <c r="O8" i="2"/>
  <c r="R78" i="1"/>
  <c r="R63" i="1"/>
  <c r="W78" i="1" l="1"/>
  <c r="X78" i="1" s="1"/>
  <c r="R48" i="23"/>
  <c r="S48" i="23" s="1"/>
  <c r="T48" i="23" s="1"/>
  <c r="W77" i="1"/>
  <c r="X77" i="1" s="1"/>
  <c r="R47" i="23"/>
  <c r="S47" i="23" s="1"/>
  <c r="T47" i="23" s="1"/>
  <c r="W76" i="1"/>
  <c r="X76" i="1" s="1"/>
  <c r="R46" i="23"/>
  <c r="S46" i="23" s="1"/>
  <c r="T46" i="23" s="1"/>
  <c r="W75" i="1"/>
  <c r="X75" i="1" s="1"/>
  <c r="R45" i="23"/>
  <c r="X63" i="1"/>
  <c r="S45" i="23" l="1"/>
  <c r="D95" i="23"/>
  <c r="D96" i="23" s="1"/>
  <c r="H95" i="23"/>
  <c r="H96" i="23" s="1"/>
  <c r="E95" i="23"/>
  <c r="E96" i="23" s="1"/>
  <c r="H90" i="23"/>
  <c r="H91" i="23" s="1"/>
  <c r="G90" i="23"/>
  <c r="G91" i="23" s="1"/>
  <c r="D90" i="23"/>
  <c r="D91" i="23" s="1"/>
  <c r="G95" i="23"/>
  <c r="G96" i="23" s="1"/>
  <c r="F95" i="23"/>
  <c r="F96" i="23" s="1"/>
  <c r="I95" i="23"/>
  <c r="I96" i="23" s="1"/>
  <c r="E90" i="23"/>
  <c r="E91" i="23" s="1"/>
  <c r="I90" i="23"/>
  <c r="I91" i="23" s="1"/>
  <c r="F90" i="23"/>
  <c r="F91" i="23" s="1"/>
  <c r="W56" i="1"/>
  <c r="W57" i="1"/>
  <c r="W58" i="1"/>
  <c r="W59" i="1"/>
  <c r="W61" i="1"/>
  <c r="R80" i="1"/>
  <c r="X80" i="1" s="1"/>
  <c r="R87" i="1"/>
  <c r="X87" i="1" s="1"/>
  <c r="B18" i="23" l="1" a="1"/>
  <c r="B18" i="23" s="1"/>
  <c r="C18" i="23" s="1"/>
  <c r="C9" i="23" s="1"/>
  <c r="B17" i="23" a="1"/>
  <c r="B17" i="23" s="1"/>
  <c r="C17" i="23" s="1"/>
  <c r="C8" i="23" s="1"/>
  <c r="T45" i="23"/>
  <c r="R79" i="1"/>
  <c r="X79" i="1" s="1"/>
  <c r="W71" i="1"/>
  <c r="W52" i="1"/>
  <c r="W85" i="1"/>
  <c r="W84" i="1"/>
  <c r="W82" i="1"/>
  <c r="R66" i="1"/>
  <c r="X66" i="1" s="1"/>
  <c r="W83" i="1"/>
  <c r="W73" i="1"/>
  <c r="W72" i="1"/>
  <c r="R57" i="1"/>
  <c r="X57" i="1" s="1"/>
  <c r="R73" i="1"/>
  <c r="R65" i="1"/>
  <c r="X65" i="1" s="1"/>
  <c r="R56" i="1"/>
  <c r="R86" i="1"/>
  <c r="X86" i="1" s="1"/>
  <c r="R85" i="1"/>
  <c r="R72" i="1"/>
  <c r="R64" i="1"/>
  <c r="X64" i="1" s="1"/>
  <c r="R67" i="1"/>
  <c r="X67" i="1" s="1"/>
  <c r="X58" i="1"/>
  <c r="R83" i="1"/>
  <c r="R70" i="1"/>
  <c r="R69" i="1"/>
  <c r="R84" i="1"/>
  <c r="R71" i="1"/>
  <c r="R82" i="1"/>
  <c r="R61" i="1"/>
  <c r="X61" i="1" s="1"/>
  <c r="R62" i="1"/>
  <c r="X62" i="1" s="1"/>
  <c r="R81" i="1"/>
  <c r="R68" i="1"/>
  <c r="X68" i="1" s="1"/>
  <c r="X59" i="1"/>
  <c r="C10" i="23" l="1" a="1"/>
  <c r="C10" i="23" s="1"/>
  <c r="X56" i="1"/>
  <c r="X52" i="1"/>
  <c r="X71" i="1"/>
  <c r="X85" i="1"/>
  <c r="X82" i="1"/>
  <c r="X84" i="1"/>
  <c r="X72" i="1"/>
  <c r="X70" i="1"/>
  <c r="X81" i="1"/>
  <c r="X69" i="1"/>
  <c r="X73" i="1"/>
  <c r="X83" i="1"/>
  <c r="G147" i="1" l="1"/>
  <c r="M147" i="1"/>
  <c r="K143" i="1" l="1"/>
  <c r="K144" i="1"/>
  <c r="N6" i="1"/>
  <c r="N7" i="1"/>
  <c r="N8" i="1"/>
  <c r="N9" i="1"/>
  <c r="N10" i="1"/>
  <c r="H13" i="1"/>
  <c r="G17" i="3"/>
  <c r="D12" i="1"/>
  <c r="B34" i="28"/>
  <c r="AI2" i="26"/>
  <c r="E143" i="1"/>
  <c r="E144" i="1"/>
  <c r="E146" i="1" l="1"/>
  <c r="E147" i="1" s="1"/>
  <c r="E124" i="1" l="1"/>
  <c r="L124" i="1" l="1"/>
  <c r="F124" i="1"/>
  <c r="N124" i="1" l="1"/>
  <c r="H145" i="1" s="1"/>
  <c r="H146" i="1" s="1"/>
  <c r="H147" i="1"/>
  <c r="E127" i="1" l="1"/>
  <c r="E126" i="1"/>
  <c r="E125" i="1"/>
  <c r="L125" i="1" l="1"/>
  <c r="F125" i="1"/>
  <c r="F126" i="1"/>
  <c r="L126" i="1"/>
  <c r="N126" i="1" s="1"/>
  <c r="F127" i="1"/>
  <c r="L127" i="1"/>
  <c r="N127" i="1" s="1"/>
  <c r="N125" i="1" l="1"/>
  <c r="J145" i="1" l="1"/>
  <c r="J146" i="1" s="1"/>
  <c r="J147" i="1" l="1"/>
  <c r="C43" i="1" a="1"/>
  <c r="C43" i="1" s="1"/>
  <c r="E17" i="3" l="1"/>
  <c r="D43" i="1"/>
  <c r="D9" i="1" s="1"/>
  <c r="E128" i="1"/>
  <c r="L128" i="1" l="1"/>
  <c r="F128" i="1"/>
  <c r="B32" i="28"/>
  <c r="AG2" i="26"/>
  <c r="N128" i="1" l="1"/>
  <c r="K145" i="1" l="1"/>
  <c r="K146" i="1" s="1"/>
  <c r="K147" i="1" l="1"/>
  <c r="E129" i="1" s="1"/>
  <c r="F129" i="1" l="1"/>
  <c r="L129" i="1"/>
  <c r="N129" i="1" s="1"/>
  <c r="L145" i="1" l="1"/>
  <c r="L146" i="1" s="1"/>
  <c r="N130" i="1"/>
  <c r="L147" i="1" l="1"/>
  <c r="C44" i="1" a="1"/>
  <c r="C44" i="1" s="1"/>
  <c r="D17" i="3" l="1"/>
  <c r="D44" i="1"/>
  <c r="D10" i="1" s="1"/>
  <c r="D11" i="1" a="1"/>
  <c r="D11" i="1" s="1"/>
  <c r="B24" i="28" l="1"/>
  <c r="B36" i="28"/>
  <c r="AA2" i="26"/>
  <c r="K17" i="3"/>
  <c r="B23" i="28"/>
  <c r="AP2" i="26"/>
  <c r="B35" i="28"/>
  <c r="P2" i="26" l="1"/>
  <c r="Y2" i="26"/>
  <c r="O2" i="26" l="1"/>
  <c r="Q2" i="26"/>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<sst xmlns="http://schemas.openxmlformats.org/spreadsheetml/2006/main" count="2109" uniqueCount="635">
  <si>
    <t>Steel Product-Level Calculation Tool</t>
  </si>
  <si>
    <t>Instructions</t>
  </si>
  <si>
    <t>System boundary</t>
  </si>
  <si>
    <t>This calculation tool is designed for calculating the product-level carbon emission footprint for steel sector, together with other key metrics listed in the guidance to support green procurement. 
Steps:
1. Input production data in "Product-Level Calculation" to calculate emission footprint and other key metrics
2. Results for the key metrics are calculated at the top of the page. 
3. Emission factors database is included in "Emission Factors" Sheet. Example filled-out calculation is included on the "Example" tab.
4. The yellow boxes are mandatory to fill in to auto-calculate the results in blue boxes.</t>
  </si>
  <si>
    <t>Mandatory to fill in</t>
  </si>
  <si>
    <t>The Cradle to Benchmarking Point Boundary is used to compare different steel product for green procurement. 
The Cradle to Gate Boundary, depending on the final product, are used for further emission footprint reporting.</t>
  </si>
  <si>
    <t>Final Result</t>
  </si>
  <si>
    <t xml:space="preserve">This calculation sheet is designed to assist with the calculation of product-level emissions footprints against the two boundaries illustrated. To do this the excel tool allows for emissions calculations with inventories of material and energy use against different processes. The emissions inventory is then calculated for each process and is summed up to the boundaries. The user selects which process (starting in column D) should contribute to which boundary. A process can be anything like "sinter ptoduction", "Ironmaking in Blast Furnace", "Hot rolling" among others. Any number of processes may be used depending on the convience for the user against which they have inventory data. 
For emission factor types:
Choosing “Site specific” requires you to fill the emission factor in the next column
"Default" retreives default emission factor from the database sheet
Under the "Indirect EF Type" column, choose "Included" if indirect emission already included in previous upstream processes
If “Site specific” emission factors are used, please remove the "default" choice for emission type and make sure that "Site Specific" is selected.  Selecting the "default" option restricts the manual entry of emission factor.
The calculation also provides some default emissions factors - where a default emissions factor is not available it will result in a #N/A error. In this case the user is required to select and enter a site specific emissions factor.
The “default” indirect emission factors for coal and natural gas includes fugitive methane emissions. If fugitive methane emissions from coal mining and the natural gas supply chain are separately disclosed by your fuel providers, enter that information in the “Methane” line item at the end of the “Emission Source/Type” table   </t>
  </si>
  <si>
    <t>Steel Guidance Emisison Reporting Calculation Tool</t>
  </si>
  <si>
    <t>Summary of outputs</t>
  </si>
  <si>
    <t>General Information</t>
  </si>
  <si>
    <t>Items</t>
  </si>
  <si>
    <t>Notes</t>
  </si>
  <si>
    <t>Test time period</t>
  </si>
  <si>
    <t>Start Date (MM-YYYY) - End Date (MM-YYYY)</t>
  </si>
  <si>
    <t>Product description</t>
  </si>
  <si>
    <t>Brief description on the tested product</t>
  </si>
  <si>
    <t>Country of production</t>
  </si>
  <si>
    <t>The country where the production line took place</t>
  </si>
  <si>
    <t>Product amount</t>
  </si>
  <si>
    <t>metric tons</t>
  </si>
  <si>
    <t>Post-consumer scrap share</t>
  </si>
  <si>
    <t>Percentage of total scrap-based content</t>
  </si>
  <si>
    <t>Pre-consumer scrap share</t>
  </si>
  <si>
    <t>Product Name</t>
  </si>
  <si>
    <t>Type</t>
  </si>
  <si>
    <t>Company Name</t>
  </si>
  <si>
    <t>Cradle to Gate Emission Intensity (tCO2e/t steel)[with credits]</t>
  </si>
  <si>
    <t>Cradle to Benchmarking Point Emission Intensity (tCO2e/t steel)</t>
  </si>
  <si>
    <t>NACIS/HS code</t>
  </si>
  <si>
    <t>Scrape Rate</t>
  </si>
  <si>
    <t>Product emission position relative to sliding scale</t>
  </si>
  <si>
    <t>Technology Label</t>
  </si>
  <si>
    <t>Credits</t>
  </si>
  <si>
    <t>Primary Data Share</t>
  </si>
  <si>
    <t>Check</t>
  </si>
  <si>
    <t>Carbon capture and storage</t>
  </si>
  <si>
    <t>Item</t>
  </si>
  <si>
    <t>Content</t>
  </si>
  <si>
    <t>Explanation</t>
  </si>
  <si>
    <t>Company General Information</t>
  </si>
  <si>
    <t>Company Info</t>
  </si>
  <si>
    <t>XXX</t>
  </si>
  <si>
    <t>The name of the company reporting the PCF</t>
  </si>
  <si>
    <t xml:space="preserve">Country of Production </t>
  </si>
  <si>
    <t>China</t>
  </si>
  <si>
    <t>The country of production, in ISO 3166-2</t>
  </si>
  <si>
    <t>Product Info</t>
  </si>
  <si>
    <t>hot dip galvanized steel sheet</t>
  </si>
  <si>
    <t xml:space="preserve">The trade name of the Product </t>
  </si>
  <si>
    <t>Product ID</t>
  </si>
  <si>
    <t>Each of the values in the set is supposed to uniquely identify the product. What constitutes a suitable product identifier depends on the product, the conventions, contracts, and agreements between the Data Owner and a Data Recipient.</t>
  </si>
  <si>
    <t>Product Description</t>
  </si>
  <si>
    <t>The free-form description of the product plus other information related to it such as production technology or packaging.</t>
  </si>
  <si>
    <t xml:space="preserve">Product CPC </t>
  </si>
  <si>
    <t>A UN Product Classification Code (CPC) that the given product belongs to.</t>
  </si>
  <si>
    <t>Comment</t>
  </si>
  <si>
    <t>The additional information related to the product footprint.</t>
  </si>
  <si>
    <t xml:space="preserve">Product Amount </t>
  </si>
  <si>
    <t>The amount of Declared Units contained within the product to which the PCF is referring to.</t>
  </si>
  <si>
    <t xml:space="preserve">Declared Unit </t>
  </si>
  <si>
    <t>t</t>
  </si>
  <si>
    <t>The unit of analysis of the product.</t>
  </si>
  <si>
    <t>PCF Excluding Biogenic</t>
  </si>
  <si>
    <t>XX kgCO2e / declaredUnit</t>
  </si>
  <si>
    <t xml:space="preserve">The product carbon footprint of the product excluding biogenic CO2 emissions. </t>
  </si>
  <si>
    <t>PCF Fossil GHG Emissions</t>
  </si>
  <si>
    <t>YY kgCO2e / declaredUnit</t>
  </si>
  <si>
    <t>The emissions from fossil sources as a result of fuel combustion, from fugitive emissions, and from process emissions.</t>
  </si>
  <si>
    <t>Reference Period Start</t>
  </si>
  <si>
    <t>YYY3-09-30</t>
  </si>
  <si>
    <t>The start (including) of the time boundary for which the PCF value is considered to be representative. In YYYY-MM-DD format</t>
  </si>
  <si>
    <t xml:space="preserve">Reference Period End </t>
  </si>
  <si>
    <t>YYY4-09-30</t>
  </si>
  <si>
    <t>The end (excluding) of the time boundary for which the PCF value is considered to be representative.</t>
  </si>
  <si>
    <t>Calculation Info</t>
  </si>
  <si>
    <t>Cross Sectoral Standard</t>
  </si>
  <si>
    <t>ISO Standard 14067</t>
  </si>
  <si>
    <t>The cross-sectoral standards applied for calculating or allocating GHG emissions</t>
  </si>
  <si>
    <t>Boundary Process Description</t>
  </si>
  <si>
    <t>From mining to coating</t>
  </si>
  <si>
    <t>The processes attributable to each lifecycle stage.</t>
  </si>
  <si>
    <t>Characterization Factors</t>
  </si>
  <si>
    <t>AR6</t>
  </si>
  <si>
    <t>The IPCC version of the GWP characterization factors used in the calculation of the PCF</t>
  </si>
  <si>
    <t>Exempted Emission Description</t>
  </si>
  <si>
    <t>Rationale behind exclusion of specific PCF emissions</t>
  </si>
  <si>
    <t>Exempted Emission Percent</t>
  </si>
  <si>
    <t>The Percentage of emissions excluded from PCF (Credits)</t>
  </si>
  <si>
    <t>Primary Datashare</t>
  </si>
  <si>
    <t>The share of primary data in percent</t>
  </si>
  <si>
    <t>System info</t>
  </si>
  <si>
    <t>ID</t>
  </si>
  <si>
    <t>f45fdgh-464fdgr5-dec546-23ced</t>
  </si>
  <si>
    <t>System generated data</t>
  </si>
  <si>
    <t>SpecVersion</t>
  </si>
  <si>
    <t>2.0.1-20230830</t>
  </si>
  <si>
    <t>version</t>
  </si>
  <si>
    <t>status</t>
  </si>
  <si>
    <t>active</t>
  </si>
  <si>
    <t>CompanyIds</t>
  </si>
  <si>
    <t>4445X</t>
  </si>
  <si>
    <t>Steel Specific Extention</t>
  </si>
  <si>
    <t>Benchmarking boundary emission</t>
  </si>
  <si>
    <t>Emission intensity till benchmarking point</t>
  </si>
  <si>
    <t>Credit GHG Emission</t>
  </si>
  <si>
    <t>Emission impact outside of the boundary</t>
  </si>
  <si>
    <t>Scrap fraction</t>
  </si>
  <si>
    <t>Full boundary emission</t>
  </si>
  <si>
    <t>Emission intensity from cradle to gate</t>
  </si>
  <si>
    <t>Abatement technology</t>
  </si>
  <si>
    <t>Carbon Capture &amp; Storage</t>
  </si>
  <si>
    <t>Abatement technology used in production</t>
  </si>
  <si>
    <t>Input</t>
  </si>
  <si>
    <t xml:space="preserve">Specification </t>
  </si>
  <si>
    <t> </t>
  </si>
  <si>
    <t>Specification</t>
  </si>
  <si>
    <t>id</t>
  </si>
  <si>
    <t>specVersion</t>
  </si>
  <si>
    <t>created</t>
  </si>
  <si>
    <t>companyName</t>
  </si>
  <si>
    <t>companyIds</t>
  </si>
  <si>
    <t>productDescription</t>
  </si>
  <si>
    <t>productIds</t>
  </si>
  <si>
    <t>productCategoryCpc</t>
  </si>
  <si>
    <t>productNameCompany</t>
  </si>
  <si>
    <t>comment</t>
  </si>
  <si>
    <t>pcf.declaredUnit</t>
  </si>
  <si>
    <t>pcf.unitaryProductAmount</t>
  </si>
  <si>
    <t>pcf.pCfExcludingBiogenic</t>
  </si>
  <si>
    <t>pcf.fossilGhgEmissions</t>
  </si>
  <si>
    <t>pcf.fossilCarbonContent</t>
  </si>
  <si>
    <t>pcf.biogenicCarbonContent</t>
  </si>
  <si>
    <t>pcf.characterizationFactors</t>
  </si>
  <si>
    <t>pcf.crossSectoralStandardsUsed</t>
  </si>
  <si>
    <t>pcf.boundaryProcessDescription</t>
  </si>
  <si>
    <t>pcf.referencePeriodStart</t>
  </si>
  <si>
    <t>pcf.referencePeriodEnd</t>
  </si>
  <si>
    <t>pcf.geographyCountry</t>
  </si>
  <si>
    <t>pcf.exemptedEmissionsPercent</t>
  </si>
  <si>
    <t>pcf.exemptedEmissionsDescription</t>
  </si>
  <si>
    <t>pcf.primaryDataShare</t>
  </si>
  <si>
    <t>ext.specVersion</t>
  </si>
  <si>
    <t>ext.dataSchema</t>
  </si>
  <si>
    <t>ext.documentation</t>
  </si>
  <si>
    <t>ext.abatementTechnology</t>
  </si>
  <si>
    <t>ext.bf.productDescription</t>
  </si>
  <si>
    <t>ext.bf.benchmarkingGhgEmissions</t>
  </si>
  <si>
    <t>ext.bf.creditGhgEmissions</t>
  </si>
  <si>
    <t>ext.bf.scrapBasedShare</t>
  </si>
  <si>
    <t>ext.bf.geographyCountry</t>
  </si>
  <si>
    <t>ext.fb.referencePeriodStart</t>
  </si>
  <si>
    <t>ext.fb.referencePeriodEnd</t>
  </si>
  <si>
    <t>ext.fb.productDescription</t>
  </si>
  <si>
    <t>ext.fb.productAmount</t>
  </si>
  <si>
    <t>ext.fb.productDeclaredUnit</t>
  </si>
  <si>
    <t>ext.fb.fullBoundaryGhgEmissions</t>
  </si>
  <si>
    <t>ext.fb.geographyCountry</t>
  </si>
  <si>
    <t>2.0.1-20230720</t>
  </si>
  <si>
    <t>Active</t>
  </si>
  <si>
    <t>https://github.com/RMI/steel-guidance/blob/main/specs/steel_schema.json</t>
  </si>
  <si>
    <t>https://github.com/RMI/steel-guidance/blob/main/specs/technical_specification.md</t>
  </si>
  <si>
    <t>.</t>
  </si>
  <si>
    <t>Step 1</t>
  </si>
  <si>
    <t>In this part, you will see the results of total metrics according to your inputs below</t>
  </si>
  <si>
    <t>Emissions Inventory for Product-Level Calculations Results</t>
  </si>
  <si>
    <t>Primary inputs</t>
  </si>
  <si>
    <t>Intermdiate product inputs</t>
  </si>
  <si>
    <t>Selected benchmark boundary</t>
  </si>
  <si>
    <t>Crude Steel</t>
  </si>
  <si>
    <t>Choose benchmarking boundary</t>
  </si>
  <si>
    <t>Source</t>
  </si>
  <si>
    <t>Total amount (t)</t>
  </si>
  <si>
    <t>Iron Grade (%)</t>
  </si>
  <si>
    <t>Export amount (t)</t>
  </si>
  <si>
    <t>Scrap rate (Export %)</t>
  </si>
  <si>
    <t>Import amount (t)</t>
  </si>
  <si>
    <t>Scrap rate (Import%)</t>
  </si>
  <si>
    <t>Production to benchmarking (t/y)</t>
  </si>
  <si>
    <t>Iron ore</t>
  </si>
  <si>
    <t>Hot metal</t>
  </si>
  <si>
    <t>Total production (t/y)</t>
  </si>
  <si>
    <t>Pellet</t>
  </si>
  <si>
    <t>Slab</t>
  </si>
  <si>
    <t>Sinter</t>
  </si>
  <si>
    <t>Billet</t>
  </si>
  <si>
    <t>Calculation Outputs</t>
  </si>
  <si>
    <t>Pig iron</t>
  </si>
  <si>
    <t>Bloom</t>
  </si>
  <si>
    <t>Benchmarking emissions intensity</t>
  </si>
  <si>
    <t>DRI/HBI (Coal)</t>
  </si>
  <si>
    <t>Hot rolled Coil</t>
  </si>
  <si>
    <t>Full boundary emissions intensity</t>
  </si>
  <si>
    <t>tCO2e/t</t>
  </si>
  <si>
    <t>DRI/HBI (Gas)</t>
  </si>
  <si>
    <t>Cold rolled Coil</t>
  </si>
  <si>
    <t>Primary data fraction</t>
  </si>
  <si>
    <t>%</t>
  </si>
  <si>
    <t>Scrap Fraction</t>
  </si>
  <si>
    <t>Emissions credits</t>
  </si>
  <si>
    <t>Overall scrap (%)</t>
  </si>
  <si>
    <t>Not Applicable</t>
  </si>
  <si>
    <t>Post-cons. (%)</t>
  </si>
  <si>
    <t>Choose technology applied</t>
  </si>
  <si>
    <t>Unknown (%)</t>
  </si>
  <si>
    <t>Primary  (t Fe)</t>
  </si>
  <si>
    <t>Secondary (t Fe)</t>
  </si>
  <si>
    <t>Total (t Fe)</t>
  </si>
  <si>
    <t>Step 2</t>
  </si>
  <si>
    <t>This part is designed for electricity use calculation</t>
  </si>
  <si>
    <t>Electricity and upstream methane</t>
  </si>
  <si>
    <t xml:space="preserve">Input off gases detailed features by category to define how much electricty are self-generated </t>
  </si>
  <si>
    <t>Off-gas Export Volumes</t>
  </si>
  <si>
    <t>Grid Electricity Source Emissions Factors</t>
  </si>
  <si>
    <r>
      <rPr>
        <sz val="12"/>
        <color rgb="FF000000"/>
        <rFont val="Calibri"/>
        <family val="2"/>
        <scheme val="minor"/>
      </rPr>
      <t xml:space="preserve">*For grid electricity, please select country based (choose a country) </t>
    </r>
    <r>
      <rPr>
        <b/>
        <sz val="12"/>
        <color rgb="FF000000"/>
        <rFont val="Calibri"/>
        <family val="2"/>
        <scheme val="minor"/>
      </rPr>
      <t>OR</t>
    </r>
    <r>
      <rPr>
        <sz val="12"/>
        <color rgb="FF000000"/>
        <rFont val="Calibri"/>
        <family val="2"/>
        <scheme val="minor"/>
      </rPr>
      <t xml:space="preserve"> Gloal based </t>
    </r>
    <r>
      <rPr>
        <b/>
        <sz val="12"/>
        <color rgb="FF000000"/>
        <rFont val="Calibri"/>
        <family val="2"/>
        <scheme val="minor"/>
      </rPr>
      <t>OR</t>
    </r>
    <r>
      <rPr>
        <sz val="12"/>
        <color rgb="FF000000"/>
        <rFont val="Calibri"/>
        <family val="2"/>
        <scheme val="minor"/>
      </rPr>
      <t xml:space="preserve"> regional specific emission factors, which will be used in step 4 inventory (grid based electricity). Please note that country and global grid emission factor are consider as secondary data source</t>
    </r>
  </si>
  <si>
    <t>Off-gas</t>
  </si>
  <si>
    <t>Energy (MJ/Nm³)</t>
  </si>
  <si>
    <t>Export (Nm³/y)</t>
  </si>
  <si>
    <t>Global</t>
  </si>
  <si>
    <t>-</t>
  </si>
  <si>
    <t>Coke ovens</t>
  </si>
  <si>
    <t>Country</t>
  </si>
  <si>
    <t>Blast furnace</t>
  </si>
  <si>
    <t>Electricity EF</t>
  </si>
  <si>
    <t>tCO2e/MWh</t>
  </si>
  <si>
    <t>BOF</t>
  </si>
  <si>
    <t>Regional Specific</t>
  </si>
  <si>
    <t>Net Electricity Calculation</t>
  </si>
  <si>
    <r>
      <rPr>
        <sz val="12"/>
        <color rgb="FF000000"/>
        <rFont val="Calibri"/>
        <family val="2"/>
        <scheme val="minor"/>
      </rPr>
      <t>Coal Type</t>
    </r>
    <r>
      <rPr>
        <vertAlign val="superscript"/>
        <sz val="12"/>
        <color rgb="FF000000"/>
        <rFont val="Calibri"/>
        <family val="2"/>
      </rPr>
      <t>3</t>
    </r>
  </si>
  <si>
    <t>Underground</t>
  </si>
  <si>
    <t>Open Pit</t>
  </si>
  <si>
    <t>*This part is used to calculate the indirect emission factor for all types of coal</t>
  </si>
  <si>
    <t>Parameter</t>
  </si>
  <si>
    <t>Value</t>
  </si>
  <si>
    <t>Unit</t>
  </si>
  <si>
    <t>Coking</t>
  </si>
  <si>
    <t>Efficiency</t>
  </si>
  <si>
    <t>All other coal</t>
  </si>
  <si>
    <t>Self-generated electricity</t>
  </si>
  <si>
    <t>MWh</t>
  </si>
  <si>
    <t>Total consumed electricity</t>
  </si>
  <si>
    <t>*This part requests to fill in the total electricity used from all sources</t>
  </si>
  <si>
    <t>Net consumed electricity</t>
  </si>
  <si>
    <t>* This part is to double check with the electricty account in the inventory</t>
  </si>
  <si>
    <t>Step 3</t>
  </si>
  <si>
    <t>Adjust to match the selected benchmarking boundary: Put "True" to include, and put"False" to exclude</t>
  </si>
  <si>
    <t>Emissions Boundary Selection</t>
  </si>
  <si>
    <t>Boundary</t>
  </si>
  <si>
    <t>Total Emissions (Mt)</t>
  </si>
  <si>
    <t>Emissions Int (tCO2e/t)</t>
  </si>
  <si>
    <t>Mining/Fuel Extraction</t>
  </si>
  <si>
    <t>Raw Mateiral Preparation</t>
  </si>
  <si>
    <t>Iron Making</t>
  </si>
  <si>
    <t>Steel Making</t>
  </si>
  <si>
    <t>Auxilliary processes (within benchmarking boundary)</t>
  </si>
  <si>
    <t>Hot Rolling</t>
  </si>
  <si>
    <t>Cold Rolling</t>
  </si>
  <si>
    <t>Other Downstream Processes</t>
  </si>
  <si>
    <t>Other Auxilliary Processes</t>
  </si>
  <si>
    <t>Benchmarking</t>
  </si>
  <si>
    <t>Full Product</t>
  </si>
  <si>
    <t>Step 4</t>
  </si>
  <si>
    <r>
      <rPr>
        <sz val="12"/>
        <color rgb="FF000000"/>
        <rFont val="Calibri"/>
        <family val="2"/>
        <scheme val="minor"/>
      </rPr>
      <t xml:space="preserve">In this part, please only enter  </t>
    </r>
    <r>
      <rPr>
        <b/>
        <sz val="12"/>
        <color rgb="FF000000"/>
        <rFont val="Calibri"/>
        <family val="2"/>
        <scheme val="minor"/>
      </rPr>
      <t>NEW</t>
    </r>
    <r>
      <rPr>
        <sz val="12"/>
        <color rgb="FF000000"/>
        <rFont val="Calibri"/>
        <family val="2"/>
        <scheme val="minor"/>
      </rPr>
      <t xml:space="preserve"> raw material inputs for each steps</t>
    </r>
  </si>
  <si>
    <t>Inventory Data</t>
  </si>
  <si>
    <t>Emission Source/Type</t>
  </si>
  <si>
    <t>Activity Data by Process</t>
  </si>
  <si>
    <t>Direct Emissions</t>
  </si>
  <si>
    <t>Indirect Emissions</t>
  </si>
  <si>
    <t>Total Emissions (tCO2)</t>
  </si>
  <si>
    <t>Emission Source</t>
  </si>
  <si>
    <t>Raw Material Preparation</t>
  </si>
  <si>
    <t xml:space="preserve">Hot Rolling </t>
  </si>
  <si>
    <t>downstream Auxilliary Processes</t>
  </si>
  <si>
    <t>Net Consumed/ Total Processed</t>
  </si>
  <si>
    <r>
      <t>Direct EF Type</t>
    </r>
    <r>
      <rPr>
        <vertAlign val="superscript"/>
        <sz val="12"/>
        <color theme="1"/>
        <rFont val="Calibri (Body)"/>
      </rPr>
      <t>1</t>
    </r>
  </si>
  <si>
    <t>Direct Site EF (tCO2/unit)</t>
  </si>
  <si>
    <t>Direct EF (tCO2/unit)</t>
  </si>
  <si>
    <t>Direct Emissions (tCO2)</t>
  </si>
  <si>
    <r>
      <t>Indirect EF Type</t>
    </r>
    <r>
      <rPr>
        <vertAlign val="superscript"/>
        <sz val="12"/>
        <color theme="1"/>
        <rFont val="Calibri (Body)"/>
      </rPr>
      <t>1</t>
    </r>
  </si>
  <si>
    <t>Indirect Site EF (tCO2/unit)</t>
  </si>
  <si>
    <t xml:space="preserve">Site Specifc EF Primary Data (%) </t>
  </si>
  <si>
    <t>Indirect EF (tCO2/unit)</t>
  </si>
  <si>
    <t>Indirect Emissions (tCO2)</t>
  </si>
  <si>
    <t>For emission factor type inputs:
1. Choose "site specifc" for entering primary data in the next column
2. Choose "default" to retrive data from emission factor database, which is considered as secondary data
3. Choose "included" for indirect emission to state the emissions are included in previous direct emission.</t>
  </si>
  <si>
    <t>Raw Metallic Inputs
(See Note 5)</t>
  </si>
  <si>
    <t>Default</t>
  </si>
  <si>
    <t>Included</t>
  </si>
  <si>
    <t>Pre-consumer scrap</t>
  </si>
  <si>
    <t>Post-consumer scrap</t>
  </si>
  <si>
    <t>Other purchased scrap</t>
  </si>
  <si>
    <t>Unknown source scrap</t>
  </si>
  <si>
    <t>Coking coal</t>
  </si>
  <si>
    <t>Solid Fuel Inputs</t>
  </si>
  <si>
    <t>Ironmaking coal</t>
  </si>
  <si>
    <t>Sinter/BOF coal</t>
  </si>
  <si>
    <t>Steam coal</t>
  </si>
  <si>
    <t>Charcoal</t>
  </si>
  <si>
    <r>
      <rPr>
        <sz val="12"/>
        <color rgb="FF000000"/>
        <rFont val="Calibri"/>
        <family val="2"/>
        <scheme val="minor"/>
      </rPr>
      <t xml:space="preserve">For electricity part, please note that self-generated electricity emission through off-gases is already included in previous process (e.g. cooking coal process).
1. For </t>
    </r>
    <r>
      <rPr>
        <b/>
        <sz val="12"/>
        <color rgb="FF000000"/>
        <rFont val="Calibri"/>
        <family val="2"/>
        <scheme val="minor"/>
      </rPr>
      <t>Grid Based</t>
    </r>
    <r>
      <rPr>
        <sz val="12"/>
        <color rgb="FF000000"/>
        <rFont val="Calibri"/>
        <family val="2"/>
        <scheme val="minor"/>
      </rPr>
      <t xml:space="preserve">, it takes the emission factor from step 2.
2. For </t>
    </r>
    <r>
      <rPr>
        <b/>
        <sz val="12"/>
        <color rgb="FF000000"/>
        <rFont val="Calibri"/>
        <family val="2"/>
        <scheme val="minor"/>
      </rPr>
      <t>Market Based</t>
    </r>
    <r>
      <rPr>
        <sz val="12"/>
        <color rgb="FF000000"/>
        <rFont val="Calibri"/>
        <family val="2"/>
        <scheme val="minor"/>
      </rPr>
      <t xml:space="preserve">, it includes market purchsed electricity, e.g. physical PPA, virtual PPA, RECs and etc. 
3. For </t>
    </r>
    <r>
      <rPr>
        <b/>
        <sz val="12"/>
        <color rgb="FF000000"/>
        <rFont val="Calibri"/>
        <family val="2"/>
        <scheme val="minor"/>
      </rPr>
      <t>Behind the meter</t>
    </r>
    <r>
      <rPr>
        <sz val="12"/>
        <color rgb="FF000000"/>
        <rFont val="Calibri"/>
        <family val="2"/>
        <scheme val="minor"/>
      </rPr>
      <t>, it includes onsite renewable energy.</t>
    </r>
  </si>
  <si>
    <t>EAF coal</t>
  </si>
  <si>
    <t>Coke</t>
  </si>
  <si>
    <t>Light oil</t>
  </si>
  <si>
    <t>Liquid and Gas Fuel Inputs</t>
  </si>
  <si>
    <t>m³</t>
  </si>
  <si>
    <t>Heavy oil</t>
  </si>
  <si>
    <t>Diesel</t>
  </si>
  <si>
    <t>LPG</t>
  </si>
  <si>
    <t>Natural gas</t>
  </si>
  <si>
    <t>Intermediate Metallics</t>
  </si>
  <si>
    <t>Ferro-chromium</t>
  </si>
  <si>
    <t>Ferroalloys</t>
  </si>
  <si>
    <t>Ferro-manganese</t>
  </si>
  <si>
    <t>Ferro-molybdenum</t>
  </si>
  <si>
    <t>Ferro-silicon</t>
  </si>
  <si>
    <t>Ferro-nickel</t>
  </si>
  <si>
    <t>Limestone</t>
  </si>
  <si>
    <t>Other Inputs</t>
  </si>
  <si>
    <t>Dolomite</t>
  </si>
  <si>
    <t>EAF electrodes</t>
  </si>
  <si>
    <t>Burnt lime</t>
  </si>
  <si>
    <t>Burnt dolomite</t>
  </si>
  <si>
    <t>Oxygen</t>
  </si>
  <si>
    <t>Nitrogen</t>
  </si>
  <si>
    <t>Argon</t>
  </si>
  <si>
    <t>Steam</t>
  </si>
  <si>
    <t>Imported Heat</t>
  </si>
  <si>
    <t>Methane</t>
  </si>
  <si>
    <t>Fugitive Emissions</t>
  </si>
  <si>
    <t>N/A for measured fugitive methane</t>
  </si>
  <si>
    <t>Grid based</t>
  </si>
  <si>
    <r>
      <rPr>
        <sz val="12"/>
        <color rgb="FF000000"/>
        <rFont val="Calibri"/>
        <family val="2"/>
      </rPr>
      <t>Electricity</t>
    </r>
    <r>
      <rPr>
        <vertAlign val="superscript"/>
        <sz val="12"/>
        <color rgb="FF000000"/>
        <rFont val="Calibri"/>
        <family val="2"/>
      </rPr>
      <t>2</t>
    </r>
  </si>
  <si>
    <t>Market based</t>
  </si>
  <si>
    <t>Site Specific</t>
  </si>
  <si>
    <t>Behind the meter (Renewable Energy)</t>
  </si>
  <si>
    <t>Step 5</t>
  </si>
  <si>
    <t>In this part, please fill in the by-products you export  outside of the site boundary to claim credits for exports</t>
  </si>
  <si>
    <t>Byproduct Calculation</t>
  </si>
  <si>
    <t>Byproducts</t>
  </si>
  <si>
    <t>Activity Data</t>
  </si>
  <si>
    <t>Avoided Product</t>
  </si>
  <si>
    <t>Emissions Impact</t>
  </si>
  <si>
    <t>Byproduct</t>
  </si>
  <si>
    <t>Net Export</t>
  </si>
  <si>
    <t>Avoided Product (Usage of byproducts)</t>
  </si>
  <si>
    <t>Avoided Product Unit</t>
  </si>
  <si>
    <t>Avoided Product EF Type</t>
  </si>
  <si>
    <t>Avoided Product Site Specific EF</t>
  </si>
  <si>
    <t>Avoided Emissions Factor</t>
  </si>
  <si>
    <t>EF Type</t>
  </si>
  <si>
    <t>By-product further processing emission</t>
  </si>
  <si>
    <t>EF Exported Product</t>
  </si>
  <si>
    <r>
      <t>Yield/Unit Factor</t>
    </r>
    <r>
      <rPr>
        <vertAlign val="superscript"/>
        <sz val="12"/>
        <color theme="1"/>
        <rFont val="Calibri (Body)"/>
      </rPr>
      <t>4</t>
    </r>
  </si>
  <si>
    <t>Net Emissions Factor</t>
  </si>
  <si>
    <t>Emissions Credit</t>
  </si>
  <si>
    <t>For different byproducts, please choose the related usage of byproducts  for different application scenarios</t>
  </si>
  <si>
    <t>Coke ovens gas</t>
  </si>
  <si>
    <t>Gj</t>
  </si>
  <si>
    <t>Grid electricity</t>
  </si>
  <si>
    <t>Blast furnace gas</t>
  </si>
  <si>
    <t>GJ</t>
  </si>
  <si>
    <t>Heat from natural gas</t>
  </si>
  <si>
    <t>Basic oxygen furnace gas</t>
  </si>
  <si>
    <t>Please fill in both avoided product emission factor and the emission factor used to optimize the by-products in column "M".</t>
  </si>
  <si>
    <t>Blast furnace slag</t>
  </si>
  <si>
    <t>Slag</t>
  </si>
  <si>
    <t>Clinker production</t>
  </si>
  <si>
    <t>Basic oxygen furnace slag</t>
  </si>
  <si>
    <t>Aggregate or roadstone</t>
  </si>
  <si>
    <t>EAF slag</t>
  </si>
  <si>
    <t>Ammonia</t>
  </si>
  <si>
    <t>Cokemaking Byproducts</t>
  </si>
  <si>
    <t>Other</t>
  </si>
  <si>
    <r>
      <t xml:space="preserve">Example for </t>
    </r>
    <r>
      <rPr>
        <b/>
        <sz val="12"/>
        <color theme="1"/>
        <rFont val="Calibri"/>
        <family val="2"/>
        <scheme val="minor"/>
      </rPr>
      <t>Yield/Unit factor</t>
    </r>
    <r>
      <rPr>
        <sz val="12"/>
        <color theme="1"/>
        <rFont val="Calibri"/>
        <family val="2"/>
        <scheme val="minor"/>
      </rPr>
      <t>: 0.9 ton slag could replace 1 ton of clinker--&gt; 1/0.9=1.11</t>
    </r>
  </si>
  <si>
    <t>Ammonium sulphate</t>
  </si>
  <si>
    <t>Sulphuric acid</t>
  </si>
  <si>
    <t>Sulphur</t>
  </si>
  <si>
    <t>By-product credits are only applied to the full product boundary meaning these export values should only correspond to products leaving the full product boundary</t>
  </si>
  <si>
    <t>Tar</t>
  </si>
  <si>
    <t>EAF dust</t>
  </si>
  <si>
    <t>EAF Byprodcut</t>
  </si>
  <si>
    <t>Electricity</t>
  </si>
  <si>
    <t>Energy</t>
  </si>
  <si>
    <t>Scaling</t>
  </si>
  <si>
    <t>Other byproduct #2</t>
  </si>
  <si>
    <t>Other byproduct #3</t>
  </si>
  <si>
    <t>**note that export by process is not required as by-product credits are only applied to the full product boundary meaning these export values should only correspond to products leaving the full product boundary</t>
  </si>
  <si>
    <t>Step 6</t>
  </si>
  <si>
    <t>Intermediate Products</t>
  </si>
  <si>
    <t>This part calculates the intermediate products in and out and its impacts to  total emission intensity</t>
  </si>
  <si>
    <t>Activity data</t>
  </si>
  <si>
    <t>Export</t>
  </si>
  <si>
    <t>Import</t>
  </si>
  <si>
    <t>Total</t>
  </si>
  <si>
    <t>Export Amount</t>
  </si>
  <si>
    <t>Emission Intensity*</t>
  </si>
  <si>
    <t>Emission</t>
  </si>
  <si>
    <t>Scrap Rate Export (%)</t>
  </si>
  <si>
    <t>Import Amount</t>
  </si>
  <si>
    <t>Emission intensity</t>
  </si>
  <si>
    <t>Emission Intensity (known source)**</t>
  </si>
  <si>
    <t>Scrap rate Import(%)</t>
  </si>
  <si>
    <t>Net Import</t>
  </si>
  <si>
    <t>Net Emission</t>
  </si>
  <si>
    <t>Please fill in the export and import amount of intermediate products together with scrap rate and emission intensity if known</t>
  </si>
  <si>
    <t>hot metal</t>
  </si>
  <si>
    <t>Unknown source</t>
  </si>
  <si>
    <t xml:space="preserve">Total </t>
  </si>
  <si>
    <t xml:space="preserve">                 </t>
  </si>
  <si>
    <t>Emission intensity*: Choose the emissions intensity by process.Corresponds to the production processes for each product</t>
  </si>
  <si>
    <t>Scrap rate (for imports):use 15% scrap rate as default rate. Source worldsteel</t>
  </si>
  <si>
    <t xml:space="preserve">Scrap rate (for exports): use internal scrap rate as default rate. </t>
  </si>
  <si>
    <t>Step 7</t>
  </si>
  <si>
    <t>Reveiw results: Total Emission intensity</t>
  </si>
  <si>
    <t>Total Emissions and Emissions Intensity by Process</t>
  </si>
  <si>
    <t>Production</t>
  </si>
  <si>
    <t>tsteel</t>
  </si>
  <si>
    <t>Direct</t>
  </si>
  <si>
    <t>tCO2e</t>
  </si>
  <si>
    <t>Indirect</t>
  </si>
  <si>
    <t>Emissions Change</t>
  </si>
  <si>
    <t>Total Emission</t>
  </si>
  <si>
    <t>Total Emission Intensity</t>
  </si>
  <si>
    <t>tCO2e/tsteel</t>
  </si>
  <si>
    <r>
      <rPr>
        <vertAlign val="superscript"/>
        <sz val="12"/>
        <color theme="1"/>
        <rFont val="Calibri (Body)"/>
      </rPr>
      <t xml:space="preserve">1 </t>
    </r>
    <r>
      <rPr>
        <sz val="12"/>
        <color theme="1"/>
        <rFont val="Calibri"/>
        <family val="2"/>
        <scheme val="minor"/>
      </rPr>
      <t>The default type choice leads to the reference data listed in the "Emission Factors" sheet. Site specific type requires primary data on the next column. We encourage users to put site specific data.</t>
    </r>
  </si>
  <si>
    <t xml:space="preserve">2 Note that emissions from self-generation electricity should already be included as part of the fuel source consumption line items above. </t>
  </si>
  <si>
    <r>
      <rPr>
        <vertAlign val="superscript"/>
        <sz val="12"/>
        <color theme="1"/>
        <rFont val="Calibri (Body)"/>
      </rPr>
      <t>3</t>
    </r>
    <r>
      <rPr>
        <sz val="12"/>
        <color theme="1"/>
        <rFont val="Calibri"/>
        <family val="2"/>
        <scheme val="minor"/>
      </rPr>
      <t xml:space="preserve"> Inputs are used to set default fugitive methane emissions from coal mining</t>
    </r>
  </si>
  <si>
    <r>
      <rPr>
        <vertAlign val="superscript"/>
        <sz val="12"/>
        <color theme="1"/>
        <rFont val="Calibri (Body)"/>
      </rPr>
      <t>4</t>
    </r>
    <r>
      <rPr>
        <sz val="12"/>
        <color theme="1"/>
        <rFont val="Calibri"/>
        <family val="2"/>
        <scheme val="minor"/>
      </rPr>
      <t xml:space="preserve"> Factor should account for any unit difference between the produced and displaced product and if more or less of the product is required to displace the equivalent product. </t>
    </r>
  </si>
  <si>
    <r>
      <rPr>
        <vertAlign val="superscript"/>
        <sz val="12"/>
        <color theme="1"/>
        <rFont val="Calibri (Body)"/>
      </rPr>
      <t>5</t>
    </r>
    <r>
      <rPr>
        <sz val="12"/>
        <color theme="1"/>
        <rFont val="Calibri"/>
        <family val="2"/>
        <scheme val="minor"/>
      </rPr>
      <t xml:space="preserve"> Refer to Section 3.2 of the guidance for further definition on scrap types. Note that pre-consumer scrap only includes scrap generated by process external to the benchmarking boundary, any purchased scrap from processes inside the benchmarking boundary should be entered in the "other scrap" category.</t>
    </r>
  </si>
  <si>
    <t>Emissions Inventory for Product-Level Calculations</t>
  </si>
  <si>
    <t>Hot Rolled Product (HRP)</t>
  </si>
  <si>
    <t>Electricity Source Emissions Factors</t>
  </si>
  <si>
    <r>
      <t>Coal Type</t>
    </r>
    <r>
      <rPr>
        <vertAlign val="superscript"/>
        <sz val="12"/>
        <color theme="1"/>
        <rFont val="Calibri (Body)"/>
      </rPr>
      <t>3</t>
    </r>
  </si>
  <si>
    <t>United States</t>
  </si>
  <si>
    <t>Emissions to Boundary</t>
  </si>
  <si>
    <t>**adjust to match the selected benchmarking boundary, put "True" to include, and put"False" to exclude</t>
  </si>
  <si>
    <t>Raw Material Processing</t>
  </si>
  <si>
    <t>Iron- and Steel-making</t>
  </si>
  <si>
    <t>Downstream Processing</t>
  </si>
  <si>
    <t>Not Used</t>
  </si>
  <si>
    <t>Raw Metallic Inputs
(See Note 5 below)</t>
  </si>
  <si>
    <r>
      <t>Electricity</t>
    </r>
    <r>
      <rPr>
        <vertAlign val="superscript"/>
        <sz val="12"/>
        <color theme="1"/>
        <rFont val="Calibri (Body)"/>
      </rPr>
      <t>2</t>
    </r>
  </si>
  <si>
    <t>Onsite power generation</t>
  </si>
  <si>
    <t>Site Specific EF</t>
  </si>
  <si>
    <t>Steam from natural gas</t>
  </si>
  <si>
    <t>Other byproduct #1</t>
  </si>
  <si>
    <t>Emissions Intensity by Process</t>
  </si>
  <si>
    <t>tCO2e/t steel</t>
  </si>
  <si>
    <t>Total Emissions by Process</t>
  </si>
  <si>
    <t>MtCO2e</t>
  </si>
  <si>
    <t>Refer to Section 4.4 of the Technical Guidance for details on using this calculation</t>
  </si>
  <si>
    <r>
      <rPr>
        <vertAlign val="superscript"/>
        <sz val="12"/>
        <color theme="1"/>
        <rFont val="Calibri (Body)"/>
      </rPr>
      <t>2</t>
    </r>
    <r>
      <rPr>
        <sz val="12"/>
        <color theme="1"/>
        <rFont val="Calibri"/>
        <family val="2"/>
        <scheme val="minor"/>
      </rPr>
      <t xml:space="preserve"> Note that emissions from self-generation electricity should already be included as part of the fuel source consumption line items above. </t>
    </r>
  </si>
  <si>
    <r>
      <rPr>
        <sz val="12"/>
        <color rgb="FF000000"/>
        <rFont val="Calibri"/>
        <family val="2"/>
        <scheme val="minor"/>
      </rPr>
      <t>5</t>
    </r>
    <r>
      <rPr>
        <sz val="12"/>
        <color rgb="FF000000"/>
        <rFont val="Calibri"/>
        <family val="2"/>
        <scheme val="minor"/>
      </rPr>
      <t xml:space="preserve"> Refer to Section 3.2 of the guidance for further definition on scrap types. Note that pre-consumer scrap only includes scrap generated by process external to the benchmarking boundary (after casting process), any purchased scrap from processes inside the boundary should be entered in the "other scrap" category.</t>
    </r>
  </si>
  <si>
    <t>Scrap Frac. (%)</t>
  </si>
  <si>
    <t>Post-consumer Scrap Frac. (%)</t>
  </si>
  <si>
    <t>Unknown Scrao Frac. (%)</t>
  </si>
  <si>
    <t>Primary (t Fe)</t>
  </si>
  <si>
    <t>Raw Metallic Inputs</t>
  </si>
  <si>
    <t>Pre-consumer scrap (generated prior to benchmarking point)</t>
  </si>
  <si>
    <t>Pre-consumer scrap (generated after benchmarking point)</t>
  </si>
  <si>
    <t>Coal mining underground</t>
  </si>
  <si>
    <t>Fugitive Methane</t>
  </si>
  <si>
    <t>Fugitive Methane is indirect emission</t>
  </si>
  <si>
    <t>Coal mining surface</t>
  </si>
  <si>
    <t>m3</t>
  </si>
  <si>
    <t>Self-generated</t>
  </si>
  <si>
    <t>Total consumed</t>
  </si>
  <si>
    <t>Net consumed</t>
  </si>
  <si>
    <t>Direct Emissions Factors</t>
  </si>
  <si>
    <t>Indirect Emissions Factors</t>
  </si>
  <si>
    <t>By-product</t>
  </si>
  <si>
    <t>Electricity by Country</t>
  </si>
  <si>
    <t>Direct Emissions Factor (tCO2e/unit)</t>
  </si>
  <si>
    <t>Reference</t>
  </si>
  <si>
    <t>Indirect Emissions Factor (tCO2e/unit)</t>
  </si>
  <si>
    <t>Carbon Content (%w/w)</t>
  </si>
  <si>
    <t>Direct Emissions 
(t CO2/t)</t>
  </si>
  <si>
    <t>Indirect Emissions
(t CO2/t)</t>
  </si>
  <si>
    <t>Total Emissions 
(t CO2/t)</t>
  </si>
  <si>
    <t>Avoided Emissions Factor (tCO2e/unit)</t>
  </si>
  <si>
    <t>Emissions Factor (tCO2e/MWh)</t>
  </si>
  <si>
    <t>World Steel Association</t>
  </si>
  <si>
    <t>worldsteel LCI 10</t>
  </si>
  <si>
    <t>Slags (BF, BOF,EAF)</t>
  </si>
  <si>
    <t>US EPA (https://www.epa.gov/system/files/documents/2021-10/cement-carbon-intensities-fact-sheet.pdf)</t>
  </si>
  <si>
    <t/>
  </si>
  <si>
    <t>Austria</t>
  </si>
  <si>
    <t>EU (https://www.eea.europa.eu/data-and-maps/indicators/overview-of-the-electricity-production-3/assessment-1)</t>
  </si>
  <si>
    <t>NSSGA (https://www.nssga.org/sites/default/files/2021-05/NSSGAGreenhouseGasEmissionsReport04-26-21.pdf)</t>
  </si>
  <si>
    <t>Belgium</t>
  </si>
  <si>
    <t>IMOA</t>
  </si>
  <si>
    <t>Fertiliser</t>
  </si>
  <si>
    <t>None provided - site specific EF is required</t>
  </si>
  <si>
    <t>Bulgaria</t>
  </si>
  <si>
    <t>World Steel Association/IPCC</t>
  </si>
  <si>
    <t>Processes Gases (COG, BF gas, BOF gas)</t>
  </si>
  <si>
    <t>US EPA (https://www.epa.gov/system/files/documents/2023-03/ghg-emission-factors-hub.xlsx)</t>
  </si>
  <si>
    <t>Croatia</t>
  </si>
  <si>
    <t>Nickel Institute LCA</t>
  </si>
  <si>
    <t>Calculated</t>
  </si>
  <si>
    <t>Czech Republic</t>
  </si>
  <si>
    <t>Ferro-vanadium</t>
  </si>
  <si>
    <t>Germany</t>
  </si>
  <si>
    <t>Lead</t>
  </si>
  <si>
    <t>Finland</t>
  </si>
  <si>
    <t>Magnesium</t>
  </si>
  <si>
    <t>France</t>
  </si>
  <si>
    <t>Manganese</t>
  </si>
  <si>
    <t>Greece</t>
  </si>
  <si>
    <t>IPCC</t>
  </si>
  <si>
    <t>Molybdenum oxide</t>
  </si>
  <si>
    <t>Hungary</t>
  </si>
  <si>
    <t>Nickel metal</t>
  </si>
  <si>
    <t>Italy</t>
  </si>
  <si>
    <t>IPCC, 2006 with IPCC, AR5 100yr GWP</t>
  </si>
  <si>
    <t>Nickel oxides</t>
  </si>
  <si>
    <t>ISSF LCI 2022</t>
  </si>
  <si>
    <t>Luxembourg</t>
  </si>
  <si>
    <t>Self generation</t>
  </si>
  <si>
    <t>EPA Emissions Factors for 70/30 COG and BF gas mix with 37% conversion efficiency</t>
  </si>
  <si>
    <t>Nickel pig iron</t>
  </si>
  <si>
    <t>W. Wei, P. B. Samuelsson, A. Tilliander, R. Gyllenram, and P. G. Jönsson, “Energy Consumption and Greenhouse Gas Emissions of Nickel Products,” Energies, vol. 13, no. 21, 2020, doi: 10.3390/en13215664.</t>
  </si>
  <si>
    <t>Netherlands</t>
  </si>
  <si>
    <t>Basis (cut-off method)</t>
  </si>
  <si>
    <t>Calculated (see Product-Level Calc)</t>
  </si>
  <si>
    <t>Silicon-manganese</t>
  </si>
  <si>
    <t>Poland</t>
  </si>
  <si>
    <t>Silicon metal</t>
  </si>
  <si>
    <t>Portugal</t>
  </si>
  <si>
    <t>Rolling</t>
  </si>
  <si>
    <t>Backes et al., 2021</t>
  </si>
  <si>
    <t>Tin</t>
  </si>
  <si>
    <t>Romania</t>
  </si>
  <si>
    <t>Ferreira and Leite, 2015</t>
  </si>
  <si>
    <t>Slovakia</t>
  </si>
  <si>
    <t>Slovenia</t>
  </si>
  <si>
    <t>Spain</t>
  </si>
  <si>
    <t>Sweden</t>
  </si>
  <si>
    <t>United Kingdom</t>
  </si>
  <si>
    <t>Calculated (see below)</t>
  </si>
  <si>
    <t>Bosnia-Herzegovina</t>
  </si>
  <si>
    <t>Calculated from Ember Data</t>
  </si>
  <si>
    <t>Macedonia</t>
  </si>
  <si>
    <t>Montenegro</t>
  </si>
  <si>
    <t>Norway</t>
  </si>
  <si>
    <t>Serbia</t>
  </si>
  <si>
    <t>IPCC (AR5 100 year GWP)</t>
  </si>
  <si>
    <t>Switzerland</t>
  </si>
  <si>
    <t>Turkey</t>
  </si>
  <si>
    <t>https://www.carbonfootprint.com/docs/2019_06_emissions_factors_sources_for_2019_electricity.pdf</t>
  </si>
  <si>
    <t>Azerbaijan</t>
  </si>
  <si>
    <t>Belarus</t>
  </si>
  <si>
    <t>Kazakhstan</t>
  </si>
  <si>
    <t>Moldova</t>
  </si>
  <si>
    <t>Russia</t>
  </si>
  <si>
    <t>Ukraine</t>
  </si>
  <si>
    <t>Uzbekistan</t>
  </si>
  <si>
    <t>Canada</t>
  </si>
  <si>
    <t>Cuba</t>
  </si>
  <si>
    <t>El Salvador</t>
  </si>
  <si>
    <t>Guatemala</t>
  </si>
  <si>
    <t>Mexico</t>
  </si>
  <si>
    <t>https://www.epa.gov/egrid</t>
  </si>
  <si>
    <t>Kholod et al., 2020</t>
  </si>
  <si>
    <t>Argentina</t>
  </si>
  <si>
    <t>Brazil</t>
  </si>
  <si>
    <t>Natural gas extraction methane</t>
  </si>
  <si>
    <t>Littlefield et al., 2017</t>
  </si>
  <si>
    <r>
      <t>m</t>
    </r>
    <r>
      <rPr>
        <vertAlign val="superscript"/>
        <sz val="12"/>
        <color theme="1"/>
        <rFont val="Calibri"/>
        <family val="2"/>
        <scheme val="minor"/>
      </rPr>
      <t>3</t>
    </r>
  </si>
  <si>
    <t>https://www.epa.gov/cmop/coal-mine-methane-units-converter</t>
  </si>
  <si>
    <t>Chile</t>
  </si>
  <si>
    <t>IPCC,2006</t>
  </si>
  <si>
    <t>Colombia</t>
  </si>
  <si>
    <t>Other Emissions</t>
  </si>
  <si>
    <t>IPCC,2007</t>
  </si>
  <si>
    <t>Ecuador</t>
  </si>
  <si>
    <t>Coal Mining electricity</t>
  </si>
  <si>
    <t>Mutchek et al., 2016</t>
  </si>
  <si>
    <t>IPCC,2008</t>
  </si>
  <si>
    <t>Paraguay</t>
  </si>
  <si>
    <t>Natural gas extraction other</t>
  </si>
  <si>
    <t>IAI Scope 3 Calculation Tool, 2022</t>
  </si>
  <si>
    <t>Peru</t>
  </si>
  <si>
    <t>Uruguay</t>
  </si>
  <si>
    <t>Venezuela</t>
  </si>
  <si>
    <t>Standard Units and Conversions</t>
  </si>
  <si>
    <t>Algeria</t>
  </si>
  <si>
    <t>Quantity</t>
  </si>
  <si>
    <t>D.R. Congo</t>
  </si>
  <si>
    <t>Natural Gas</t>
  </si>
  <si>
    <t>metric ton</t>
  </si>
  <si>
    <t>Egypt</t>
  </si>
  <si>
    <t>Gas/Diesel oil</t>
  </si>
  <si>
    <t>kg/L</t>
  </si>
  <si>
    <t>Ghana</t>
  </si>
  <si>
    <t>Residual fuel oil</t>
  </si>
  <si>
    <t>Kenya</t>
  </si>
  <si>
    <t>Liquified Petroleum Gases</t>
  </si>
  <si>
    <t>Libya</t>
  </si>
  <si>
    <t>Mauritania</t>
  </si>
  <si>
    <t>Morocco</t>
  </si>
  <si>
    <t>Nigeria</t>
  </si>
  <si>
    <t>South Africa</t>
  </si>
  <si>
    <t>Tunisia</t>
  </si>
  <si>
    <t>Uganda</t>
  </si>
  <si>
    <t>Iran</t>
  </si>
  <si>
    <t>Israel</t>
  </si>
  <si>
    <t>Jordan</t>
  </si>
  <si>
    <t>Oman</t>
  </si>
  <si>
    <t>Qatar</t>
  </si>
  <si>
    <t>Saudi Arabia</t>
  </si>
  <si>
    <t>Syria</t>
  </si>
  <si>
    <t>United Arab Emirates</t>
  </si>
  <si>
    <t>Bangladesh</t>
  </si>
  <si>
    <t>India</t>
  </si>
  <si>
    <t>Indonesia</t>
  </si>
  <si>
    <t>Japan</t>
  </si>
  <si>
    <t>South Korea</t>
  </si>
  <si>
    <t>Malaysia</t>
  </si>
  <si>
    <t>Mongolia</t>
  </si>
  <si>
    <t>Myanmar</t>
  </si>
  <si>
    <t>Pakistan</t>
  </si>
  <si>
    <t>Philippines</t>
  </si>
  <si>
    <t>Singapore</t>
  </si>
  <si>
    <t>Sri Lanka</t>
  </si>
  <si>
    <t>Taiwan, China</t>
  </si>
  <si>
    <t>Thailand</t>
  </si>
  <si>
    <t>Vietnam</t>
  </si>
  <si>
    <t>Australia</t>
  </si>
  <si>
    <t>https://www.dcceew.gov.au/sites/default/files/documents/national-greenhouse-accounts-factors-2022.pdf</t>
  </si>
  <si>
    <t>New Zealand</t>
  </si>
  <si>
    <t>World</t>
  </si>
  <si>
    <t>IEA NZE (https://iea.blob.core.windows.net/assets/deebef5d-0c34-4539-9d0c-10b13d840027/NetZeroby2050-ARoadmapfortheGlobalEnergySector_CORR.pdf)</t>
  </si>
  <si>
    <t>Decision Tree for off-gas</t>
  </si>
  <si>
    <t>YES</t>
  </si>
  <si>
    <t>No</t>
  </si>
  <si>
    <t>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</si>
</sst>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0.000"/>
    <numFmt numFmtId="165" formatCode="0.0%"/>
    <numFmt numFmtId="166" formatCode="#,##0.0"/>
    <numFmt numFmtId="167" formatCode="0.0000"/>
    <numFmt numFmtId="168" formatCode="yyyy\-mm\-dd;@"/>
    <numFmt numFmtId="169" formatCode="0.00000"/>
    <numFmt numFmtId="170" formatCode="#,##0.000"/>
    <numFmt numFmtId="171" formatCode="0.000%"/>
  </numFmts>
  <fonts count="23">
    <font>
      <sz val="12"/>
      <color theme="1"/>
      <name val="Calibri"/>
      <family val="2"/>
      <scheme val="minor"/>
    </font>
    <font>
      <sz val="8"/>
      <name val="Comic Sans MS"/>
      <family val="4"/>
    </font>
    <font>
      <sz val="12"/>
      <color theme="1"/>
      <name val="Calibri"/>
      <family val="2"/>
      <scheme val="minor"/>
    </font>
    <font>
      <vertAlign val="superscript"/>
      <sz val="12"/>
      <color theme="1"/>
      <name val="Calibri (Body)"/>
    </font>
    <font>
      <b/>
      <sz val="24"/>
      <color theme="1"/>
      <name val="Calibri"/>
      <family val="2"/>
      <scheme val="minor"/>
    </font>
    <font>
      <b/>
      <sz val="26"/>
      <color theme="1"/>
      <name val="Calibri"/>
      <family val="2"/>
      <scheme val="minor"/>
    </font>
    <font>
      <b/>
      <sz val="18"/>
      <color theme="1"/>
      <name val="Calibri"/>
      <family val="2"/>
      <scheme val="minor"/>
    </font>
    <font>
      <sz val="12"/>
      <color theme="1" tint="0.499984740745262"/>
      <name val="Calibri"/>
      <family val="2"/>
      <scheme val="minor"/>
    </font>
    <font>
      <sz val="14"/>
      <color theme="0"/>
      <name val="Calibri"/>
      <family val="2"/>
      <scheme val="minor"/>
    </font>
    <font>
      <b/>
      <sz val="16"/>
      <color theme="1"/>
      <name val="Calibri"/>
      <family val="2"/>
      <scheme val="minor"/>
    </font>
    <font>
      <sz val="14"/>
      <color theme="1"/>
      <name val="Calibri"/>
      <family val="2"/>
      <scheme val="minor"/>
    </font>
    <font>
      <b/>
      <sz val="12"/>
      <color theme="1"/>
      <name val="Calibri"/>
      <family val="2"/>
      <scheme val="minor"/>
    </font>
    <font>
      <sz val="16"/>
      <color theme="1"/>
      <name val="Calibri"/>
      <family val="2"/>
      <scheme val="minor"/>
    </font>
    <font>
      <u/>
      <sz val="12"/>
      <color theme="10"/>
      <name val="Calibri"/>
      <family val="2"/>
      <scheme val="minor"/>
    </font>
    <font>
      <u/>
      <sz val="12"/>
      <color theme="1"/>
      <name val="Calibri"/>
      <family val="2"/>
      <scheme val="minor"/>
    </font>
    <font>
      <vertAlign val="superscript"/>
      <sz val="12"/>
      <color theme="1"/>
      <name val="Calibri"/>
      <family val="2"/>
      <scheme val="minor"/>
    </font>
    <font>
      <b/>
      <sz val="12"/>
      <color rgb="FF000000"/>
      <name val="Calibri"/>
      <family val="2"/>
    </font>
    <font>
      <sz val="12"/>
      <color rgb="FF000000"/>
      <name val="Calibri"/>
      <family val="2"/>
    </font>
    <font>
      <sz val="12"/>
      <color rgb="FF9C5700"/>
      <name val="Calibri"/>
      <family val="2"/>
    </font>
    <font>
      <b/>
      <sz val="12"/>
      <name val="Calibri"/>
      <family val="2"/>
    </font>
    <font>
      <sz val="12"/>
      <color rgb="FF000000"/>
      <name val="Calibri"/>
      <family val="2"/>
      <scheme val="minor"/>
    </font>
    <font>
      <vertAlign val="superscript"/>
      <sz val="12"/>
      <color rgb="FF000000"/>
      <name val="Calibri"/>
      <family val="2"/>
    </font>
    <font>
      <b/>
      <sz val="12"/>
      <color rgb="FF000000"/>
      <name val="Calibri"/>
      <family val="2"/>
      <scheme val="minor"/>
    </font>
  </fonts>
  <fills count="11">
    <fill>
      <patternFill patternType="none"/>
    </fill>
    <fill>
      <patternFill patternType="gray125"/>
    </fill>
    <fill>
      <patternFill patternType="solid">
        <fgColor rgb="FFFFE699"/>
        <bgColor indexed="64"/>
      </patternFill>
    </fill>
    <fill>
      <patternFill patternType="solid">
        <fgColor rgb="FFBDD7EE"/>
        <bgColor indexed="64"/>
      </patternFill>
    </fill>
    <fill>
      <patternFill patternType="solid">
        <fgColor rgb="FFFFFF00"/>
        <bgColor indexed="64"/>
      </patternFill>
    </fill>
    <fill>
      <patternFill patternType="solid">
        <fgColor theme="4" tint="-0.499984740745262"/>
        <bgColor indexed="64"/>
      </patternFill>
    </fill>
    <fill>
      <patternFill patternType="solid">
        <fgColor theme="8" tint="0.59999389629810485"/>
        <bgColor indexed="64"/>
      </patternFill>
    </fill>
    <fill>
      <patternFill patternType="solid">
        <fgColor theme="0"/>
        <bgColor indexed="64"/>
      </patternFill>
    </fill>
    <fill>
      <patternFill patternType="solid">
        <fgColor rgb="FFFFEB9C"/>
        <bgColor rgb="FF000000"/>
      </patternFill>
    </fill>
    <fill>
      <patternFill patternType="solid">
        <fgColor rgb="FFFFE699"/>
        <bgColor rgb="FF000000"/>
      </patternFill>
    </fill>
    <fill>
      <patternFill patternType="solid">
        <fgColor theme="9" tint="0.39997558519241921"/>
        <bgColor indexed="64"/>
      </patternFill>
    </fill>
  </fills>
  <borders count="57">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style="thin">
        <color rgb="FF000000"/>
      </top>
      <bottom/>
      <diagonal/>
    </border>
    <border>
      <left/>
      <right style="thin">
        <color rgb="FF000000"/>
      </right>
      <top style="thin">
        <color rgb="FF000000"/>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style="thin">
        <color rgb="FF000000"/>
      </left>
      <right/>
      <top/>
      <bottom style="thin">
        <color indexed="64"/>
      </bottom>
      <diagonal/>
    </border>
    <border>
      <left style="thin">
        <color rgb="FF000000"/>
      </left>
      <right/>
      <top style="thin">
        <color rgb="FF000000"/>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diagonal/>
    </border>
    <border>
      <left style="thin">
        <color indexed="64"/>
      </left>
      <right style="thin">
        <color rgb="FF000000"/>
      </right>
      <top style="thin">
        <color indexed="64"/>
      </top>
      <bottom/>
      <diagonal/>
    </border>
    <border>
      <left style="thin">
        <color indexed="64"/>
      </left>
      <right style="thin">
        <color rgb="FF000000"/>
      </right>
      <top/>
      <bottom/>
      <diagonal/>
    </border>
    <border>
      <left style="thin">
        <color indexed="64"/>
      </left>
      <right/>
      <top/>
      <bottom style="thin">
        <color rgb="FF000000"/>
      </bottom>
      <diagonal/>
    </border>
    <border>
      <left/>
      <right style="thin">
        <color indexed="64"/>
      </right>
      <top/>
      <bottom style="thin">
        <color rgb="FF000000"/>
      </bottom>
      <diagonal/>
    </border>
    <border>
      <left style="thin">
        <color indexed="64"/>
      </left>
      <right style="thin">
        <color rgb="FF000000"/>
      </right>
      <top/>
      <bottom style="thin">
        <color rgb="FF000000"/>
      </bottom>
      <diagonal/>
    </border>
    <border>
      <left style="thin">
        <color auto="1"/>
      </left>
      <right style="thin">
        <color auto="1"/>
      </right>
      <top style="thin">
        <color auto="1"/>
      </top>
      <bottom style="thin">
        <color auto="1"/>
      </bottom>
      <diagonal/>
    </border>
    <border>
      <left style="thin">
        <color indexed="64"/>
      </left>
      <right style="thin">
        <color indexed="64"/>
      </right>
      <top/>
      <bottom style="thin">
        <color rgb="FF000000"/>
      </bottom>
      <diagonal/>
    </border>
    <border>
      <left/>
      <right style="thin">
        <color indexed="64"/>
      </right>
      <top/>
      <bottom style="thin">
        <color indexed="64"/>
      </bottom>
      <diagonal/>
    </border>
    <border>
      <left style="thin">
        <color rgb="FF000000"/>
      </left>
      <right style="thin">
        <color indexed="64"/>
      </right>
      <top/>
      <bottom style="thin">
        <color indexed="64"/>
      </bottom>
      <diagonal/>
    </border>
    <border>
      <left style="thin">
        <color rgb="FF000000"/>
      </left>
      <right style="thin">
        <color indexed="64"/>
      </right>
      <top/>
      <bottom/>
      <diagonal/>
    </border>
    <border>
      <left/>
      <right style="thin">
        <color rgb="FF000000"/>
      </right>
      <top style="thin">
        <color indexed="64"/>
      </top>
      <bottom/>
      <diagonal/>
    </border>
    <border>
      <left style="thin">
        <color rgb="FF000000"/>
      </left>
      <right style="thin">
        <color rgb="FF000000"/>
      </right>
      <top/>
      <bottom style="thin">
        <color indexed="64"/>
      </bottom>
      <diagonal/>
    </border>
    <border>
      <left/>
      <right style="thin">
        <color rgb="FF000000"/>
      </right>
      <top/>
      <bottom style="thin">
        <color indexed="64"/>
      </bottom>
      <diagonal/>
    </border>
    <border>
      <left style="thin">
        <color rgb="FF000000"/>
      </left>
      <right style="thin">
        <color indexed="64"/>
      </right>
      <top style="thin">
        <color rgb="FF000000"/>
      </top>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style="thin">
        <color rgb="FF000000"/>
      </left>
      <right style="thin">
        <color indexed="64"/>
      </right>
      <top style="thin">
        <color rgb="FF000000"/>
      </top>
      <bottom style="thin">
        <color indexed="64"/>
      </bottom>
      <diagonal/>
    </border>
    <border>
      <left style="thin">
        <color rgb="FF000000"/>
      </left>
      <right/>
      <top style="thin">
        <color indexed="64"/>
      </top>
      <bottom style="thin">
        <color indexed="64"/>
      </bottom>
      <diagonal/>
    </border>
    <border>
      <left style="thin">
        <color auto="1"/>
      </left>
      <right/>
      <top style="thin">
        <color rgb="FF000000"/>
      </top>
      <bottom/>
      <diagonal/>
    </border>
    <border>
      <left style="thin">
        <color rgb="FF000000"/>
      </left>
      <right style="thin">
        <color rgb="FF000000"/>
      </right>
      <top style="thin">
        <color indexed="64"/>
      </top>
      <bottom/>
      <diagonal/>
    </border>
    <border>
      <left style="thin">
        <color rgb="FF000000"/>
      </left>
      <right/>
      <top style="thin">
        <color indexed="64"/>
      </top>
      <bottom/>
      <diagonal/>
    </border>
    <border>
      <left style="thin">
        <color auto="1"/>
      </left>
      <right/>
      <top style="thin">
        <color rgb="FF000000"/>
      </top>
      <bottom style="thin">
        <color rgb="FF000000"/>
      </bottom>
      <diagonal/>
    </border>
    <border>
      <left style="thin">
        <color indexed="64"/>
      </left>
      <right style="thin">
        <color indexed="64"/>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
      <left style="thin">
        <color indexed="64"/>
      </left>
      <right style="thin">
        <color rgb="FF000000"/>
      </right>
      <top style="thin">
        <color indexed="64"/>
      </top>
      <bottom style="thin">
        <color indexed="64"/>
      </bottom>
      <diagonal/>
    </border>
  </borders>
  <cellStyleXfs count="4">
    <xf numFmtId="0" fontId="0" fillId="0" borderId="0"/>
    <xf numFmtId="3" fontId="1" fillId="0" borderId="0">
      <alignment vertical="center"/>
    </xf>
    <xf numFmtId="9" fontId="2" fillId="0" borderId="0" applyFont="0" applyFill="0" applyBorder="0" applyAlignment="0" applyProtection="0"/>
    <xf numFmtId="0" fontId="13" fillId="0" borderId="0" applyNumberFormat="0" applyFill="0" applyBorder="0" applyAlignment="0" applyProtection="0"/>
  </cellStyleXfs>
  <cellXfs count="513">
    <xf numFmtId="0" fontId="0" fillId="0" borderId="0" xfId="0"/>
    <xf numFmtId="0" fontId="0" fillId="0" borderId="0" xfId="0" applyAlignment="1">
      <alignment horizontal="center"/>
    </xf>
    <xf numFmtId="0" fontId="0" fillId="0" borderId="0" xfId="0" applyAlignment="1">
      <alignment horizontal="center" vertical="center" wrapText="1"/>
    </xf>
    <xf numFmtId="0" fontId="0" fillId="0" borderId="5" xfId="0" applyBorder="1"/>
    <xf numFmtId="0" fontId="0" fillId="0" borderId="8" xfId="0" applyBorder="1"/>
    <xf numFmtId="0" fontId="0" fillId="0" borderId="9" xfId="0" applyBorder="1"/>
    <xf numFmtId="0" fontId="0" fillId="0" borderId="10" xfId="0" applyBorder="1"/>
    <xf numFmtId="0" fontId="0" fillId="0" borderId="9" xfId="0" applyBorder="1" applyAlignment="1">
      <alignment horizontal="center"/>
    </xf>
    <xf numFmtId="0" fontId="0" fillId="0" borderId="3" xfId="0" applyBorder="1" applyAlignment="1">
      <alignment horizontal="center"/>
    </xf>
    <xf numFmtId="0" fontId="0" fillId="0" borderId="8" xfId="0" applyBorder="1" applyAlignment="1">
      <alignment horizontal="center"/>
    </xf>
    <xf numFmtId="0" fontId="0" fillId="0" borderId="2" xfId="0" applyBorder="1" applyAlignment="1">
      <alignment horizontal="center"/>
    </xf>
    <xf numFmtId="0" fontId="0" fillId="2" borderId="8" xfId="0" applyFill="1" applyBorder="1" applyAlignment="1">
      <alignment horizontal="center"/>
    </xf>
    <xf numFmtId="0" fontId="0" fillId="2" borderId="9" xfId="0" applyFill="1" applyBorder="1" applyAlignment="1">
      <alignment horizontal="center"/>
    </xf>
    <xf numFmtId="0" fontId="0" fillId="2" borderId="9" xfId="0" applyFill="1" applyBorder="1"/>
    <xf numFmtId="9" fontId="0" fillId="2" borderId="2" xfId="0" applyNumberFormat="1" applyFill="1" applyBorder="1" applyAlignment="1">
      <alignment horizontal="center"/>
    </xf>
    <xf numFmtId="9" fontId="0" fillId="2" borderId="3" xfId="0" applyNumberFormat="1" applyFill="1" applyBorder="1" applyAlignment="1">
      <alignment horizontal="center"/>
    </xf>
    <xf numFmtId="0" fontId="0" fillId="2" borderId="0" xfId="0" applyFill="1"/>
    <xf numFmtId="3" fontId="0" fillId="0" borderId="9" xfId="0" applyNumberFormat="1" applyBorder="1" applyAlignment="1">
      <alignment horizontal="center"/>
    </xf>
    <xf numFmtId="3" fontId="0" fillId="0" borderId="0" xfId="0" applyNumberFormat="1" applyAlignment="1">
      <alignment horizontal="center"/>
    </xf>
    <xf numFmtId="9" fontId="0" fillId="2" borderId="4" xfId="0" applyNumberFormat="1" applyFill="1" applyBorder="1" applyAlignment="1">
      <alignment horizontal="center"/>
    </xf>
    <xf numFmtId="164" fontId="0" fillId="0" borderId="0" xfId="0" applyNumberFormat="1" applyAlignment="1">
      <alignment horizontal="center"/>
    </xf>
    <xf numFmtId="2" fontId="0" fillId="0" borderId="0" xfId="0" applyNumberFormat="1" applyAlignment="1">
      <alignment horizontal="center"/>
    </xf>
    <xf numFmtId="2" fontId="0" fillId="0" borderId="3" xfId="0" applyNumberFormat="1" applyBorder="1" applyAlignment="1">
      <alignment horizontal="center"/>
    </xf>
    <xf numFmtId="0" fontId="0" fillId="0" borderId="8" xfId="0" applyBorder="1" applyAlignment="1">
      <alignment vertical="center" wrapText="1"/>
    </xf>
    <xf numFmtId="0" fontId="0" fillId="0" borderId="8" xfId="0" applyBorder="1" applyAlignment="1">
      <alignment horizontal="center" vertical="center" wrapText="1"/>
    </xf>
    <xf numFmtId="0" fontId="0" fillId="0" borderId="2" xfId="0" applyBorder="1" applyAlignment="1">
      <alignment horizontal="center" vertical="center" wrapText="1"/>
    </xf>
    <xf numFmtId="0" fontId="0" fillId="0" borderId="0" xfId="0" quotePrefix="1"/>
    <xf numFmtId="3" fontId="0" fillId="2" borderId="8" xfId="0" applyNumberFormat="1" applyFill="1" applyBorder="1" applyAlignment="1">
      <alignment horizontal="center"/>
    </xf>
    <xf numFmtId="3" fontId="0" fillId="0" borderId="8" xfId="0" applyNumberFormat="1" applyBorder="1" applyAlignment="1">
      <alignment horizontal="center"/>
    </xf>
    <xf numFmtId="3" fontId="0" fillId="2" borderId="9" xfId="0" applyNumberFormat="1" applyFill="1" applyBorder="1" applyAlignment="1">
      <alignment horizontal="center"/>
    </xf>
    <xf numFmtId="3" fontId="0" fillId="0" borderId="2" xfId="0" applyNumberFormat="1" applyBorder="1" applyAlignment="1">
      <alignment horizontal="center"/>
    </xf>
    <xf numFmtId="3" fontId="0" fillId="0" borderId="3" xfId="0" applyNumberFormat="1" applyBorder="1" applyAlignment="1">
      <alignment horizontal="center"/>
    </xf>
    <xf numFmtId="3" fontId="0" fillId="0" borderId="10" xfId="0" applyNumberFormat="1" applyBorder="1" applyAlignment="1">
      <alignment horizontal="center"/>
    </xf>
    <xf numFmtId="0" fontId="0" fillId="0" borderId="16" xfId="0" applyBorder="1"/>
    <xf numFmtId="0" fontId="0" fillId="0" borderId="17" xfId="0" applyBorder="1"/>
    <xf numFmtId="3" fontId="0" fillId="0" borderId="16" xfId="0" applyNumberFormat="1" applyBorder="1" applyAlignment="1">
      <alignment horizontal="center"/>
    </xf>
    <xf numFmtId="3" fontId="0" fillId="2" borderId="16" xfId="0" applyNumberFormat="1" applyFill="1" applyBorder="1" applyAlignment="1">
      <alignment horizontal="center"/>
    </xf>
    <xf numFmtId="0" fontId="0" fillId="0" borderId="0" xfId="0" applyAlignment="1">
      <alignment horizontal="left"/>
    </xf>
    <xf numFmtId="3" fontId="0" fillId="2" borderId="17" xfId="0" applyNumberFormat="1" applyFill="1" applyBorder="1" applyAlignment="1">
      <alignment horizontal="center"/>
    </xf>
    <xf numFmtId="3" fontId="0" fillId="0" borderId="17" xfId="0" applyNumberFormat="1" applyBorder="1" applyAlignment="1">
      <alignment horizontal="center"/>
    </xf>
    <xf numFmtId="9" fontId="0" fillId="2" borderId="16" xfId="0" applyNumberFormat="1" applyFill="1" applyBorder="1" applyAlignment="1">
      <alignment horizontal="center"/>
    </xf>
    <xf numFmtId="0" fontId="0" fillId="2" borderId="16" xfId="0" applyFill="1" applyBorder="1" applyAlignment="1">
      <alignment horizontal="center"/>
    </xf>
    <xf numFmtId="0" fontId="0" fillId="2" borderId="17" xfId="0" applyFill="1" applyBorder="1" applyAlignment="1">
      <alignment horizontal="center"/>
    </xf>
    <xf numFmtId="2" fontId="0" fillId="3" borderId="3" xfId="0" applyNumberFormat="1" applyFill="1" applyBorder="1" applyAlignment="1">
      <alignment horizontal="center"/>
    </xf>
    <xf numFmtId="10" fontId="0" fillId="0" borderId="0" xfId="0" applyNumberFormat="1" applyAlignment="1">
      <alignment horizontal="center"/>
    </xf>
    <xf numFmtId="0" fontId="0" fillId="4" borderId="0" xfId="0" applyFill="1"/>
    <xf numFmtId="0" fontId="0" fillId="4" borderId="0" xfId="0" applyFill="1" applyAlignment="1">
      <alignment horizontal="center"/>
    </xf>
    <xf numFmtId="10" fontId="0" fillId="4" borderId="0" xfId="0" applyNumberFormat="1" applyFill="1" applyAlignment="1">
      <alignment horizontal="center"/>
    </xf>
    <xf numFmtId="2" fontId="0" fillId="4" borderId="0" xfId="0" applyNumberFormat="1" applyFill="1" applyAlignment="1">
      <alignment horizontal="center"/>
    </xf>
    <xf numFmtId="164" fontId="0" fillId="4" borderId="0" xfId="0" applyNumberFormat="1" applyFill="1" applyAlignment="1">
      <alignment horizontal="center"/>
    </xf>
    <xf numFmtId="164" fontId="0" fillId="0" borderId="9" xfId="0" applyNumberFormat="1" applyBorder="1" applyAlignment="1">
      <alignment horizontal="center"/>
    </xf>
    <xf numFmtId="164" fontId="0" fillId="0" borderId="3" xfId="0" applyNumberFormat="1" applyBorder="1" applyAlignment="1">
      <alignment horizontal="center"/>
    </xf>
    <xf numFmtId="0" fontId="0" fillId="0" borderId="23" xfId="0" applyBorder="1"/>
    <xf numFmtId="0" fontId="0" fillId="0" borderId="23" xfId="0" applyBorder="1" applyAlignment="1">
      <alignment horizontal="center"/>
    </xf>
    <xf numFmtId="0" fontId="4" fillId="0" borderId="0" xfId="0" applyFont="1"/>
    <xf numFmtId="0" fontId="0" fillId="0" borderId="24" xfId="0" applyBorder="1"/>
    <xf numFmtId="0" fontId="0" fillId="0" borderId="25" xfId="0" applyBorder="1" applyAlignment="1">
      <alignment horizontal="center"/>
    </xf>
    <xf numFmtId="0" fontId="0" fillId="0" borderId="24" xfId="0" applyBorder="1" applyAlignment="1">
      <alignment horizontal="center"/>
    </xf>
    <xf numFmtId="3" fontId="0" fillId="2" borderId="24" xfId="0" applyNumberFormat="1" applyFill="1" applyBorder="1"/>
    <xf numFmtId="3" fontId="0" fillId="0" borderId="24" xfId="0" applyNumberFormat="1" applyBorder="1" applyAlignment="1">
      <alignment horizontal="center"/>
    </xf>
    <xf numFmtId="0" fontId="0" fillId="2" borderId="24" xfId="0" applyFill="1" applyBorder="1" applyAlignment="1">
      <alignment horizontal="center"/>
    </xf>
    <xf numFmtId="0" fontId="0" fillId="2" borderId="24" xfId="0" applyFill="1" applyBorder="1"/>
    <xf numFmtId="0" fontId="0" fillId="0" borderId="18" xfId="0" applyBorder="1"/>
    <xf numFmtId="0" fontId="0" fillId="0" borderId="19" xfId="0" applyBorder="1" applyAlignment="1">
      <alignment horizontal="center"/>
    </xf>
    <xf numFmtId="0" fontId="0" fillId="0" borderId="22" xfId="0" applyBorder="1"/>
    <xf numFmtId="0" fontId="0" fillId="0" borderId="20" xfId="0" applyBorder="1"/>
    <xf numFmtId="0" fontId="0" fillId="0" borderId="21" xfId="0" applyBorder="1" applyAlignment="1">
      <alignment horizontal="center"/>
    </xf>
    <xf numFmtId="2" fontId="0" fillId="3" borderId="4" xfId="0" applyNumberFormat="1" applyFill="1" applyBorder="1" applyAlignment="1">
      <alignment horizontal="center"/>
    </xf>
    <xf numFmtId="165" fontId="0" fillId="3" borderId="12" xfId="2" applyNumberFormat="1" applyFont="1" applyFill="1" applyBorder="1" applyAlignment="1">
      <alignment horizontal="center"/>
    </xf>
    <xf numFmtId="3" fontId="0" fillId="3" borderId="13" xfId="0" applyNumberFormat="1" applyFill="1" applyBorder="1" applyAlignment="1">
      <alignment horizontal="center"/>
    </xf>
    <xf numFmtId="3" fontId="0" fillId="3" borderId="15" xfId="0" applyNumberFormat="1" applyFill="1" applyBorder="1" applyAlignment="1">
      <alignment horizontal="center"/>
    </xf>
    <xf numFmtId="0" fontId="0" fillId="0" borderId="9" xfId="0" applyBorder="1" applyAlignment="1">
      <alignment horizontal="left"/>
    </xf>
    <xf numFmtId="0" fontId="0" fillId="0" borderId="10" xfId="0" applyBorder="1" applyAlignment="1">
      <alignment horizontal="left"/>
    </xf>
    <xf numFmtId="0" fontId="0" fillId="0" borderId="5" xfId="0" applyBorder="1" applyAlignment="1">
      <alignment horizontal="centerContinuous"/>
    </xf>
    <xf numFmtId="0" fontId="0" fillId="0" borderId="7" xfId="0" applyBorder="1" applyAlignment="1">
      <alignment horizontal="centerContinuous"/>
    </xf>
    <xf numFmtId="9" fontId="0" fillId="0" borderId="0" xfId="0" applyNumberFormat="1" applyAlignment="1">
      <alignment horizontal="center"/>
    </xf>
    <xf numFmtId="165" fontId="0" fillId="0" borderId="0" xfId="2" applyNumberFormat="1" applyFont="1" applyFill="1" applyBorder="1" applyAlignment="1">
      <alignment horizontal="center"/>
    </xf>
    <xf numFmtId="0" fontId="0" fillId="0" borderId="6" xfId="0" applyBorder="1" applyAlignment="1">
      <alignment horizontal="centerContinuous"/>
    </xf>
    <xf numFmtId="0" fontId="0" fillId="0" borderId="0" xfId="0" applyAlignment="1">
      <alignment vertical="top" wrapText="1"/>
    </xf>
    <xf numFmtId="0" fontId="6" fillId="0" borderId="0" xfId="0" applyFont="1"/>
    <xf numFmtId="0" fontId="0" fillId="0" borderId="0" xfId="0" applyAlignment="1">
      <alignment vertical="top"/>
    </xf>
    <xf numFmtId="0" fontId="7" fillId="0" borderId="0" xfId="0" applyFont="1"/>
    <xf numFmtId="0" fontId="8" fillId="5" borderId="0" xfId="0" applyFont="1" applyFill="1" applyAlignment="1">
      <alignment vertical="top"/>
    </xf>
    <xf numFmtId="0" fontId="8" fillId="5" borderId="0" xfId="0" applyFont="1" applyFill="1" applyAlignment="1">
      <alignment vertical="top" wrapText="1"/>
    </xf>
    <xf numFmtId="9" fontId="0" fillId="0" borderId="0" xfId="0" applyNumberFormat="1"/>
    <xf numFmtId="10" fontId="0" fillId="0" borderId="0" xfId="0" applyNumberFormat="1"/>
    <xf numFmtId="165" fontId="0" fillId="0" borderId="0" xfId="2" applyNumberFormat="1" applyFont="1" applyBorder="1" applyAlignment="1">
      <alignment horizontal="center"/>
    </xf>
    <xf numFmtId="0" fontId="0" fillId="0" borderId="12" xfId="0" applyBorder="1" applyAlignment="1">
      <alignment horizontal="center" vertical="center" wrapText="1"/>
    </xf>
    <xf numFmtId="3" fontId="0" fillId="0" borderId="0" xfId="0" applyNumberFormat="1"/>
    <xf numFmtId="0" fontId="0" fillId="0" borderId="14" xfId="0" applyBorder="1"/>
    <xf numFmtId="2" fontId="0" fillId="0" borderId="0" xfId="0" applyNumberFormat="1"/>
    <xf numFmtId="0" fontId="0" fillId="0" borderId="13" xfId="0" applyBorder="1"/>
    <xf numFmtId="0" fontId="0" fillId="0" borderId="17" xfId="0" applyBorder="1" applyAlignment="1">
      <alignment horizontal="center"/>
    </xf>
    <xf numFmtId="0" fontId="0" fillId="0" borderId="0" xfId="0" applyAlignment="1">
      <alignment horizontal="left" vertical="top" wrapText="1"/>
    </xf>
    <xf numFmtId="0" fontId="0" fillId="0" borderId="13" xfId="0" applyBorder="1" applyAlignment="1">
      <alignment vertical="top"/>
    </xf>
    <xf numFmtId="0" fontId="0" fillId="0" borderId="15" xfId="0" applyBorder="1"/>
    <xf numFmtId="0" fontId="0" fillId="0" borderId="0" xfId="0" applyAlignment="1">
      <alignment wrapText="1"/>
    </xf>
    <xf numFmtId="0" fontId="0" fillId="0" borderId="11" xfId="0" applyBorder="1" applyAlignment="1">
      <alignment horizontal="center" vertical="center" wrapText="1"/>
    </xf>
    <xf numFmtId="0" fontId="0" fillId="2" borderId="8" xfId="0" applyFill="1" applyBorder="1" applyAlignment="1">
      <alignment horizontal="center" vertical="center" wrapText="1"/>
    </xf>
    <xf numFmtId="0" fontId="0" fillId="0" borderId="8" xfId="0" applyBorder="1" applyAlignment="1">
      <alignment horizontal="left" vertical="center"/>
    </xf>
    <xf numFmtId="4" fontId="0" fillId="3" borderId="2" xfId="0" applyNumberFormat="1" applyFill="1" applyBorder="1" applyAlignment="1">
      <alignment horizontal="center"/>
    </xf>
    <xf numFmtId="3" fontId="0" fillId="2" borderId="2" xfId="0" applyNumberFormat="1" applyFill="1" applyBorder="1" applyAlignment="1">
      <alignment horizontal="center"/>
    </xf>
    <xf numFmtId="3" fontId="0" fillId="2" borderId="2" xfId="0" applyNumberFormat="1" applyFill="1" applyBorder="1"/>
    <xf numFmtId="4" fontId="0" fillId="3" borderId="4" xfId="0" applyNumberFormat="1" applyFill="1" applyBorder="1" applyAlignment="1">
      <alignment horizontal="center"/>
    </xf>
    <xf numFmtId="3" fontId="0" fillId="2" borderId="4" xfId="0" applyNumberFormat="1" applyFill="1" applyBorder="1"/>
    <xf numFmtId="3" fontId="0" fillId="3" borderId="2" xfId="0" applyNumberFormat="1" applyFill="1" applyBorder="1" applyAlignment="1">
      <alignment horizontal="center"/>
    </xf>
    <xf numFmtId="3" fontId="0" fillId="3" borderId="3" xfId="0" applyNumberFormat="1" applyFill="1" applyBorder="1" applyAlignment="1">
      <alignment horizontal="center"/>
    </xf>
    <xf numFmtId="3" fontId="0" fillId="3" borderId="4" xfId="0" applyNumberFormat="1" applyFill="1" applyBorder="1" applyAlignment="1">
      <alignment horizontal="center"/>
    </xf>
    <xf numFmtId="4" fontId="0" fillId="0" borderId="0" xfId="0" applyNumberFormat="1" applyAlignment="1">
      <alignment horizontal="center"/>
    </xf>
    <xf numFmtId="0" fontId="0" fillId="2" borderId="0" xfId="0" applyFill="1" applyAlignment="1">
      <alignment horizontal="center"/>
    </xf>
    <xf numFmtId="9" fontId="0" fillId="0" borderId="0" xfId="2" applyFont="1" applyAlignment="1">
      <alignment horizontal="center"/>
    </xf>
    <xf numFmtId="0" fontId="0" fillId="2" borderId="2" xfId="0" applyFill="1" applyBorder="1" applyAlignment="1">
      <alignment horizontal="center"/>
    </xf>
    <xf numFmtId="0" fontId="0" fillId="2" borderId="3" xfId="0" applyFill="1" applyBorder="1" applyAlignment="1">
      <alignment horizontal="center"/>
    </xf>
    <xf numFmtId="0" fontId="11" fillId="0" borderId="0" xfId="0" applyFont="1"/>
    <xf numFmtId="165" fontId="0" fillId="3" borderId="16" xfId="2" applyNumberFormat="1" applyFont="1" applyFill="1" applyBorder="1" applyAlignment="1">
      <alignment horizontal="center"/>
    </xf>
    <xf numFmtId="9" fontId="0" fillId="2" borderId="17" xfId="0" applyNumberFormat="1" applyFill="1" applyBorder="1" applyAlignment="1">
      <alignment horizontal="center"/>
    </xf>
    <xf numFmtId="165" fontId="0" fillId="3" borderId="17" xfId="2" applyNumberFormat="1" applyFont="1" applyFill="1" applyBorder="1" applyAlignment="1">
      <alignment horizontal="center"/>
    </xf>
    <xf numFmtId="0" fontId="0" fillId="2" borderId="13" xfId="0" applyFill="1" applyBorder="1"/>
    <xf numFmtId="3" fontId="0" fillId="6" borderId="13" xfId="0" applyNumberFormat="1" applyFill="1" applyBorder="1"/>
    <xf numFmtId="0" fontId="0" fillId="0" borderId="4" xfId="0" applyBorder="1" applyAlignment="1">
      <alignment horizontal="center"/>
    </xf>
    <xf numFmtId="0" fontId="0" fillId="0" borderId="26" xfId="0" applyBorder="1" applyAlignment="1">
      <alignment vertical="center"/>
    </xf>
    <xf numFmtId="0" fontId="0" fillId="0" borderId="27" xfId="0" applyBorder="1" applyAlignment="1">
      <alignment vertical="center"/>
    </xf>
    <xf numFmtId="0" fontId="0" fillId="0" borderId="27" xfId="0" applyBorder="1" applyAlignment="1">
      <alignment horizontal="center" vertical="center" wrapText="1"/>
    </xf>
    <xf numFmtId="0" fontId="0" fillId="0" borderId="28" xfId="0" applyBorder="1" applyAlignment="1">
      <alignment horizontal="center" vertical="center" wrapText="1"/>
    </xf>
    <xf numFmtId="9" fontId="0" fillId="0" borderId="0" xfId="0" applyNumberFormat="1" applyAlignment="1">
      <alignment vertical="top" wrapText="1"/>
    </xf>
    <xf numFmtId="0" fontId="0" fillId="0" borderId="22" xfId="0" applyBorder="1" applyAlignment="1">
      <alignment horizontal="center" vertical="center" wrapText="1"/>
    </xf>
    <xf numFmtId="3" fontId="0" fillId="2" borderId="10" xfId="0" applyNumberFormat="1" applyFill="1" applyBorder="1" applyAlignment="1">
      <alignment horizontal="center"/>
    </xf>
    <xf numFmtId="0" fontId="0" fillId="0" borderId="26" xfId="0" applyBorder="1" applyAlignment="1">
      <alignment horizontal="centerContinuous" vertical="center" wrapText="1"/>
    </xf>
    <xf numFmtId="0" fontId="0" fillId="0" borderId="28" xfId="0" applyBorder="1" applyAlignment="1">
      <alignment horizontal="centerContinuous"/>
    </xf>
    <xf numFmtId="0" fontId="0" fillId="2" borderId="2" xfId="0" applyFill="1" applyBorder="1"/>
    <xf numFmtId="0" fontId="0" fillId="2" borderId="3" xfId="0" applyFill="1" applyBorder="1"/>
    <xf numFmtId="0" fontId="0" fillId="2" borderId="4" xfId="0" applyFill="1" applyBorder="1"/>
    <xf numFmtId="0" fontId="0" fillId="2" borderId="31" xfId="0" applyFill="1" applyBorder="1" applyAlignment="1">
      <alignment horizontal="center"/>
    </xf>
    <xf numFmtId="0" fontId="0" fillId="2" borderId="32" xfId="0" applyFill="1" applyBorder="1" applyAlignment="1">
      <alignment horizontal="center"/>
    </xf>
    <xf numFmtId="0" fontId="0" fillId="2" borderId="4" xfId="0" applyFill="1" applyBorder="1" applyAlignment="1">
      <alignment horizontal="center"/>
    </xf>
    <xf numFmtId="0" fontId="0" fillId="2" borderId="35" xfId="0" applyFill="1" applyBorder="1" applyAlignment="1">
      <alignment horizontal="center"/>
    </xf>
    <xf numFmtId="0" fontId="0" fillId="0" borderId="0" xfId="0" applyAlignment="1">
      <alignment horizontal="left" vertical="center"/>
    </xf>
    <xf numFmtId="2" fontId="0" fillId="0" borderId="2" xfId="0" applyNumberFormat="1" applyBorder="1" applyAlignment="1">
      <alignment horizontal="center"/>
    </xf>
    <xf numFmtId="2" fontId="0" fillId="0" borderId="4" xfId="0" applyNumberFormat="1" applyBorder="1" applyAlignment="1">
      <alignment horizontal="center"/>
    </xf>
    <xf numFmtId="0" fontId="0" fillId="0" borderId="1" xfId="0" applyBorder="1" applyAlignment="1">
      <alignment horizontal="center"/>
    </xf>
    <xf numFmtId="0" fontId="0" fillId="0" borderId="0" xfId="0" applyAlignment="1">
      <alignment horizontal="left" vertical="top"/>
    </xf>
    <xf numFmtId="2" fontId="0" fillId="0" borderId="0" xfId="0" applyNumberFormat="1" applyAlignment="1">
      <alignment horizontal="center" vertical="center" wrapText="1"/>
    </xf>
    <xf numFmtId="0" fontId="0" fillId="0" borderId="18" xfId="0" applyBorder="1" applyAlignment="1">
      <alignment horizontal="centerContinuous"/>
    </xf>
    <xf numFmtId="0" fontId="0" fillId="0" borderId="19" xfId="0" applyBorder="1" applyAlignment="1">
      <alignment horizontal="centerContinuous"/>
    </xf>
    <xf numFmtId="0" fontId="0" fillId="0" borderId="29" xfId="0" applyBorder="1" applyAlignment="1">
      <alignment horizontal="centerContinuous"/>
    </xf>
    <xf numFmtId="0" fontId="0" fillId="0" borderId="36" xfId="0" applyBorder="1" applyAlignment="1">
      <alignment horizontal="center" vertical="center" wrapText="1"/>
    </xf>
    <xf numFmtId="3" fontId="0" fillId="0" borderId="4" xfId="0" applyNumberFormat="1" applyBorder="1" applyAlignment="1">
      <alignment horizontal="center"/>
    </xf>
    <xf numFmtId="0" fontId="0" fillId="0" borderId="26" xfId="0" applyBorder="1" applyAlignment="1">
      <alignment horizontal="centerContinuous"/>
    </xf>
    <xf numFmtId="0" fontId="0" fillId="0" borderId="27" xfId="0" applyBorder="1" applyAlignment="1">
      <alignment horizontal="centerContinuous"/>
    </xf>
    <xf numFmtId="9" fontId="0" fillId="0" borderId="28" xfId="0" applyNumberFormat="1" applyBorder="1" applyAlignment="1">
      <alignment horizontal="centerContinuous"/>
    </xf>
    <xf numFmtId="0" fontId="0" fillId="2" borderId="23" xfId="0" applyFill="1" applyBorder="1" applyAlignment="1">
      <alignment horizontal="center"/>
    </xf>
    <xf numFmtId="9" fontId="0" fillId="0" borderId="23" xfId="0" applyNumberFormat="1" applyBorder="1" applyAlignment="1">
      <alignment horizontal="center"/>
    </xf>
    <xf numFmtId="9" fontId="0" fillId="0" borderId="16" xfId="0" applyNumberFormat="1" applyBorder="1" applyAlignment="1">
      <alignment horizontal="center"/>
    </xf>
    <xf numFmtId="4" fontId="0" fillId="3" borderId="37" xfId="0" applyNumberFormat="1" applyFill="1" applyBorder="1" applyAlignment="1">
      <alignment horizontal="center"/>
    </xf>
    <xf numFmtId="9" fontId="0" fillId="0" borderId="17" xfId="0" applyNumberFormat="1" applyBorder="1" applyAlignment="1">
      <alignment horizontal="center"/>
    </xf>
    <xf numFmtId="0" fontId="0" fillId="0" borderId="9" xfId="0" applyBorder="1" applyAlignment="1">
      <alignment wrapText="1"/>
    </xf>
    <xf numFmtId="0" fontId="0" fillId="0" borderId="29" xfId="0" applyBorder="1" applyAlignment="1">
      <alignment horizontal="center"/>
    </xf>
    <xf numFmtId="0" fontId="0" fillId="0" borderId="30" xfId="0" applyBorder="1" applyAlignment="1">
      <alignment horizontal="center"/>
    </xf>
    <xf numFmtId="0" fontId="12" fillId="0" borderId="0" xfId="0" applyFont="1"/>
    <xf numFmtId="0" fontId="12" fillId="0" borderId="0" xfId="0" applyFont="1" applyAlignment="1">
      <alignment horizontal="right"/>
    </xf>
    <xf numFmtId="0" fontId="12" fillId="0" borderId="0" xfId="0" applyFont="1" applyAlignment="1">
      <alignment horizontal="left"/>
    </xf>
    <xf numFmtId="4" fontId="0" fillId="0" borderId="16" xfId="0" applyNumberFormat="1" applyBorder="1" applyAlignment="1">
      <alignment horizontal="center"/>
    </xf>
    <xf numFmtId="4" fontId="0" fillId="0" borderId="17" xfId="0" applyNumberFormat="1" applyBorder="1" applyAlignment="1">
      <alignment horizontal="center"/>
    </xf>
    <xf numFmtId="166" fontId="0" fillId="2" borderId="16" xfId="0" applyNumberFormat="1" applyFill="1" applyBorder="1" applyAlignment="1">
      <alignment horizontal="center"/>
    </xf>
    <xf numFmtId="4" fontId="0" fillId="3" borderId="18" xfId="0" applyNumberFormat="1" applyFill="1" applyBorder="1" applyAlignment="1">
      <alignment horizontal="center"/>
    </xf>
    <xf numFmtId="4" fontId="0" fillId="3" borderId="22" xfId="0" applyNumberFormat="1" applyFill="1" applyBorder="1" applyAlignment="1">
      <alignment horizontal="center"/>
    </xf>
    <xf numFmtId="165" fontId="0" fillId="3" borderId="22" xfId="2" applyNumberFormat="1" applyFont="1" applyFill="1" applyBorder="1" applyAlignment="1">
      <alignment horizontal="center"/>
    </xf>
    <xf numFmtId="165" fontId="0" fillId="3" borderId="22" xfId="0" applyNumberFormat="1" applyFill="1" applyBorder="1" applyAlignment="1">
      <alignment horizontal="center"/>
    </xf>
    <xf numFmtId="0" fontId="0" fillId="0" borderId="3" xfId="0" applyBorder="1"/>
    <xf numFmtId="0" fontId="0" fillId="0" borderId="8" xfId="0" applyBorder="1" applyAlignment="1">
      <alignment horizontal="centerContinuous"/>
    </xf>
    <xf numFmtId="0" fontId="0" fillId="0" borderId="2" xfId="0" applyBorder="1"/>
    <xf numFmtId="0" fontId="0" fillId="0" borderId="3" xfId="0" applyBorder="1" applyAlignment="1">
      <alignment horizontal="left"/>
    </xf>
    <xf numFmtId="0" fontId="0" fillId="0" borderId="4" xfId="0" applyBorder="1" applyAlignment="1">
      <alignment horizontal="left"/>
    </xf>
    <xf numFmtId="9" fontId="0" fillId="0" borderId="13" xfId="0" applyNumberFormat="1" applyBorder="1"/>
    <xf numFmtId="167" fontId="0" fillId="0" borderId="0" xfId="0" applyNumberFormat="1" applyAlignment="1">
      <alignment horizontal="center"/>
    </xf>
    <xf numFmtId="0" fontId="14" fillId="0" borderId="0" xfId="0" applyFont="1" applyAlignment="1">
      <alignment vertical="center"/>
    </xf>
    <xf numFmtId="0" fontId="2" fillId="0" borderId="0" xfId="0" applyFont="1" applyAlignment="1">
      <alignment vertical="center"/>
    </xf>
    <xf numFmtId="0" fontId="13" fillId="0" borderId="0" xfId="3" applyAlignment="1">
      <alignment vertical="center"/>
    </xf>
    <xf numFmtId="167" fontId="0" fillId="0" borderId="9" xfId="0" applyNumberFormat="1" applyBorder="1" applyAlignment="1">
      <alignment horizontal="center"/>
    </xf>
    <xf numFmtId="3" fontId="0" fillId="2" borderId="9" xfId="0" applyNumberFormat="1" applyFill="1" applyBorder="1"/>
    <xf numFmtId="3" fontId="0" fillId="2" borderId="15" xfId="0" applyNumberFormat="1" applyFill="1" applyBorder="1"/>
    <xf numFmtId="0" fontId="0" fillId="0" borderId="4" xfId="0" applyBorder="1"/>
    <xf numFmtId="0" fontId="0" fillId="0" borderId="13" xfId="0" applyBorder="1" applyAlignment="1">
      <alignment horizontal="center"/>
    </xf>
    <xf numFmtId="0" fontId="0" fillId="0" borderId="15" xfId="0" applyBorder="1" applyAlignment="1">
      <alignment horizontal="center"/>
    </xf>
    <xf numFmtId="3" fontId="0" fillId="2" borderId="13" xfId="0" applyNumberFormat="1" applyFill="1" applyBorder="1"/>
    <xf numFmtId="3" fontId="0" fillId="2" borderId="3" xfId="0" applyNumberFormat="1" applyFill="1" applyBorder="1"/>
    <xf numFmtId="3" fontId="0" fillId="2" borderId="0" xfId="0" applyNumberFormat="1" applyFill="1" applyAlignment="1">
      <alignment horizontal="center"/>
    </xf>
    <xf numFmtId="3" fontId="0" fillId="2" borderId="3" xfId="0" applyNumberFormat="1" applyFill="1" applyBorder="1" applyAlignment="1">
      <alignment horizontal="center"/>
    </xf>
    <xf numFmtId="3" fontId="0" fillId="2" borderId="13" xfId="0" applyNumberFormat="1" applyFill="1" applyBorder="1" applyAlignment="1">
      <alignment horizontal="center"/>
    </xf>
    <xf numFmtId="3" fontId="0" fillId="2" borderId="14" xfId="0" applyNumberFormat="1" applyFill="1" applyBorder="1"/>
    <xf numFmtId="3" fontId="0" fillId="0" borderId="14" xfId="0" applyNumberFormat="1" applyBorder="1" applyAlignment="1">
      <alignment horizontal="center"/>
    </xf>
    <xf numFmtId="0" fontId="0" fillId="2" borderId="15" xfId="0" applyFill="1" applyBorder="1"/>
    <xf numFmtId="3" fontId="0" fillId="0" borderId="13" xfId="0" applyNumberFormat="1" applyBorder="1" applyAlignment="1">
      <alignment horizontal="center"/>
    </xf>
    <xf numFmtId="3" fontId="0" fillId="0" borderId="15" xfId="0" applyNumberFormat="1" applyBorder="1" applyAlignment="1">
      <alignment horizontal="center"/>
    </xf>
    <xf numFmtId="0" fontId="0" fillId="2" borderId="13" xfId="0" applyFill="1" applyBorder="1" applyAlignment="1">
      <alignment horizontal="center"/>
    </xf>
    <xf numFmtId="0" fontId="0" fillId="2" borderId="15" xfId="0" applyFill="1" applyBorder="1" applyAlignment="1">
      <alignment horizontal="center"/>
    </xf>
    <xf numFmtId="9" fontId="0" fillId="2" borderId="9" xfId="0" applyNumberFormat="1" applyFill="1" applyBorder="1" applyAlignment="1">
      <alignment horizontal="center"/>
    </xf>
    <xf numFmtId="9" fontId="0" fillId="2" borderId="13" xfId="0" applyNumberFormat="1" applyFill="1" applyBorder="1" applyAlignment="1">
      <alignment horizontal="center"/>
    </xf>
    <xf numFmtId="9" fontId="0" fillId="2" borderId="15" xfId="0" applyNumberFormat="1" applyFill="1" applyBorder="1" applyAlignment="1">
      <alignment horizontal="center"/>
    </xf>
    <xf numFmtId="3" fontId="0" fillId="2" borderId="5" xfId="0" applyNumberFormat="1" applyFill="1" applyBorder="1"/>
    <xf numFmtId="3" fontId="0" fillId="2" borderId="7" xfId="0" applyNumberFormat="1" applyFill="1" applyBorder="1"/>
    <xf numFmtId="0" fontId="16" fillId="0" borderId="36" xfId="0" applyFont="1" applyBorder="1" applyAlignment="1">
      <alignment wrapText="1"/>
    </xf>
    <xf numFmtId="0" fontId="16" fillId="0" borderId="28" xfId="0" applyFont="1" applyBorder="1" applyAlignment="1">
      <alignment wrapText="1"/>
    </xf>
    <xf numFmtId="0" fontId="17" fillId="0" borderId="17" xfId="0" applyFont="1" applyBorder="1" applyAlignment="1">
      <alignment wrapText="1"/>
    </xf>
    <xf numFmtId="0" fontId="18" fillId="8" borderId="38" xfId="0" applyFont="1" applyFill="1" applyBorder="1" applyAlignment="1">
      <alignment wrapText="1"/>
    </xf>
    <xf numFmtId="0" fontId="17" fillId="0" borderId="38" xfId="0" applyFont="1" applyBorder="1" applyAlignment="1">
      <alignment wrapText="1"/>
    </xf>
    <xf numFmtId="0" fontId="18" fillId="8" borderId="38" xfId="0" applyFont="1" applyFill="1" applyBorder="1"/>
    <xf numFmtId="0" fontId="16" fillId="0" borderId="17" xfId="0" applyFont="1" applyBorder="1" applyAlignment="1">
      <alignment wrapText="1"/>
    </xf>
    <xf numFmtId="0" fontId="19" fillId="0" borderId="38" xfId="0" applyFont="1" applyBorder="1" applyAlignment="1">
      <alignment wrapText="1"/>
    </xf>
    <xf numFmtId="0" fontId="16" fillId="0" borderId="38" xfId="0" applyFont="1" applyBorder="1" applyAlignment="1">
      <alignment wrapText="1"/>
    </xf>
    <xf numFmtId="0" fontId="17" fillId="9" borderId="38" xfId="0" applyFont="1" applyFill="1" applyBorder="1" applyAlignment="1">
      <alignment wrapText="1"/>
    </xf>
    <xf numFmtId="168" fontId="18" fillId="8" borderId="38" xfId="0" applyNumberFormat="1" applyFont="1" applyFill="1" applyBorder="1" applyAlignment="1">
      <alignment wrapText="1"/>
    </xf>
    <xf numFmtId="0" fontId="17" fillId="0" borderId="0" xfId="0" applyFont="1"/>
    <xf numFmtId="168" fontId="17" fillId="0" borderId="0" xfId="0" applyNumberFormat="1" applyFont="1"/>
    <xf numFmtId="3" fontId="17" fillId="0" borderId="0" xfId="0" applyNumberFormat="1" applyFont="1"/>
    <xf numFmtId="4" fontId="17" fillId="0" borderId="0" xfId="0" applyNumberFormat="1" applyFont="1"/>
    <xf numFmtId="0" fontId="13" fillId="0" borderId="0" xfId="3"/>
    <xf numFmtId="3" fontId="0" fillId="2" borderId="33" xfId="0" applyNumberFormat="1" applyFill="1" applyBorder="1" applyAlignment="1">
      <alignment horizontal="centerContinuous"/>
    </xf>
    <xf numFmtId="3" fontId="0" fillId="2" borderId="15" xfId="0" applyNumberFormat="1" applyFill="1" applyBorder="1" applyAlignment="1">
      <alignment horizontal="centerContinuous"/>
    </xf>
    <xf numFmtId="0" fontId="0" fillId="0" borderId="7" xfId="0" applyBorder="1" applyAlignment="1">
      <alignment vertical="center"/>
    </xf>
    <xf numFmtId="0" fontId="0" fillId="0" borderId="1" xfId="0" applyBorder="1"/>
    <xf numFmtId="0" fontId="0" fillId="2" borderId="10" xfId="0" applyFill="1" applyBorder="1"/>
    <xf numFmtId="0" fontId="0" fillId="0" borderId="10" xfId="0" applyBorder="1" applyAlignment="1">
      <alignment horizontal="center"/>
    </xf>
    <xf numFmtId="0" fontId="0" fillId="2" borderId="14" xfId="0" applyFill="1" applyBorder="1" applyAlignment="1">
      <alignment horizontal="center"/>
    </xf>
    <xf numFmtId="169" fontId="0" fillId="0" borderId="3" xfId="0" applyNumberFormat="1" applyBorder="1" applyAlignment="1">
      <alignment horizontal="center"/>
    </xf>
    <xf numFmtId="169" fontId="0" fillId="0" borderId="0" xfId="0" applyNumberFormat="1" applyAlignment="1">
      <alignment horizontal="center"/>
    </xf>
    <xf numFmtId="9" fontId="0" fillId="3" borderId="2" xfId="2" applyFont="1" applyFill="1" applyBorder="1" applyAlignment="1">
      <alignment horizontal="center"/>
    </xf>
    <xf numFmtId="9" fontId="0" fillId="6" borderId="3" xfId="2" applyFont="1" applyFill="1" applyBorder="1" applyAlignment="1">
      <alignment horizontal="center"/>
    </xf>
    <xf numFmtId="0" fontId="0" fillId="2" borderId="0" xfId="0" applyFill="1" applyAlignment="1">
      <alignment wrapText="1"/>
    </xf>
    <xf numFmtId="0" fontId="0" fillId="2" borderId="0" xfId="0" applyFill="1" applyAlignment="1">
      <alignment horizontal="left"/>
    </xf>
    <xf numFmtId="14" fontId="0" fillId="2" borderId="0" xfId="0" applyNumberFormat="1" applyFill="1"/>
    <xf numFmtId="0" fontId="0" fillId="2" borderId="0" xfId="0" applyFill="1" applyAlignment="1">
      <alignment horizontal="left" wrapText="1"/>
    </xf>
    <xf numFmtId="0" fontId="0" fillId="0" borderId="0" xfId="0" applyAlignment="1">
      <alignment vertical="center"/>
    </xf>
    <xf numFmtId="0" fontId="0" fillId="2" borderId="8" xfId="0" applyFill="1" applyBorder="1" applyAlignment="1">
      <alignment horizontal="left" wrapText="1"/>
    </xf>
    <xf numFmtId="0" fontId="0" fillId="2" borderId="8" xfId="0" applyFill="1" applyBorder="1" applyAlignment="1">
      <alignment horizontal="left"/>
    </xf>
    <xf numFmtId="0" fontId="0" fillId="2" borderId="5" xfId="0" applyFill="1" applyBorder="1" applyAlignment="1">
      <alignment horizontal="left"/>
    </xf>
    <xf numFmtId="0" fontId="0" fillId="0" borderId="7" xfId="0" applyBorder="1"/>
    <xf numFmtId="0" fontId="17" fillId="2" borderId="0" xfId="0" applyFont="1" applyFill="1"/>
    <xf numFmtId="0" fontId="0" fillId="0" borderId="12" xfId="0" applyBorder="1"/>
    <xf numFmtId="4" fontId="0" fillId="3" borderId="2" xfId="0" applyNumberFormat="1" applyFill="1" applyBorder="1"/>
    <xf numFmtId="4" fontId="0" fillId="3" borderId="8" xfId="0" applyNumberFormat="1" applyFill="1" applyBorder="1"/>
    <xf numFmtId="0" fontId="0" fillId="3" borderId="5" xfId="0" applyFill="1" applyBorder="1"/>
    <xf numFmtId="4" fontId="0" fillId="3" borderId="0" xfId="0" applyNumberFormat="1" applyFill="1"/>
    <xf numFmtId="0" fontId="17" fillId="0" borderId="15" xfId="0" applyFont="1" applyBorder="1" applyAlignment="1">
      <alignment wrapText="1"/>
    </xf>
    <xf numFmtId="3" fontId="0" fillId="3" borderId="14" xfId="0" applyNumberFormat="1" applyFill="1" applyBorder="1"/>
    <xf numFmtId="4" fontId="0" fillId="3" borderId="1" xfId="0" applyNumberFormat="1" applyFill="1" applyBorder="1"/>
    <xf numFmtId="0" fontId="20" fillId="0" borderId="0" xfId="0" applyFont="1"/>
    <xf numFmtId="0" fontId="17" fillId="0" borderId="4" xfId="0" applyFont="1" applyBorder="1" applyAlignment="1">
      <alignment wrapText="1"/>
    </xf>
    <xf numFmtId="0" fontId="17" fillId="0" borderId="39" xfId="0" applyFont="1" applyBorder="1" applyAlignment="1">
      <alignment wrapText="1"/>
    </xf>
    <xf numFmtId="0" fontId="17" fillId="0" borderId="39" xfId="0" applyFont="1" applyBorder="1" applyAlignment="1">
      <alignment horizontal="left" wrapText="1"/>
    </xf>
    <xf numFmtId="0" fontId="17" fillId="0" borderId="40" xfId="0" applyFont="1" applyBorder="1" applyAlignment="1">
      <alignment wrapText="1"/>
    </xf>
    <xf numFmtId="0" fontId="17" fillId="0" borderId="2" xfId="0" applyFont="1" applyBorder="1" applyAlignment="1">
      <alignment wrapText="1"/>
    </xf>
    <xf numFmtId="0" fontId="18" fillId="8" borderId="0" xfId="0" applyFont="1" applyFill="1" applyAlignment="1">
      <alignment wrapText="1"/>
    </xf>
    <xf numFmtId="0" fontId="17" fillId="0" borderId="8" xfId="0" applyFont="1" applyBorder="1" applyAlignment="1">
      <alignment wrapText="1"/>
    </xf>
    <xf numFmtId="0" fontId="18" fillId="8" borderId="1" xfId="0" applyFont="1" applyFill="1" applyBorder="1" applyAlignment="1">
      <alignment wrapText="1"/>
    </xf>
    <xf numFmtId="0" fontId="17" fillId="0" borderId="12" xfId="0" applyFont="1" applyBorder="1" applyAlignment="1">
      <alignment wrapText="1"/>
    </xf>
    <xf numFmtId="0" fontId="17" fillId="0" borderId="1" xfId="0" applyFont="1" applyBorder="1" applyAlignment="1">
      <alignment wrapText="1"/>
    </xf>
    <xf numFmtId="0" fontId="18" fillId="3" borderId="0" xfId="0" applyFont="1" applyFill="1" applyAlignment="1">
      <alignment wrapText="1"/>
    </xf>
    <xf numFmtId="0" fontId="17" fillId="0" borderId="10" xfId="0" applyFont="1" applyBorder="1" applyAlignment="1">
      <alignment wrapText="1"/>
    </xf>
    <xf numFmtId="0" fontId="18" fillId="3" borderId="1" xfId="0" applyFont="1" applyFill="1" applyBorder="1" applyAlignment="1">
      <alignment wrapText="1"/>
    </xf>
    <xf numFmtId="0" fontId="0" fillId="0" borderId="5" xfId="0" applyBorder="1" applyAlignment="1">
      <alignment horizontal="center"/>
    </xf>
    <xf numFmtId="3" fontId="0" fillId="2" borderId="22" xfId="0" applyNumberFormat="1" applyFill="1" applyBorder="1" applyAlignment="1">
      <alignment horizontal="center"/>
    </xf>
    <xf numFmtId="3" fontId="0" fillId="2" borderId="22" xfId="0" applyNumberFormat="1" applyFill="1" applyBorder="1"/>
    <xf numFmtId="3" fontId="0" fillId="2" borderId="16" xfId="0" applyNumberFormat="1" applyFill="1" applyBorder="1"/>
    <xf numFmtId="3" fontId="0" fillId="2" borderId="40" xfId="0" applyNumberFormat="1" applyFill="1" applyBorder="1" applyAlignment="1">
      <alignment horizontal="center"/>
    </xf>
    <xf numFmtId="3" fontId="0" fillId="2" borderId="30" xfId="0" applyNumberFormat="1" applyFill="1" applyBorder="1" applyAlignment="1">
      <alignment horizontal="center"/>
    </xf>
    <xf numFmtId="3" fontId="0" fillId="2" borderId="30" xfId="0" applyNumberFormat="1" applyFill="1" applyBorder="1"/>
    <xf numFmtId="0" fontId="0" fillId="2" borderId="40" xfId="0" applyFill="1" applyBorder="1" applyAlignment="1">
      <alignment horizontal="center"/>
    </xf>
    <xf numFmtId="0" fontId="0" fillId="2" borderId="30" xfId="0" applyFill="1" applyBorder="1" applyAlignment="1">
      <alignment horizontal="center"/>
    </xf>
    <xf numFmtId="0" fontId="0" fillId="2" borderId="16" xfId="0" applyFill="1" applyBorder="1"/>
    <xf numFmtId="0" fontId="0" fillId="0" borderId="16" xfId="0" applyBorder="1" applyAlignment="1">
      <alignment horizontal="center"/>
    </xf>
    <xf numFmtId="3" fontId="0" fillId="0" borderId="40" xfId="0" applyNumberFormat="1" applyBorder="1" applyAlignment="1">
      <alignment horizontal="center"/>
    </xf>
    <xf numFmtId="3" fontId="0" fillId="0" borderId="30" xfId="0" applyNumberFormat="1" applyBorder="1" applyAlignment="1">
      <alignment horizontal="center"/>
    </xf>
    <xf numFmtId="9" fontId="0" fillId="2" borderId="12" xfId="0" applyNumberFormat="1" applyFill="1" applyBorder="1" applyAlignment="1">
      <alignment horizontal="center"/>
    </xf>
    <xf numFmtId="3" fontId="0" fillId="0" borderId="42" xfId="0" applyNumberFormat="1" applyBorder="1" applyAlignment="1">
      <alignment horizontal="center"/>
    </xf>
    <xf numFmtId="0" fontId="0" fillId="0" borderId="22" xfId="0" applyBorder="1" applyAlignment="1">
      <alignment vertical="center"/>
    </xf>
    <xf numFmtId="0" fontId="0" fillId="0" borderId="36" xfId="0" applyBorder="1" applyAlignment="1">
      <alignment horizontal="left"/>
    </xf>
    <xf numFmtId="0" fontId="0" fillId="0" borderId="36" xfId="0" applyBorder="1"/>
    <xf numFmtId="0" fontId="0" fillId="2" borderId="17" xfId="0" applyFill="1" applyBorder="1"/>
    <xf numFmtId="0" fontId="0" fillId="0" borderId="0" xfId="0" applyAlignment="1">
      <alignment horizontal="center" vertical="center"/>
    </xf>
    <xf numFmtId="0" fontId="0" fillId="0" borderId="17" xfId="0" applyBorder="1" applyAlignment="1">
      <alignment horizontal="left"/>
    </xf>
    <xf numFmtId="3" fontId="0" fillId="2" borderId="44" xfId="0" applyNumberFormat="1" applyFill="1" applyBorder="1" applyAlignment="1">
      <alignment horizontal="center"/>
    </xf>
    <xf numFmtId="0" fontId="0" fillId="2" borderId="23" xfId="0" applyFill="1" applyBorder="1"/>
    <xf numFmtId="3" fontId="0" fillId="2" borderId="11" xfId="0" applyNumberFormat="1" applyFill="1" applyBorder="1" applyAlignment="1">
      <alignment horizontal="center"/>
    </xf>
    <xf numFmtId="0" fontId="0" fillId="3" borderId="30" xfId="0" applyFill="1" applyBorder="1"/>
    <xf numFmtId="0" fontId="0" fillId="3" borderId="16" xfId="0" applyFill="1" applyBorder="1"/>
    <xf numFmtId="0" fontId="0" fillId="3" borderId="17" xfId="0" applyFill="1" applyBorder="1"/>
    <xf numFmtId="0" fontId="0" fillId="0" borderId="28" xfId="0" applyBorder="1" applyAlignment="1">
      <alignment horizontal="left"/>
    </xf>
    <xf numFmtId="0" fontId="0" fillId="0" borderId="9" xfId="0" applyBorder="1" applyAlignment="1">
      <alignment horizontal="center" vertical="center" wrapText="1"/>
    </xf>
    <xf numFmtId="0" fontId="0" fillId="2" borderId="0" xfId="0" applyFill="1" applyAlignment="1">
      <alignment horizontal="center" vertical="center" wrapText="1"/>
    </xf>
    <xf numFmtId="0" fontId="0" fillId="2" borderId="9" xfId="0" applyFill="1" applyBorder="1" applyAlignment="1">
      <alignment horizontal="center" vertical="center" wrapText="1"/>
    </xf>
    <xf numFmtId="0" fontId="0" fillId="2" borderId="17" xfId="0" applyFill="1" applyBorder="1" applyAlignment="1">
      <alignment horizontal="center" vertical="center" wrapText="1"/>
    </xf>
    <xf numFmtId="0" fontId="0" fillId="0" borderId="27" xfId="0" applyBorder="1"/>
    <xf numFmtId="0" fontId="17" fillId="0" borderId="22" xfId="0" applyFont="1" applyBorder="1"/>
    <xf numFmtId="0" fontId="17" fillId="0" borderId="20" xfId="0" applyFont="1" applyBorder="1"/>
    <xf numFmtId="0" fontId="17" fillId="0" borderId="21" xfId="0" applyFont="1" applyBorder="1"/>
    <xf numFmtId="9" fontId="0" fillId="3" borderId="16" xfId="0" applyNumberFormat="1" applyFill="1" applyBorder="1"/>
    <xf numFmtId="9" fontId="0" fillId="3" borderId="17" xfId="0" applyNumberFormat="1" applyFill="1" applyBorder="1"/>
    <xf numFmtId="0" fontId="0" fillId="0" borderId="26" xfId="0" applyBorder="1"/>
    <xf numFmtId="3" fontId="0" fillId="0" borderId="17" xfId="0" applyNumberFormat="1" applyBorder="1" applyAlignment="1">
      <alignment horizontal="left"/>
    </xf>
    <xf numFmtId="0" fontId="17" fillId="0" borderId="48" xfId="0" applyFont="1" applyBorder="1" applyAlignment="1">
      <alignment wrapText="1"/>
    </xf>
    <xf numFmtId="0" fontId="0" fillId="10" borderId="0" xfId="0" applyFill="1"/>
    <xf numFmtId="3" fontId="0" fillId="3" borderId="23" xfId="0" applyNumberFormat="1" applyFill="1" applyBorder="1" applyAlignment="1">
      <alignment horizontal="right" vertical="center" wrapText="1"/>
    </xf>
    <xf numFmtId="3" fontId="0" fillId="3" borderId="23" xfId="0" applyNumberFormat="1" applyFill="1" applyBorder="1" applyAlignment="1">
      <alignment horizontal="right" vertical="center"/>
    </xf>
    <xf numFmtId="3" fontId="0" fillId="3" borderId="29" xfId="0" applyNumberFormat="1" applyFill="1" applyBorder="1" applyAlignment="1">
      <alignment horizontal="right" vertical="center"/>
    </xf>
    <xf numFmtId="2" fontId="0" fillId="3" borderId="16" xfId="0" applyNumberFormat="1" applyFill="1" applyBorder="1" applyAlignment="1">
      <alignment horizontal="right" vertical="center"/>
    </xf>
    <xf numFmtId="0" fontId="0" fillId="3" borderId="17" xfId="0" applyFill="1" applyBorder="1" applyAlignment="1">
      <alignment horizontal="right" vertical="center"/>
    </xf>
    <xf numFmtId="0" fontId="0" fillId="6" borderId="3" xfId="0" applyFill="1" applyBorder="1" applyAlignment="1">
      <alignment horizontal="right"/>
    </xf>
    <xf numFmtId="3" fontId="0" fillId="3" borderId="3" xfId="0" applyNumberFormat="1" applyFill="1" applyBorder="1" applyAlignment="1">
      <alignment horizontal="right"/>
    </xf>
    <xf numFmtId="3" fontId="0" fillId="3" borderId="4" xfId="0" applyNumberFormat="1" applyFill="1" applyBorder="1" applyAlignment="1">
      <alignment horizontal="right"/>
    </xf>
    <xf numFmtId="0" fontId="0" fillId="10" borderId="22" xfId="0" applyFill="1" applyBorder="1" applyAlignment="1">
      <alignment horizontal="center" vertical="center" wrapText="1"/>
    </xf>
    <xf numFmtId="170" fontId="0" fillId="3" borderId="22" xfId="0" applyNumberFormat="1" applyFill="1" applyBorder="1" applyAlignment="1">
      <alignment horizontal="center"/>
    </xf>
    <xf numFmtId="4" fontId="0" fillId="10" borderId="18" xfId="0" applyNumberFormat="1" applyFill="1" applyBorder="1" applyAlignment="1">
      <alignment horizontal="center"/>
    </xf>
    <xf numFmtId="4" fontId="0" fillId="10" borderId="22" xfId="0" applyNumberFormat="1" applyFill="1" applyBorder="1" applyAlignment="1">
      <alignment horizontal="center"/>
    </xf>
    <xf numFmtId="0" fontId="0" fillId="0" borderId="0" xfId="0" applyAlignment="1">
      <alignment horizontal="left" vertical="center" wrapText="1"/>
    </xf>
    <xf numFmtId="9" fontId="0" fillId="2" borderId="43" xfId="0" applyNumberFormat="1" applyFill="1" applyBorder="1" applyAlignment="1">
      <alignment horizontal="center"/>
    </xf>
    <xf numFmtId="0" fontId="0" fillId="0" borderId="49" xfId="0" applyBorder="1" applyAlignment="1">
      <alignment horizontal="centerContinuous"/>
    </xf>
    <xf numFmtId="0" fontId="0" fillId="0" borderId="0" xfId="0" applyAlignment="1">
      <alignment horizontal="centerContinuous"/>
    </xf>
    <xf numFmtId="0" fontId="0" fillId="2" borderId="36" xfId="0" applyFill="1" applyBorder="1" applyAlignment="1">
      <alignment horizontal="center" vertical="center" wrapText="1"/>
    </xf>
    <xf numFmtId="0" fontId="0" fillId="2" borderId="19" xfId="0" applyFill="1" applyBorder="1"/>
    <xf numFmtId="0" fontId="0" fillId="2" borderId="40" xfId="0" applyFill="1" applyBorder="1"/>
    <xf numFmtId="9" fontId="0" fillId="0" borderId="50" xfId="0" applyNumberFormat="1" applyBorder="1"/>
    <xf numFmtId="9" fontId="0" fillId="0" borderId="12" xfId="0" applyNumberFormat="1" applyBorder="1"/>
    <xf numFmtId="0" fontId="0" fillId="0" borderId="6" xfId="0" applyBorder="1" applyAlignment="1">
      <alignment vertical="center"/>
    </xf>
    <xf numFmtId="0" fontId="0" fillId="0" borderId="10" xfId="0" applyBorder="1" applyAlignment="1">
      <alignment wrapText="1"/>
    </xf>
    <xf numFmtId="0" fontId="0" fillId="0" borderId="30" xfId="0" applyBorder="1" applyAlignment="1">
      <alignment horizontal="left" vertical="center" wrapText="1"/>
    </xf>
    <xf numFmtId="9" fontId="0" fillId="0" borderId="41" xfId="0" applyNumberFormat="1" applyBorder="1" applyAlignment="1">
      <alignment horizontal="center"/>
    </xf>
    <xf numFmtId="9" fontId="0" fillId="0" borderId="13" xfId="0" applyNumberFormat="1" applyBorder="1" applyAlignment="1">
      <alignment horizontal="center"/>
    </xf>
    <xf numFmtId="9" fontId="0" fillId="0" borderId="43" xfId="0" applyNumberFormat="1" applyBorder="1" applyAlignment="1">
      <alignment horizontal="center"/>
    </xf>
    <xf numFmtId="0" fontId="0" fillId="2" borderId="51" xfId="0" applyFill="1" applyBorder="1" applyAlignment="1">
      <alignment horizontal="center"/>
    </xf>
    <xf numFmtId="4" fontId="0" fillId="3" borderId="3" xfId="0" applyNumberFormat="1" applyFill="1" applyBorder="1" applyAlignment="1">
      <alignment horizontal="center"/>
    </xf>
    <xf numFmtId="0" fontId="0" fillId="0" borderId="52" xfId="0" applyBorder="1"/>
    <xf numFmtId="9" fontId="0" fillId="10" borderId="0" xfId="0" applyNumberFormat="1" applyFill="1" applyAlignment="1">
      <alignment horizontal="center"/>
    </xf>
    <xf numFmtId="165" fontId="0" fillId="10" borderId="0" xfId="2" applyNumberFormat="1" applyFont="1" applyFill="1" applyBorder="1" applyAlignment="1">
      <alignment horizontal="center"/>
    </xf>
    <xf numFmtId="0" fontId="17" fillId="10" borderId="0" xfId="0" applyFont="1" applyFill="1"/>
    <xf numFmtId="0" fontId="0" fillId="10" borderId="0" xfId="0" applyFill="1" applyAlignment="1">
      <alignment horizontal="center"/>
    </xf>
    <xf numFmtId="3" fontId="0" fillId="0" borderId="0" xfId="0" applyNumberFormat="1" applyAlignment="1">
      <alignment horizontal="right"/>
    </xf>
    <xf numFmtId="0" fontId="11" fillId="0" borderId="0" xfId="0" applyFont="1" applyAlignment="1">
      <alignment wrapText="1"/>
    </xf>
    <xf numFmtId="0" fontId="0" fillId="0" borderId="13" xfId="0" applyBorder="1" applyAlignment="1">
      <alignment horizontal="left" wrapText="1"/>
    </xf>
    <xf numFmtId="0" fontId="0" fillId="10" borderId="0" xfId="0" applyFill="1" applyAlignment="1">
      <alignment vertical="center"/>
    </xf>
    <xf numFmtId="3" fontId="0" fillId="10" borderId="0" xfId="0" applyNumberFormat="1" applyFill="1"/>
    <xf numFmtId="3" fontId="0" fillId="10" borderId="0" xfId="0" applyNumberFormat="1" applyFill="1" applyAlignment="1">
      <alignment horizontal="center"/>
    </xf>
    <xf numFmtId="0" fontId="16" fillId="0" borderId="0" xfId="0" applyFont="1"/>
    <xf numFmtId="0" fontId="9" fillId="10" borderId="0" xfId="0" applyFont="1" applyFill="1"/>
    <xf numFmtId="2" fontId="0" fillId="0" borderId="42" xfId="0" applyNumberFormat="1" applyBorder="1" applyAlignment="1">
      <alignment horizontal="center"/>
    </xf>
    <xf numFmtId="0" fontId="9" fillId="0" borderId="0" xfId="0" applyFont="1"/>
    <xf numFmtId="0" fontId="0" fillId="0" borderId="22" xfId="0" applyBorder="1" applyAlignment="1">
      <alignment horizontal="left" vertical="center"/>
    </xf>
    <xf numFmtId="0" fontId="17" fillId="0" borderId="18" xfId="0" applyFont="1" applyBorder="1"/>
    <xf numFmtId="0" fontId="0" fillId="3" borderId="16" xfId="0" applyFill="1" applyBorder="1" applyAlignment="1">
      <alignment horizontal="right"/>
    </xf>
    <xf numFmtId="0" fontId="0" fillId="3" borderId="16" xfId="0" applyFill="1" applyBorder="1" applyAlignment="1">
      <alignment horizontal="right" vertical="center"/>
    </xf>
    <xf numFmtId="0" fontId="0" fillId="3" borderId="17" xfId="0" applyFill="1" applyBorder="1" applyAlignment="1">
      <alignment horizontal="right"/>
    </xf>
    <xf numFmtId="9" fontId="0" fillId="3" borderId="30" xfId="0" applyNumberFormat="1" applyFill="1" applyBorder="1"/>
    <xf numFmtId="0" fontId="0" fillId="3" borderId="0" xfId="0" applyFill="1"/>
    <xf numFmtId="3" fontId="0" fillId="3" borderId="0" xfId="0" applyNumberFormat="1" applyFill="1" applyAlignment="1">
      <alignment horizontal="right" vertical="center"/>
    </xf>
    <xf numFmtId="0" fontId="0" fillId="3" borderId="23" xfId="0" applyFill="1" applyBorder="1" applyAlignment="1">
      <alignment horizontal="right"/>
    </xf>
    <xf numFmtId="0" fontId="0" fillId="2" borderId="16" xfId="0" applyFill="1" applyBorder="1" applyAlignment="1">
      <alignment horizontal="left"/>
    </xf>
    <xf numFmtId="0" fontId="0" fillId="0" borderId="21" xfId="0" applyBorder="1" applyAlignment="1">
      <alignment horizontal="left"/>
    </xf>
    <xf numFmtId="0" fontId="11" fillId="0" borderId="21" xfId="0" applyFont="1" applyBorder="1" applyAlignment="1">
      <alignment horizontal="left"/>
    </xf>
    <xf numFmtId="3" fontId="0" fillId="2" borderId="38" xfId="0" applyNumberFormat="1" applyFill="1" applyBorder="1" applyAlignment="1">
      <alignment horizontal="center"/>
    </xf>
    <xf numFmtId="0" fontId="0" fillId="2" borderId="21" xfId="0" applyFill="1" applyBorder="1"/>
    <xf numFmtId="3" fontId="0" fillId="2" borderId="20" xfId="0" applyNumberFormat="1" applyFill="1" applyBorder="1" applyAlignment="1">
      <alignment horizontal="center"/>
    </xf>
    <xf numFmtId="0" fontId="0" fillId="2" borderId="38" xfId="0" applyFill="1" applyBorder="1" applyAlignment="1">
      <alignment horizontal="center"/>
    </xf>
    <xf numFmtId="3" fontId="0" fillId="0" borderId="38" xfId="0" applyNumberFormat="1" applyBorder="1" applyAlignment="1">
      <alignment horizontal="center"/>
    </xf>
    <xf numFmtId="0" fontId="0" fillId="2" borderId="43" xfId="0" applyFill="1" applyBorder="1" applyAlignment="1">
      <alignment horizontal="center"/>
    </xf>
    <xf numFmtId="9" fontId="0" fillId="2" borderId="42" xfId="0" applyNumberFormat="1" applyFill="1" applyBorder="1" applyAlignment="1">
      <alignment horizontal="center"/>
    </xf>
    <xf numFmtId="3" fontId="0" fillId="0" borderId="21" xfId="0" applyNumberFormat="1" applyBorder="1" applyAlignment="1">
      <alignment horizontal="center"/>
    </xf>
    <xf numFmtId="0" fontId="0" fillId="0" borderId="54" xfId="0" applyBorder="1" applyAlignment="1">
      <alignment horizontal="left"/>
    </xf>
    <xf numFmtId="0" fontId="17" fillId="0" borderId="16" xfId="0" applyFont="1" applyBorder="1"/>
    <xf numFmtId="0" fontId="17" fillId="0" borderId="17" xfId="0" applyFont="1" applyBorder="1"/>
    <xf numFmtId="0" fontId="0" fillId="3" borderId="37" xfId="0" applyFill="1" applyBorder="1"/>
    <xf numFmtId="0" fontId="0" fillId="0" borderId="25" xfId="0" applyBorder="1"/>
    <xf numFmtId="0" fontId="0" fillId="0" borderId="55" xfId="0" applyBorder="1"/>
    <xf numFmtId="0" fontId="0" fillId="3" borderId="22" xfId="0" applyFill="1" applyBorder="1" applyAlignment="1">
      <alignment horizontal="center"/>
    </xf>
    <xf numFmtId="0" fontId="0" fillId="3" borderId="33" xfId="0" applyFill="1" applyBorder="1" applyAlignment="1">
      <alignment horizontal="center"/>
    </xf>
    <xf numFmtId="9" fontId="0" fillId="0" borderId="0" xfId="0" applyNumberFormat="1" applyAlignment="1">
      <alignment horizontal="center" wrapText="1"/>
    </xf>
    <xf numFmtId="9" fontId="0" fillId="3" borderId="0" xfId="0" applyNumberFormat="1" applyFill="1"/>
    <xf numFmtId="0" fontId="0" fillId="0" borderId="56" xfId="0" applyBorder="1"/>
    <xf numFmtId="0" fontId="0" fillId="0" borderId="56" xfId="0" applyBorder="1" applyAlignment="1">
      <alignment horizontal="left"/>
    </xf>
    <xf numFmtId="0" fontId="0" fillId="3" borderId="13" xfId="0" applyFill="1" applyBorder="1"/>
    <xf numFmtId="0" fontId="0" fillId="3" borderId="43" xfId="0" applyFill="1" applyBorder="1"/>
    <xf numFmtId="165" fontId="0" fillId="3" borderId="0" xfId="0" applyNumberFormat="1" applyFill="1"/>
    <xf numFmtId="171" fontId="0" fillId="3" borderId="2" xfId="2" applyNumberFormat="1" applyFont="1" applyFill="1" applyBorder="1" applyAlignment="1">
      <alignment horizontal="right"/>
    </xf>
    <xf numFmtId="0" fontId="20" fillId="0" borderId="0" xfId="0" applyFont="1" applyAlignment="1">
      <alignment wrapText="1"/>
    </xf>
    <xf numFmtId="0" fontId="10" fillId="0" borderId="0" xfId="0" applyFont="1" applyAlignment="1">
      <alignment horizontal="left" wrapText="1"/>
    </xf>
    <xf numFmtId="0" fontId="10" fillId="0" borderId="0" xfId="0" applyFont="1" applyAlignment="1">
      <alignment horizontal="left" vertical="top" wrapText="1"/>
    </xf>
    <xf numFmtId="0" fontId="9" fillId="0" borderId="8" xfId="0" applyFont="1" applyBorder="1" applyAlignment="1">
      <alignment horizontal="left"/>
    </xf>
    <xf numFmtId="0" fontId="9" fillId="0" borderId="11" xfId="0" applyFont="1" applyBorder="1" applyAlignment="1">
      <alignment horizontal="left"/>
    </xf>
    <xf numFmtId="0" fontId="9" fillId="0" borderId="6" xfId="0" applyFont="1" applyBorder="1" applyAlignment="1">
      <alignment horizontal="left"/>
    </xf>
    <xf numFmtId="0" fontId="9" fillId="0" borderId="7" xfId="0" applyFont="1" applyBorder="1" applyAlignment="1">
      <alignment horizontal="left"/>
    </xf>
    <xf numFmtId="0" fontId="10" fillId="0" borderId="8" xfId="0" applyFont="1" applyBorder="1" applyAlignment="1">
      <alignment horizontal="left" vertical="top" wrapText="1"/>
    </xf>
    <xf numFmtId="0" fontId="10" fillId="0" borderId="12" xfId="0" applyFont="1" applyBorder="1" applyAlignment="1">
      <alignment horizontal="left" vertical="top" wrapText="1"/>
    </xf>
    <xf numFmtId="0" fontId="10" fillId="0" borderId="9" xfId="0" applyFont="1" applyBorder="1" applyAlignment="1">
      <alignment horizontal="left" vertical="top" wrapText="1"/>
    </xf>
    <xf numFmtId="0" fontId="10" fillId="0" borderId="13" xfId="0" applyFont="1" applyBorder="1" applyAlignment="1">
      <alignment horizontal="left" vertical="top" wrapText="1"/>
    </xf>
    <xf numFmtId="0" fontId="10" fillId="0" borderId="10" xfId="0" applyFont="1" applyBorder="1" applyAlignment="1">
      <alignment horizontal="left" vertical="top" wrapText="1"/>
    </xf>
    <xf numFmtId="0" fontId="10" fillId="0" borderId="14" xfId="0" applyFont="1" applyBorder="1" applyAlignment="1">
      <alignment horizontal="left" vertical="top" wrapText="1"/>
    </xf>
    <xf numFmtId="0" fontId="0" fillId="2" borderId="11" xfId="0" applyFill="1" applyBorder="1" applyAlignment="1">
      <alignment horizontal="center" vertical="center" wrapText="1"/>
    </xf>
    <xf numFmtId="0" fontId="0" fillId="2" borderId="12" xfId="0" applyFill="1" applyBorder="1" applyAlignment="1">
      <alignment horizontal="center" vertical="center" wrapText="1"/>
    </xf>
    <xf numFmtId="0" fontId="0" fillId="2" borderId="0" xfId="0" applyFill="1" applyAlignment="1">
      <alignment horizontal="center" vertical="center" wrapText="1"/>
    </xf>
    <xf numFmtId="0" fontId="0" fillId="2" borderId="13" xfId="0" applyFill="1" applyBorder="1" applyAlignment="1">
      <alignment horizontal="center" vertical="center" wrapText="1"/>
    </xf>
    <xf numFmtId="0" fontId="0" fillId="6" borderId="8" xfId="0" applyFill="1" applyBorder="1" applyAlignment="1">
      <alignment horizontal="center" vertical="center" wrapText="1"/>
    </xf>
    <xf numFmtId="0" fontId="0" fillId="6" borderId="11" xfId="0" applyFill="1" applyBorder="1" applyAlignment="1">
      <alignment horizontal="center" vertical="center" wrapText="1"/>
    </xf>
    <xf numFmtId="0" fontId="0" fillId="6" borderId="12" xfId="0" applyFill="1" applyBorder="1" applyAlignment="1">
      <alignment horizontal="center" vertical="center" wrapText="1"/>
    </xf>
    <xf numFmtId="0" fontId="0" fillId="6" borderId="10" xfId="0" applyFill="1" applyBorder="1" applyAlignment="1">
      <alignment horizontal="center" vertical="center" wrapText="1"/>
    </xf>
    <xf numFmtId="0" fontId="0" fillId="6" borderId="14" xfId="0" applyFill="1" applyBorder="1" applyAlignment="1">
      <alignment horizontal="center" vertical="center" wrapText="1"/>
    </xf>
    <xf numFmtId="0" fontId="0" fillId="6" borderId="15" xfId="0" applyFill="1" applyBorder="1" applyAlignment="1">
      <alignment horizontal="center" vertical="center" wrapText="1"/>
    </xf>
    <xf numFmtId="0" fontId="0" fillId="0" borderId="18" xfId="0" applyBorder="1" applyAlignment="1">
      <alignment horizontal="left" vertical="top" wrapText="1"/>
    </xf>
    <xf numFmtId="0" fontId="0" fillId="0" borderId="19" xfId="0" applyBorder="1" applyAlignment="1">
      <alignment horizontal="left" vertical="top" wrapText="1"/>
    </xf>
    <xf numFmtId="0" fontId="0" fillId="0" borderId="29" xfId="0" applyBorder="1" applyAlignment="1">
      <alignment horizontal="left" vertical="top" wrapText="1"/>
    </xf>
    <xf numFmtId="0" fontId="0" fillId="0" borderId="22" xfId="0" applyBorder="1" applyAlignment="1">
      <alignment horizontal="left" vertical="top" wrapText="1"/>
    </xf>
    <xf numFmtId="0" fontId="0" fillId="0" borderId="0" xfId="0" applyAlignment="1">
      <alignment horizontal="left" vertical="top" wrapText="1"/>
    </xf>
    <xf numFmtId="0" fontId="0" fillId="0" borderId="30" xfId="0" applyBorder="1" applyAlignment="1">
      <alignment horizontal="left" vertical="top" wrapText="1"/>
    </xf>
    <xf numFmtId="0" fontId="0" fillId="0" borderId="20" xfId="0" applyBorder="1" applyAlignment="1">
      <alignment horizontal="left" vertical="top" wrapText="1"/>
    </xf>
    <xf numFmtId="0" fontId="0" fillId="0" borderId="21" xfId="0" applyBorder="1" applyAlignment="1">
      <alignment horizontal="left" vertical="top" wrapText="1"/>
    </xf>
    <xf numFmtId="0" fontId="0" fillId="0" borderId="38" xfId="0" applyBorder="1" applyAlignment="1">
      <alignment horizontal="left" vertical="top" wrapText="1"/>
    </xf>
    <xf numFmtId="0" fontId="5" fillId="0" borderId="0" xfId="0" applyFont="1" applyAlignment="1">
      <alignment horizontal="center" vertical="center"/>
    </xf>
    <xf numFmtId="0" fontId="11" fillId="0" borderId="5" xfId="0" applyFont="1" applyBorder="1" applyAlignment="1">
      <alignment horizontal="left"/>
    </xf>
    <xf numFmtId="0" fontId="11" fillId="0" borderId="11" xfId="0" applyFont="1" applyBorder="1" applyAlignment="1">
      <alignment horizontal="left"/>
    </xf>
    <xf numFmtId="0" fontId="11" fillId="0" borderId="12" xfId="0" applyFont="1" applyBorder="1" applyAlignment="1">
      <alignment horizontal="left"/>
    </xf>
    <xf numFmtId="0" fontId="11" fillId="0" borderId="9" xfId="0" applyFont="1" applyBorder="1" applyAlignment="1">
      <alignment horizontal="left"/>
    </xf>
    <xf numFmtId="0" fontId="11" fillId="0" borderId="0" xfId="0" applyFont="1" applyAlignment="1">
      <alignment horizontal="left"/>
    </xf>
    <xf numFmtId="0" fontId="11" fillId="0" borderId="13" xfId="0" applyFont="1" applyBorder="1" applyAlignment="1">
      <alignment horizontal="left"/>
    </xf>
    <xf numFmtId="0" fontId="16" fillId="0" borderId="5" xfId="0" applyFont="1" applyBorder="1" applyAlignment="1">
      <alignment horizontal="left" wrapText="1"/>
    </xf>
    <xf numFmtId="0" fontId="16" fillId="0" borderId="6" xfId="0" applyFont="1" applyBorder="1" applyAlignment="1">
      <alignment horizontal="left" wrapText="1"/>
    </xf>
    <xf numFmtId="0" fontId="16" fillId="0" borderId="12" xfId="0" applyFont="1" applyBorder="1" applyAlignment="1">
      <alignment horizontal="left" wrapText="1"/>
    </xf>
    <xf numFmtId="0" fontId="16" fillId="0" borderId="15" xfId="0" applyFont="1" applyBorder="1" applyAlignment="1">
      <alignment horizontal="left"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18" xfId="0" applyBorder="1" applyAlignment="1">
      <alignment horizontal="center" vertical="center"/>
    </xf>
    <xf numFmtId="0" fontId="0" fillId="0" borderId="29" xfId="0" applyBorder="1" applyAlignment="1">
      <alignment horizontal="center" vertical="center"/>
    </xf>
    <xf numFmtId="0" fontId="0" fillId="0" borderId="22" xfId="0" applyBorder="1" applyAlignment="1">
      <alignment horizontal="center" vertical="center"/>
    </xf>
    <xf numFmtId="0" fontId="0" fillId="0" borderId="30" xfId="0" applyBorder="1" applyAlignment="1">
      <alignment horizontal="center" vertical="center"/>
    </xf>
    <xf numFmtId="0" fontId="0" fillId="0" borderId="20" xfId="0" applyBorder="1" applyAlignment="1">
      <alignment horizontal="center" vertical="center"/>
    </xf>
    <xf numFmtId="0" fontId="0" fillId="0" borderId="38" xfId="0" applyBorder="1" applyAlignment="1">
      <alignment horizontal="center" vertical="center"/>
    </xf>
    <xf numFmtId="0" fontId="0" fillId="0" borderId="22" xfId="0" applyBorder="1" applyAlignment="1">
      <alignment horizontal="center"/>
    </xf>
    <xf numFmtId="0" fontId="0" fillId="0" borderId="30" xfId="0" applyBorder="1" applyAlignment="1">
      <alignment horizontal="center"/>
    </xf>
    <xf numFmtId="0" fontId="0" fillId="0" borderId="1" xfId="0" applyBorder="1" applyAlignment="1">
      <alignment horizontal="center" vertical="center" wrapText="1"/>
    </xf>
    <xf numFmtId="0" fontId="0" fillId="0" borderId="18" xfId="0" applyBorder="1" applyAlignment="1">
      <alignment horizontal="center"/>
    </xf>
    <xf numFmtId="0" fontId="0" fillId="0" borderId="41" xfId="0" applyBorder="1" applyAlignment="1">
      <alignment horizontal="center"/>
    </xf>
    <xf numFmtId="0" fontId="0" fillId="0" borderId="13" xfId="0" applyBorder="1" applyAlignment="1">
      <alignment horizontal="center"/>
    </xf>
    <xf numFmtId="0" fontId="0" fillId="0" borderId="0" xfId="0" applyAlignment="1">
      <alignment horizontal="center"/>
    </xf>
    <xf numFmtId="0" fontId="0" fillId="0" borderId="5" xfId="0" applyBorder="1" applyAlignment="1">
      <alignment horizontal="center"/>
    </xf>
    <xf numFmtId="0" fontId="0" fillId="0" borderId="6" xfId="0" applyBorder="1" applyAlignment="1">
      <alignment horizontal="center"/>
    </xf>
    <xf numFmtId="0" fontId="0" fillId="0" borderId="7" xfId="0" applyBorder="1" applyAlignment="1">
      <alignment horizontal="center"/>
    </xf>
    <xf numFmtId="0" fontId="0" fillId="10" borderId="0" xfId="0" applyFill="1" applyAlignment="1">
      <alignment horizontal="left"/>
    </xf>
    <xf numFmtId="0" fontId="0" fillId="0" borderId="1" xfId="0" applyBorder="1" applyAlignment="1">
      <alignment horizontal="center" vertical="center"/>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0" fillId="0" borderId="26" xfId="0" applyBorder="1" applyAlignment="1">
      <alignment horizontal="left"/>
    </xf>
    <xf numFmtId="0" fontId="0" fillId="0" borderId="28" xfId="0" applyBorder="1" applyAlignment="1">
      <alignment horizontal="left"/>
    </xf>
    <xf numFmtId="0" fontId="0" fillId="0" borderId="0" xfId="0" applyAlignment="1">
      <alignment horizontal="left"/>
    </xf>
    <xf numFmtId="0" fontId="0" fillId="0" borderId="22" xfId="0" applyBorder="1" applyAlignment="1">
      <alignment horizontal="left" wrapText="1"/>
    </xf>
    <xf numFmtId="0" fontId="0" fillId="0" borderId="26" xfId="0" applyBorder="1" applyAlignment="1">
      <alignment horizontal="center"/>
    </xf>
    <xf numFmtId="0" fontId="0" fillId="0" borderId="27" xfId="0" applyBorder="1" applyAlignment="1">
      <alignment horizontal="center"/>
    </xf>
    <xf numFmtId="0" fontId="0" fillId="0" borderId="28" xfId="0" applyBorder="1" applyAlignment="1">
      <alignment horizontal="center"/>
    </xf>
    <xf numFmtId="3" fontId="0" fillId="2" borderId="5" xfId="0" applyNumberFormat="1" applyFill="1" applyBorder="1" applyAlignment="1">
      <alignment horizontal="center"/>
    </xf>
    <xf numFmtId="3" fontId="0" fillId="2" borderId="7" xfId="0" applyNumberFormat="1" applyFill="1" applyBorder="1" applyAlignment="1">
      <alignment horizontal="center"/>
    </xf>
    <xf numFmtId="0" fontId="0" fillId="0" borderId="8" xfId="0" applyBorder="1" applyAlignment="1">
      <alignment horizontal="center"/>
    </xf>
    <xf numFmtId="0" fontId="0" fillId="0" borderId="11" xfId="0" applyBorder="1" applyAlignment="1">
      <alignment horizontal="center"/>
    </xf>
    <xf numFmtId="9" fontId="20" fillId="0" borderId="22" xfId="0" applyNumberFormat="1" applyFont="1" applyBorder="1" applyAlignment="1">
      <alignment horizontal="left" wrapText="1"/>
    </xf>
    <xf numFmtId="9" fontId="0" fillId="0" borderId="0" xfId="0" applyNumberFormat="1" applyAlignment="1">
      <alignment horizontal="left" wrapText="1"/>
    </xf>
    <xf numFmtId="0" fontId="17" fillId="0" borderId="3" xfId="0" applyFont="1" applyBorder="1" applyAlignment="1">
      <alignment horizontal="center" vertical="center"/>
    </xf>
    <xf numFmtId="0" fontId="0" fillId="0" borderId="5" xfId="0" applyBorder="1" applyAlignment="1">
      <alignment horizontal="left"/>
    </xf>
    <xf numFmtId="0" fontId="0" fillId="0" borderId="6" xfId="0" applyBorder="1" applyAlignment="1">
      <alignment horizontal="left"/>
    </xf>
    <xf numFmtId="0" fontId="0" fillId="0" borderId="7" xfId="0" applyBorder="1" applyAlignment="1">
      <alignment horizontal="left"/>
    </xf>
    <xf numFmtId="0" fontId="0" fillId="0" borderId="53" xfId="0" applyBorder="1" applyAlignment="1">
      <alignment horizontal="left"/>
    </xf>
    <xf numFmtId="0" fontId="0" fillId="0" borderId="27" xfId="0" applyBorder="1" applyAlignment="1">
      <alignment horizontal="left"/>
    </xf>
    <xf numFmtId="0" fontId="0" fillId="0" borderId="16" xfId="0" applyBorder="1" applyAlignment="1">
      <alignment horizontal="left"/>
    </xf>
    <xf numFmtId="0" fontId="0" fillId="0" borderId="22" xfId="0" applyBorder="1" applyAlignment="1">
      <alignment horizontal="left"/>
    </xf>
    <xf numFmtId="0" fontId="0" fillId="0" borderId="17" xfId="0" applyBorder="1" applyAlignment="1">
      <alignment horizontal="left"/>
    </xf>
    <xf numFmtId="0" fontId="0" fillId="0" borderId="20" xfId="0" applyBorder="1" applyAlignment="1">
      <alignment horizontal="left"/>
    </xf>
    <xf numFmtId="0" fontId="0" fillId="0" borderId="30" xfId="0" applyBorder="1" applyAlignment="1">
      <alignment horizontal="left" wrapText="1"/>
    </xf>
    <xf numFmtId="0" fontId="20" fillId="0" borderId="13" xfId="0" applyFont="1" applyBorder="1" applyAlignment="1">
      <alignment horizontal="left" vertical="top" wrapText="1"/>
    </xf>
    <xf numFmtId="0" fontId="0" fillId="0" borderId="13" xfId="0" applyBorder="1" applyAlignment="1">
      <alignment horizontal="left" vertical="top" wrapText="1"/>
    </xf>
    <xf numFmtId="0" fontId="0" fillId="0" borderId="26" xfId="0" applyBorder="1" applyAlignment="1">
      <alignment horizontal="center" vertical="center" wrapText="1"/>
    </xf>
    <xf numFmtId="0" fontId="0" fillId="0" borderId="28" xfId="0" applyBorder="1" applyAlignment="1">
      <alignment horizontal="center" vertical="center" wrapText="1"/>
    </xf>
    <xf numFmtId="0" fontId="0" fillId="0" borderId="33" xfId="0" applyBorder="1" applyAlignment="1">
      <alignment horizontal="center"/>
    </xf>
    <xf numFmtId="0" fontId="0" fillId="0" borderId="34" xfId="0" applyBorder="1" applyAlignment="1">
      <alignment horizontal="center"/>
    </xf>
    <xf numFmtId="0" fontId="0" fillId="0" borderId="45" xfId="0" applyBorder="1" applyAlignment="1">
      <alignment horizontal="center"/>
    </xf>
    <xf numFmtId="0" fontId="0" fillId="0" borderId="46" xfId="0" applyBorder="1" applyAlignment="1">
      <alignment horizontal="center"/>
    </xf>
    <xf numFmtId="0" fontId="0" fillId="0" borderId="47" xfId="0" applyBorder="1" applyAlignment="1">
      <alignment horizontal="center"/>
    </xf>
    <xf numFmtId="0" fontId="0" fillId="0" borderId="13" xfId="0" applyBorder="1" applyAlignment="1">
      <alignment vertical="top" wrapText="1"/>
    </xf>
    <xf numFmtId="0" fontId="17" fillId="0" borderId="13" xfId="0" applyFont="1" applyBorder="1" applyAlignment="1">
      <alignment horizontal="left" wrapText="1"/>
    </xf>
    <xf numFmtId="0" fontId="0" fillId="0" borderId="0" xfId="0" applyAlignment="1">
      <alignment horizontal="left" vertical="center" wrapText="1"/>
    </xf>
    <xf numFmtId="0" fontId="0" fillId="0" borderId="23" xfId="0" applyBorder="1" applyAlignment="1">
      <alignment horizontal="left"/>
    </xf>
    <xf numFmtId="0" fontId="0" fillId="0" borderId="18" xfId="0" applyBorder="1" applyAlignment="1">
      <alignment horizontal="left"/>
    </xf>
    <xf numFmtId="3" fontId="0" fillId="2" borderId="33" xfId="0" applyNumberFormat="1" applyFill="1" applyBorder="1" applyAlignment="1">
      <alignment horizontal="center"/>
    </xf>
    <xf numFmtId="3" fontId="0" fillId="2" borderId="15" xfId="0" applyNumberFormat="1" applyFill="1" applyBorder="1" applyAlignment="1">
      <alignment horizontal="center"/>
    </xf>
    <xf numFmtId="0" fontId="0" fillId="0" borderId="13" xfId="0" applyBorder="1" applyAlignment="1">
      <alignment horizontal="left" wrapText="1"/>
    </xf>
    <xf numFmtId="165" fontId="0" fillId="0" borderId="11" xfId="2" applyNumberFormat="1" applyFont="1" applyFill="1" applyBorder="1" applyAlignment="1">
      <alignment horizontal="center"/>
    </xf>
    <xf numFmtId="0" fontId="0" fillId="0" borderId="12" xfId="0" applyBorder="1" applyAlignment="1">
      <alignment horizontal="center"/>
    </xf>
    <xf numFmtId="9" fontId="0" fillId="0" borderId="5" xfId="0" applyNumberFormat="1" applyBorder="1" applyAlignment="1">
      <alignment horizontal="center"/>
    </xf>
    <xf numFmtId="9" fontId="0" fillId="0" borderId="7" xfId="0" applyNumberFormat="1" applyBorder="1" applyAlignment="1">
      <alignment horizontal="center"/>
    </xf>
    <xf numFmtId="0" fontId="0" fillId="0" borderId="29" xfId="0" applyBorder="1" applyAlignment="1">
      <alignment horizontal="center"/>
    </xf>
    <xf numFmtId="0" fontId="0" fillId="0" borderId="0" xfId="0" applyAlignment="1">
      <alignment horizontal="center" vertical="top" wrapText="1"/>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5" xfId="0" applyBorder="1" applyAlignment="1">
      <alignment horizontal="center" vertical="center"/>
    </xf>
    <xf numFmtId="0" fontId="0" fillId="7" borderId="8" xfId="0" applyFill="1" applyBorder="1" applyAlignment="1">
      <alignment horizontal="center" vertical="center"/>
    </xf>
    <xf numFmtId="0" fontId="0" fillId="7" borderId="11" xfId="0" applyFill="1" applyBorder="1" applyAlignment="1">
      <alignment horizontal="center" vertical="center"/>
    </xf>
    <xf numFmtId="0" fontId="0" fillId="7" borderId="12" xfId="0" applyFill="1" applyBorder="1" applyAlignment="1">
      <alignment horizontal="center" vertical="center"/>
    </xf>
    <xf numFmtId="0" fontId="0" fillId="7" borderId="9" xfId="0" applyFill="1" applyBorder="1" applyAlignment="1">
      <alignment horizontal="center" vertical="center"/>
    </xf>
    <xf numFmtId="0" fontId="0" fillId="7" borderId="0" xfId="0" applyFill="1" applyAlignment="1">
      <alignment horizontal="center" vertical="center"/>
    </xf>
    <xf numFmtId="0" fontId="0" fillId="7" borderId="13" xfId="0" applyFill="1" applyBorder="1" applyAlignment="1">
      <alignment horizontal="center" vertical="center"/>
    </xf>
    <xf numFmtId="0" fontId="0" fillId="7" borderId="10" xfId="0" applyFill="1" applyBorder="1" applyAlignment="1">
      <alignment horizontal="center" vertical="center"/>
    </xf>
    <xf numFmtId="0" fontId="0" fillId="7" borderId="14" xfId="0" applyFill="1" applyBorder="1" applyAlignment="1">
      <alignment horizontal="center" vertical="center"/>
    </xf>
    <xf numFmtId="0" fontId="0" fillId="7" borderId="15" xfId="0" applyFill="1" applyBorder="1" applyAlignment="1">
      <alignment horizontal="center" vertical="center"/>
    </xf>
    <xf numFmtId="0" fontId="11" fillId="0" borderId="9" xfId="0" applyFont="1" applyBorder="1" applyAlignment="1"/>
    <xf numFmtId="0" fontId="11" fillId="0" borderId="0" xfId="0" applyFont="1" applyAlignment="1"/>
    <xf numFmtId="0" fontId="11" fillId="0" borderId="13" xfId="0" applyFont="1" applyBorder="1" applyAlignment="1"/>
  </cellXfs>
  <cellStyles count="4">
    <cellStyle name="Hyperlink" xfId="3" builtinId="8"/>
    <cellStyle name="Normal" xfId="0" builtinId="0"/>
    <cellStyle name="Normal 2" xfId="1" xr:uid="{777CC596-19BC-6242-9506-74C06925EEF5}"/>
    <cellStyle name="Percent" xfId="2" builtinId="5"/>
  </cellStyles>
  <dxfs count="0"/>
  <tableStyles count="0" defaultTableStyle="TableStyleMedium2" defaultPivotStyle="PivotStyleLight16"/>
  <colors>
    <mruColors>
      <color rgb="FFBDD7EE"/>
      <color rgb="FFFFE6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504825</xdr:colOff>
      <xdr:row>3</xdr:row>
      <xdr:rowOff>114300</xdr:rowOff>
    </xdr:from>
    <xdr:to>
      <xdr:col>18</xdr:col>
      <xdr:colOff>552450</xdr:colOff>
      <xdr:row>29</xdr:row>
      <xdr:rowOff>190500</xdr:rowOff>
    </xdr:to>
    <xdr:pic>
      <xdr:nvPicPr>
        <xdr:cNvPr id="3" name="Picture 2">
          <a:extLst>
            <a:ext uri="{FF2B5EF4-FFF2-40B4-BE49-F238E27FC236}">
              <a16:creationId xmlns:a16="http://schemas.microsoft.com/office/drawing/2014/main" id="{650FF661-AAF4-4B9B-A4DE-6EC01B8C911F}"/>
            </a:ext>
            <a:ext uri="{147F2762-F138-4A5C-976F-8EAC2B608ADB}">
              <a16:predDERef xmlns:a16="http://schemas.microsoft.com/office/drawing/2014/main" pred="{1DFC0CEC-F518-46FB-954F-AE64FCCE7340}"/>
            </a:ext>
          </a:extLst>
        </xdr:cNvPr>
        <xdr:cNvPicPr>
          <a:picLocks noChangeAspect="1"/>
        </xdr:cNvPicPr>
      </xdr:nvPicPr>
      <xdr:blipFill>
        <a:blip xmlns:r="http://schemas.openxmlformats.org/officeDocument/2006/relationships" r:embed="rId1"/>
        <a:stretch>
          <a:fillRect/>
        </a:stretch>
      </xdr:blipFill>
      <xdr:spPr>
        <a:xfrm>
          <a:off x="6781800" y="1476375"/>
          <a:ext cx="8277225" cy="8315325"/>
        </a:xfrm>
        <a:prstGeom prst="rect">
          <a:avLst/>
        </a:prstGeom>
      </xdr:spPr>
    </xdr:pic>
    <xdr:clientData/>
  </xdr:twoCellAnchor>
  <xdr:twoCellAnchor editAs="oneCell">
    <xdr:from>
      <xdr:col>18</xdr:col>
      <xdr:colOff>469898</xdr:colOff>
      <xdr:row>0</xdr:row>
      <xdr:rowOff>241300</xdr:rowOff>
    </xdr:from>
    <xdr:to>
      <xdr:col>32</xdr:col>
      <xdr:colOff>47624</xdr:colOff>
      <xdr:row>27</xdr:row>
      <xdr:rowOff>65564</xdr:rowOff>
    </xdr:to>
    <xdr:pic>
      <xdr:nvPicPr>
        <xdr:cNvPr id="1107" name="Picture 1">
          <a:extLst>
            <a:ext uri="{FF2B5EF4-FFF2-40B4-BE49-F238E27FC236}">
              <a16:creationId xmlns:a16="http://schemas.microsoft.com/office/drawing/2014/main" id="{50DAD45A-89A2-6A60-9D5C-B607F70D6C34}"/>
            </a:ext>
          </a:extLst>
        </xdr:cNvPr>
        <xdr:cNvPicPr>
          <a:picLocks noChangeAspect="1"/>
        </xdr:cNvPicPr>
      </xdr:nvPicPr>
      <xdr:blipFill>
        <a:blip xmlns:r="http://schemas.openxmlformats.org/officeDocument/2006/relationships" r:embed="rId2"/>
        <a:stretch>
          <a:fillRect/>
        </a:stretch>
      </xdr:blipFill>
      <xdr:spPr>
        <a:xfrm>
          <a:off x="14757398" y="241300"/>
          <a:ext cx="12420601" cy="908256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63500</xdr:colOff>
      <xdr:row>14</xdr:row>
      <xdr:rowOff>63500</xdr:rowOff>
    </xdr:from>
    <xdr:to>
      <xdr:col>10</xdr:col>
      <xdr:colOff>355600</xdr:colOff>
      <xdr:row>17</xdr:row>
      <xdr:rowOff>177800</xdr:rowOff>
    </xdr:to>
    <xdr:sp macro="" textlink="">
      <xdr:nvSpPr>
        <xdr:cNvPr id="150" name="Process 7">
          <a:extLst>
            <a:ext uri="{FF2B5EF4-FFF2-40B4-BE49-F238E27FC236}">
              <a16:creationId xmlns:a16="http://schemas.microsoft.com/office/drawing/2014/main" id="{5C8DCB83-056E-3C49-B8FF-C0F726BF31BE}"/>
            </a:ext>
          </a:extLst>
        </xdr:cNvPr>
        <xdr:cNvSpPr/>
      </xdr:nvSpPr>
      <xdr:spPr>
        <a:xfrm>
          <a:off x="6273800" y="13741400"/>
          <a:ext cx="3657600" cy="723900"/>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a:t>Do you export off-gas to</a:t>
          </a:r>
          <a:r>
            <a:rPr lang="en-GB" sz="1800" baseline="0"/>
            <a:t> third-party ?</a:t>
          </a:r>
        </a:p>
      </xdr:txBody>
    </xdr:sp>
    <xdr:clientData/>
  </xdr:twoCellAnchor>
  <xdr:twoCellAnchor>
    <xdr:from>
      <xdr:col>2</xdr:col>
      <xdr:colOff>596900</xdr:colOff>
      <xdr:row>31</xdr:row>
      <xdr:rowOff>76200</xdr:rowOff>
    </xdr:from>
    <xdr:to>
      <xdr:col>6</xdr:col>
      <xdr:colOff>368300</xdr:colOff>
      <xdr:row>34</xdr:row>
      <xdr:rowOff>139700</xdr:rowOff>
    </xdr:to>
    <xdr:sp macro="" textlink="">
      <xdr:nvSpPr>
        <xdr:cNvPr id="301" name="Process 24">
          <a:extLst>
            <a:ext uri="{FF2B5EF4-FFF2-40B4-BE49-F238E27FC236}">
              <a16:creationId xmlns:a16="http://schemas.microsoft.com/office/drawing/2014/main" id="{FF4C6905-B5D1-7B44-A863-691C51EFAF70}"/>
            </a:ext>
          </a:extLst>
        </xdr:cNvPr>
        <xdr:cNvSpPr/>
      </xdr:nvSpPr>
      <xdr:spPr>
        <a:xfrm>
          <a:off x="2247900" y="7010400"/>
          <a:ext cx="3073400" cy="673100"/>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a:t>Do you purchase</a:t>
          </a:r>
          <a:r>
            <a:rPr lang="en-GB" sz="1800" baseline="0"/>
            <a:t> all the electricity generated?</a:t>
          </a:r>
        </a:p>
      </xdr:txBody>
    </xdr:sp>
    <xdr:clientData/>
  </xdr:twoCellAnchor>
  <xdr:twoCellAnchor>
    <xdr:from>
      <xdr:col>4</xdr:col>
      <xdr:colOff>533400</xdr:colOff>
      <xdr:row>34</xdr:row>
      <xdr:rowOff>139700</xdr:rowOff>
    </xdr:from>
    <xdr:to>
      <xdr:col>6</xdr:col>
      <xdr:colOff>609600</xdr:colOff>
      <xdr:row>41</xdr:row>
      <xdr:rowOff>101600</xdr:rowOff>
    </xdr:to>
    <xdr:cxnSp macro="">
      <xdr:nvCxnSpPr>
        <xdr:cNvPr id="302" name="Elbow Connector 25">
          <a:extLst>
            <a:ext uri="{FF2B5EF4-FFF2-40B4-BE49-F238E27FC236}">
              <a16:creationId xmlns:a16="http://schemas.microsoft.com/office/drawing/2014/main" id="{6FBEA402-A09E-D648-BF63-EA328211C6E2}"/>
            </a:ext>
          </a:extLst>
        </xdr:cNvPr>
        <xdr:cNvCxnSpPr/>
      </xdr:nvCxnSpPr>
      <xdr:spPr>
        <a:xfrm rot="16200000" flipH="1">
          <a:off x="3943350" y="7575550"/>
          <a:ext cx="1511300" cy="1727200"/>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711200</xdr:colOff>
      <xdr:row>38</xdr:row>
      <xdr:rowOff>12700</xdr:rowOff>
    </xdr:from>
    <xdr:to>
      <xdr:col>4</xdr:col>
      <xdr:colOff>533400</xdr:colOff>
      <xdr:row>41</xdr:row>
      <xdr:rowOff>101600</xdr:rowOff>
    </xdr:to>
    <xdr:cxnSp macro="">
      <xdr:nvCxnSpPr>
        <xdr:cNvPr id="318" name="Elbow Connector 26">
          <a:extLst>
            <a:ext uri="{FF2B5EF4-FFF2-40B4-BE49-F238E27FC236}">
              <a16:creationId xmlns:a16="http://schemas.microsoft.com/office/drawing/2014/main" id="{D9A75298-F3C5-4A47-8FAF-D05F7C5FF2CF}"/>
            </a:ext>
          </a:extLst>
        </xdr:cNvPr>
        <xdr:cNvCxnSpPr/>
      </xdr:nvCxnSpPr>
      <xdr:spPr>
        <a:xfrm rot="10800000" flipV="1">
          <a:off x="2362200" y="8432800"/>
          <a:ext cx="1473200" cy="762000"/>
        </a:xfrm>
        <a:prstGeom prst="bent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544286</xdr:colOff>
      <xdr:row>41</xdr:row>
      <xdr:rowOff>114300</xdr:rowOff>
    </xdr:from>
    <xdr:to>
      <xdr:col>8</xdr:col>
      <xdr:colOff>620486</xdr:colOff>
      <xdr:row>56</xdr:row>
      <xdr:rowOff>92529</xdr:rowOff>
    </xdr:to>
    <xdr:sp macro="" textlink="">
      <xdr:nvSpPr>
        <xdr:cNvPr id="343" name="Process 27">
          <a:extLst>
            <a:ext uri="{FF2B5EF4-FFF2-40B4-BE49-F238E27FC236}">
              <a16:creationId xmlns:a16="http://schemas.microsoft.com/office/drawing/2014/main" id="{D25C2010-15A9-AB49-B181-8B659C9AC3ED}"/>
            </a:ext>
          </a:extLst>
        </xdr:cNvPr>
        <xdr:cNvSpPr/>
      </xdr:nvSpPr>
      <xdr:spPr>
        <a:xfrm>
          <a:off x="3178629" y="9154886"/>
          <a:ext cx="2710543" cy="2999014"/>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baseline="0"/>
            <a:t>Calculate credits in the by-product inventory list for the portion of electricity not consumed by steel producer, use system expansion methodology (off-gas)</a:t>
          </a:r>
        </a:p>
      </xdr:txBody>
    </xdr:sp>
    <xdr:clientData/>
  </xdr:twoCellAnchor>
  <xdr:twoCellAnchor>
    <xdr:from>
      <xdr:col>13</xdr:col>
      <xdr:colOff>584200</xdr:colOff>
      <xdr:row>14</xdr:row>
      <xdr:rowOff>88900</xdr:rowOff>
    </xdr:from>
    <xdr:to>
      <xdr:col>17</xdr:col>
      <xdr:colOff>571500</xdr:colOff>
      <xdr:row>18</xdr:row>
      <xdr:rowOff>152400</xdr:rowOff>
    </xdr:to>
    <xdr:sp macro="" textlink="">
      <xdr:nvSpPr>
        <xdr:cNvPr id="8" name="Process 28">
          <a:extLst>
            <a:ext uri="{FF2B5EF4-FFF2-40B4-BE49-F238E27FC236}">
              <a16:creationId xmlns:a16="http://schemas.microsoft.com/office/drawing/2014/main" id="{44BE0D10-5728-A843-9936-C71646577166}"/>
            </a:ext>
          </a:extLst>
        </xdr:cNvPr>
        <xdr:cNvSpPr/>
      </xdr:nvSpPr>
      <xdr:spPr>
        <a:xfrm>
          <a:off x="12179300" y="13766800"/>
          <a:ext cx="2679700" cy="876300"/>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baseline="0"/>
            <a:t>Do you need to purchase electricity from the grid?</a:t>
          </a:r>
        </a:p>
      </xdr:txBody>
    </xdr:sp>
    <xdr:clientData/>
  </xdr:twoCellAnchor>
  <xdr:twoCellAnchor>
    <xdr:from>
      <xdr:col>1</xdr:col>
      <xdr:colOff>0</xdr:colOff>
      <xdr:row>41</xdr:row>
      <xdr:rowOff>125186</xdr:rowOff>
    </xdr:from>
    <xdr:to>
      <xdr:col>4</xdr:col>
      <xdr:colOff>38100</xdr:colOff>
      <xdr:row>56</xdr:row>
      <xdr:rowOff>59872</xdr:rowOff>
    </xdr:to>
    <xdr:sp macro="" textlink="">
      <xdr:nvSpPr>
        <xdr:cNvPr id="109" name="Process 29">
          <a:extLst>
            <a:ext uri="{FF2B5EF4-FFF2-40B4-BE49-F238E27FC236}">
              <a16:creationId xmlns:a16="http://schemas.microsoft.com/office/drawing/2014/main" id="{0B64F428-1191-4341-BD31-83E8C2C3C922}"/>
            </a:ext>
          </a:extLst>
        </xdr:cNvPr>
        <xdr:cNvSpPr/>
      </xdr:nvSpPr>
      <xdr:spPr>
        <a:xfrm>
          <a:off x="658586" y="9165772"/>
          <a:ext cx="2013857" cy="2955471"/>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baseline="0"/>
            <a:t>Ensure all fossil inputs are accounted for in the inventory and add the net-imported electricity from the grid (either location or market). </a:t>
          </a:r>
        </a:p>
      </xdr:txBody>
    </xdr:sp>
    <xdr:clientData/>
  </xdr:twoCellAnchor>
  <xdr:twoCellAnchor>
    <xdr:from>
      <xdr:col>8</xdr:col>
      <xdr:colOff>520700</xdr:colOff>
      <xdr:row>4</xdr:row>
      <xdr:rowOff>76200</xdr:rowOff>
    </xdr:from>
    <xdr:to>
      <xdr:col>14</xdr:col>
      <xdr:colOff>660400</xdr:colOff>
      <xdr:row>7</xdr:row>
      <xdr:rowOff>101600</xdr:rowOff>
    </xdr:to>
    <xdr:sp macro="" textlink="">
      <xdr:nvSpPr>
        <xdr:cNvPr id="342" name="Process 32">
          <a:extLst>
            <a:ext uri="{FF2B5EF4-FFF2-40B4-BE49-F238E27FC236}">
              <a16:creationId xmlns:a16="http://schemas.microsoft.com/office/drawing/2014/main" id="{9C408A05-91AD-BB4A-ADDD-57CB9D079821}"/>
            </a:ext>
          </a:extLst>
        </xdr:cNvPr>
        <xdr:cNvSpPr/>
      </xdr:nvSpPr>
      <xdr:spPr>
        <a:xfrm>
          <a:off x="8750300" y="11201400"/>
          <a:ext cx="4178300" cy="1028700"/>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baseline="0"/>
            <a:t>Do you export the off-gases? </a:t>
          </a:r>
        </a:p>
      </xdr:txBody>
    </xdr:sp>
    <xdr:clientData/>
  </xdr:twoCellAnchor>
  <xdr:twoCellAnchor>
    <xdr:from>
      <xdr:col>11</xdr:col>
      <xdr:colOff>590550</xdr:colOff>
      <xdr:row>7</xdr:row>
      <xdr:rowOff>101600</xdr:rowOff>
    </xdr:from>
    <xdr:to>
      <xdr:col>15</xdr:col>
      <xdr:colOff>577850</xdr:colOff>
      <xdr:row>14</xdr:row>
      <xdr:rowOff>88900</xdr:rowOff>
    </xdr:to>
    <xdr:cxnSp macro="">
      <xdr:nvCxnSpPr>
        <xdr:cNvPr id="11" name="Elbow Connector 33">
          <a:extLst>
            <a:ext uri="{FF2B5EF4-FFF2-40B4-BE49-F238E27FC236}">
              <a16:creationId xmlns:a16="http://schemas.microsoft.com/office/drawing/2014/main" id="{95F9D194-14AB-1D41-8404-1265645959E2}"/>
            </a:ext>
          </a:extLst>
        </xdr:cNvPr>
        <xdr:cNvCxnSpPr>
          <a:stCxn id="342" idx="2"/>
          <a:endCxn id="8" idx="0"/>
        </xdr:cNvCxnSpPr>
      </xdr:nvCxnSpPr>
      <xdr:spPr>
        <a:xfrm rot="16200000" flipH="1">
          <a:off x="8401050" y="1298575"/>
          <a:ext cx="1536700" cy="2628900"/>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546100</xdr:colOff>
      <xdr:row>10</xdr:row>
      <xdr:rowOff>127000</xdr:rowOff>
    </xdr:from>
    <xdr:to>
      <xdr:col>11</xdr:col>
      <xdr:colOff>596900</xdr:colOff>
      <xdr:row>14</xdr:row>
      <xdr:rowOff>63500</xdr:rowOff>
    </xdr:to>
    <xdr:cxnSp macro="">
      <xdr:nvCxnSpPr>
        <xdr:cNvPr id="305" name="Elbow Connector 34">
          <a:extLst>
            <a:ext uri="{FF2B5EF4-FFF2-40B4-BE49-F238E27FC236}">
              <a16:creationId xmlns:a16="http://schemas.microsoft.com/office/drawing/2014/main" id="{366CCB46-60E4-3B49-8122-C85B37275C47}"/>
            </a:ext>
          </a:extLst>
        </xdr:cNvPr>
        <xdr:cNvCxnSpPr>
          <a:endCxn id="150" idx="0"/>
        </xdr:cNvCxnSpPr>
      </xdr:nvCxnSpPr>
      <xdr:spPr>
        <a:xfrm rot="10800000" flipV="1">
          <a:off x="8102600" y="12992100"/>
          <a:ext cx="2743200" cy="749300"/>
        </a:xfrm>
        <a:prstGeom prst="bentConnector2">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565150</xdr:colOff>
      <xdr:row>18</xdr:row>
      <xdr:rowOff>152400</xdr:rowOff>
    </xdr:from>
    <xdr:to>
      <xdr:col>15</xdr:col>
      <xdr:colOff>577850</xdr:colOff>
      <xdr:row>24</xdr:row>
      <xdr:rowOff>101600</xdr:rowOff>
    </xdr:to>
    <xdr:cxnSp macro="">
      <xdr:nvCxnSpPr>
        <xdr:cNvPr id="13" name="Straight Arrow Connector 42">
          <a:extLst>
            <a:ext uri="{FF2B5EF4-FFF2-40B4-BE49-F238E27FC236}">
              <a16:creationId xmlns:a16="http://schemas.microsoft.com/office/drawing/2014/main" id="{50B8E889-3E74-8442-9D06-1F4DD9408357}"/>
            </a:ext>
          </a:extLst>
        </xdr:cNvPr>
        <xdr:cNvCxnSpPr>
          <a:stCxn id="8" idx="2"/>
          <a:endCxn id="14" idx="0"/>
        </xdr:cNvCxnSpPr>
      </xdr:nvCxnSpPr>
      <xdr:spPr>
        <a:xfrm flipH="1">
          <a:off x="13506450" y="14643100"/>
          <a:ext cx="12700" cy="129540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13</xdr:col>
      <xdr:colOff>584200</xdr:colOff>
      <xdr:row>24</xdr:row>
      <xdr:rowOff>101600</xdr:rowOff>
    </xdr:from>
    <xdr:to>
      <xdr:col>17</xdr:col>
      <xdr:colOff>546100</xdr:colOff>
      <xdr:row>30</xdr:row>
      <xdr:rowOff>177800</xdr:rowOff>
    </xdr:to>
    <xdr:sp macro="" textlink="">
      <xdr:nvSpPr>
        <xdr:cNvPr id="14" name="Process 47">
          <a:extLst>
            <a:ext uri="{FF2B5EF4-FFF2-40B4-BE49-F238E27FC236}">
              <a16:creationId xmlns:a16="http://schemas.microsoft.com/office/drawing/2014/main" id="{1FC21B3F-3E8E-5F47-B57F-B487E1E8D17B}"/>
            </a:ext>
          </a:extLst>
        </xdr:cNvPr>
        <xdr:cNvSpPr/>
      </xdr:nvSpPr>
      <xdr:spPr>
        <a:xfrm>
          <a:off x="12179300" y="15938500"/>
          <a:ext cx="2654300" cy="1295400"/>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baseline="0"/>
            <a:t>Include the related emission as market-based or grid-based in the on-site process inventory list</a:t>
          </a:r>
        </a:p>
      </xdr:txBody>
    </xdr:sp>
    <xdr:clientData/>
  </xdr:twoCellAnchor>
  <xdr:twoCellAnchor>
    <xdr:from>
      <xdr:col>10</xdr:col>
      <xdr:colOff>114300</xdr:colOff>
      <xdr:row>26</xdr:row>
      <xdr:rowOff>164646</xdr:rowOff>
    </xdr:from>
    <xdr:to>
      <xdr:col>10</xdr:col>
      <xdr:colOff>119744</xdr:colOff>
      <xdr:row>31</xdr:row>
      <xdr:rowOff>38100</xdr:rowOff>
    </xdr:to>
    <xdr:cxnSp macro="">
      <xdr:nvCxnSpPr>
        <xdr:cNvPr id="284" name="Straight Arrow Connector 76">
          <a:extLst>
            <a:ext uri="{FF2B5EF4-FFF2-40B4-BE49-F238E27FC236}">
              <a16:creationId xmlns:a16="http://schemas.microsoft.com/office/drawing/2014/main" id="{0C2BB67A-82B9-4848-9005-30640903A92A}"/>
            </a:ext>
          </a:extLst>
        </xdr:cNvPr>
        <xdr:cNvCxnSpPr>
          <a:cxnSpLocks/>
          <a:stCxn id="340" idx="2"/>
          <a:endCxn id="285" idx="0"/>
        </xdr:cNvCxnSpPr>
      </xdr:nvCxnSpPr>
      <xdr:spPr>
        <a:xfrm>
          <a:off x="6700157" y="6053817"/>
          <a:ext cx="5444" cy="880383"/>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125186</xdr:colOff>
      <xdr:row>31</xdr:row>
      <xdr:rowOff>38100</xdr:rowOff>
    </xdr:from>
    <xdr:to>
      <xdr:col>12</xdr:col>
      <xdr:colOff>114300</xdr:colOff>
      <xdr:row>39</xdr:row>
      <xdr:rowOff>76200</xdr:rowOff>
    </xdr:to>
    <xdr:sp macro="" textlink="">
      <xdr:nvSpPr>
        <xdr:cNvPr id="285" name="Process 78">
          <a:extLst>
            <a:ext uri="{FF2B5EF4-FFF2-40B4-BE49-F238E27FC236}">
              <a16:creationId xmlns:a16="http://schemas.microsoft.com/office/drawing/2014/main" id="{0ADD144F-7BF2-F545-A9C2-C007815285DE}"/>
            </a:ext>
          </a:extLst>
        </xdr:cNvPr>
        <xdr:cNvSpPr/>
      </xdr:nvSpPr>
      <xdr:spPr>
        <a:xfrm>
          <a:off x="5393872" y="6934200"/>
          <a:ext cx="2623457" cy="1714500"/>
        </a:xfrm>
        <a:prstGeom prst="flowChart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baseline="0"/>
            <a:t>Calculate credits in the by-product inventory list using system expansion methodology for non-electricity products. </a:t>
          </a:r>
        </a:p>
      </xdr:txBody>
    </xdr:sp>
    <xdr:clientData/>
  </xdr:twoCellAnchor>
  <xdr:twoCellAnchor>
    <xdr:from>
      <xdr:col>3</xdr:col>
      <xdr:colOff>381000</xdr:colOff>
      <xdr:row>22</xdr:row>
      <xdr:rowOff>12700</xdr:rowOff>
    </xdr:from>
    <xdr:to>
      <xdr:col>5</xdr:col>
      <xdr:colOff>558800</xdr:colOff>
      <xdr:row>25</xdr:row>
      <xdr:rowOff>127000</xdr:rowOff>
    </xdr:to>
    <xdr:sp macro="" textlink="">
      <xdr:nvSpPr>
        <xdr:cNvPr id="291" name="Alternative Process 102">
          <a:extLst>
            <a:ext uri="{FF2B5EF4-FFF2-40B4-BE49-F238E27FC236}">
              <a16:creationId xmlns:a16="http://schemas.microsoft.com/office/drawing/2014/main" id="{7697ABFD-94E2-232B-6668-DEBDFE86536C}"/>
            </a:ext>
          </a:extLst>
        </xdr:cNvPr>
        <xdr:cNvSpPr/>
      </xdr:nvSpPr>
      <xdr:spPr>
        <a:xfrm>
          <a:off x="2857500" y="5054600"/>
          <a:ext cx="1828800" cy="787400"/>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a:t>To</a:t>
          </a:r>
          <a:r>
            <a:rPr lang="en-GB" sz="1800" baseline="0"/>
            <a:t> generate electricity</a:t>
          </a:r>
          <a:endParaRPr lang="en-GB" sz="1800"/>
        </a:p>
      </xdr:txBody>
    </xdr:sp>
    <xdr:clientData/>
  </xdr:twoCellAnchor>
  <xdr:twoCellAnchor>
    <xdr:from>
      <xdr:col>9</xdr:col>
      <xdr:colOff>25853</xdr:colOff>
      <xdr:row>21</xdr:row>
      <xdr:rowOff>201384</xdr:rowOff>
    </xdr:from>
    <xdr:to>
      <xdr:col>11</xdr:col>
      <xdr:colOff>202747</xdr:colOff>
      <xdr:row>26</xdr:row>
      <xdr:rowOff>163285</xdr:rowOff>
    </xdr:to>
    <xdr:sp macro="" textlink="">
      <xdr:nvSpPr>
        <xdr:cNvPr id="340" name="Alternative Process 103">
          <a:extLst>
            <a:ext uri="{FF2B5EF4-FFF2-40B4-BE49-F238E27FC236}">
              <a16:creationId xmlns:a16="http://schemas.microsoft.com/office/drawing/2014/main" id="{00AEE52B-59EF-0945-8607-3C3453379F60}"/>
            </a:ext>
          </a:extLst>
        </xdr:cNvPr>
        <xdr:cNvSpPr/>
      </xdr:nvSpPr>
      <xdr:spPr>
        <a:xfrm>
          <a:off x="5953124" y="5018313"/>
          <a:ext cx="1494066" cy="1034143"/>
        </a:xfrm>
        <a:prstGeom prst="flowChartAlternateProcess">
          <a:avLst/>
        </a:prstGeom>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r>
            <a:rPr lang="en-GB" sz="1800"/>
            <a:t>For</a:t>
          </a:r>
          <a:r>
            <a:rPr lang="en-GB" sz="1800" baseline="0"/>
            <a:t> heat, steam and etc.</a:t>
          </a:r>
          <a:endParaRPr lang="en-GB" sz="1800"/>
        </a:p>
      </xdr:txBody>
    </xdr:sp>
    <xdr:clientData/>
  </xdr:twoCellAnchor>
  <xdr:twoCellAnchor>
    <xdr:from>
      <xdr:col>4</xdr:col>
      <xdr:colOff>469900</xdr:colOff>
      <xdr:row>17</xdr:row>
      <xdr:rowOff>177800</xdr:rowOff>
    </xdr:from>
    <xdr:to>
      <xdr:col>7</xdr:col>
      <xdr:colOff>622300</xdr:colOff>
      <xdr:row>22</xdr:row>
      <xdr:rowOff>12700</xdr:rowOff>
    </xdr:to>
    <xdr:cxnSp macro="">
      <xdr:nvCxnSpPr>
        <xdr:cNvPr id="317" name="Elbow Connector 109">
          <a:extLst>
            <a:ext uri="{FF2B5EF4-FFF2-40B4-BE49-F238E27FC236}">
              <a16:creationId xmlns:a16="http://schemas.microsoft.com/office/drawing/2014/main" id="{A94D09AF-96D5-377E-A7D7-9D458694547A}"/>
            </a:ext>
          </a:extLst>
        </xdr:cNvPr>
        <xdr:cNvCxnSpPr>
          <a:stCxn id="150" idx="2"/>
          <a:endCxn id="291" idx="0"/>
        </xdr:cNvCxnSpPr>
      </xdr:nvCxnSpPr>
      <xdr:spPr>
        <a:xfrm flipH="1">
          <a:off x="3111500" y="4079875"/>
          <a:ext cx="2133600" cy="977900"/>
        </a:xfrm>
        <a:prstGeom prst="bentConnector3">
          <a:avLst>
            <a:gd name="adj1" fmla="val -10714"/>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538843</xdr:colOff>
      <xdr:row>17</xdr:row>
      <xdr:rowOff>179614</xdr:rowOff>
    </xdr:from>
    <xdr:to>
      <xdr:col>10</xdr:col>
      <xdr:colOff>114300</xdr:colOff>
      <xdr:row>21</xdr:row>
      <xdr:rowOff>201384</xdr:rowOff>
    </xdr:to>
    <xdr:cxnSp macro="">
      <xdr:nvCxnSpPr>
        <xdr:cNvPr id="309" name="Elbow Connector 111">
          <a:extLst>
            <a:ext uri="{FF2B5EF4-FFF2-40B4-BE49-F238E27FC236}">
              <a16:creationId xmlns:a16="http://schemas.microsoft.com/office/drawing/2014/main" id="{831922DC-6176-4DDD-FAB6-5E90B301AA0E}"/>
            </a:ext>
          </a:extLst>
        </xdr:cNvPr>
        <xdr:cNvCxnSpPr>
          <a:stCxn id="150" idx="2"/>
          <a:endCxn id="340" idx="0"/>
        </xdr:cNvCxnSpPr>
      </xdr:nvCxnSpPr>
      <xdr:spPr>
        <a:xfrm rot="16200000" flipH="1">
          <a:off x="5445579" y="3763735"/>
          <a:ext cx="957942" cy="1551214"/>
        </a:xfrm>
        <a:prstGeom prst="bentConnector3">
          <a:avLst>
            <a:gd name="adj1" fmla="val 50000"/>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469900</xdr:colOff>
      <xdr:row>25</xdr:row>
      <xdr:rowOff>127000</xdr:rowOff>
    </xdr:from>
    <xdr:to>
      <xdr:col>4</xdr:col>
      <xdr:colOff>482600</xdr:colOff>
      <xdr:row>31</xdr:row>
      <xdr:rowOff>76200</xdr:rowOff>
    </xdr:to>
    <xdr:cxnSp macro="">
      <xdr:nvCxnSpPr>
        <xdr:cNvPr id="322" name="Straight Arrow Connector 117">
          <a:extLst>
            <a:ext uri="{FF2B5EF4-FFF2-40B4-BE49-F238E27FC236}">
              <a16:creationId xmlns:a16="http://schemas.microsoft.com/office/drawing/2014/main" id="{4557AD63-9A30-C26E-2E3F-18302A932DA3}"/>
            </a:ext>
          </a:extLst>
        </xdr:cNvPr>
        <xdr:cNvCxnSpPr>
          <a:stCxn id="291" idx="2"/>
          <a:endCxn id="301" idx="0"/>
        </xdr:cNvCxnSpPr>
      </xdr:nvCxnSpPr>
      <xdr:spPr>
        <a:xfrm>
          <a:off x="3111500" y="5845175"/>
          <a:ext cx="12700" cy="1168400"/>
        </a:xfrm>
        <a:prstGeom prst="straightConnector1">
          <a:avLst/>
        </a:prstGeom>
        <a:ln w="19050">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hyperlink" Target="https://github.com/RMI/steel-guidance/blob/main/specs/steel_schema.json" TargetMode="External"/><Relationship Id="rId1" Type="http://schemas.openxmlformats.org/officeDocument/2006/relationships/hyperlink" Target="https://github.com/RMI/steel-guidance/blob/main/specs/technical_specification.md" TargetMode="External"/></Relationships>
</file>

<file path=xl/worksheets/_rels/sheet9.xml.rels><?xml version="1.0" encoding="UTF-8" standalone="yes"?>
<Relationships xmlns="http://schemas.openxmlformats.org/package/2006/relationships"><Relationship Id="rId1" Type="http://schemas.openxmlformats.org/officeDocument/2006/relationships/hyperlink" Target="https://www.epa.gov/cmop/coal-mine-methane-units-converter"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D3CC1D-1034-422C-9767-CB7B5E98EE70}">
  <dimension ref="A1:T65"/>
  <sheetViews>
    <sheetView showGridLines="0" tabSelected="1" workbookViewId="0">
      <selection activeCell="A8" sqref="A8"/>
    </sheetView>
  </sheetViews>
  <sheetFormatPr defaultColWidth="8.875" defaultRowHeight="15.95"/>
  <cols>
    <col min="2" max="2" width="37.375" customWidth="1"/>
    <col min="19" max="19" width="53.625" customWidth="1"/>
  </cols>
  <sheetData>
    <row r="1" spans="1:18" ht="24">
      <c r="A1" s="79" t="s">
        <v>0</v>
      </c>
    </row>
    <row r="2" spans="1:18" ht="25.5" customHeight="1">
      <c r="A2" s="385" t="s">
        <v>1</v>
      </c>
      <c r="B2" s="386"/>
      <c r="C2" s="387"/>
      <c r="D2" s="387"/>
      <c r="E2" s="388"/>
      <c r="H2" s="54" t="s">
        <v>2</v>
      </c>
      <c r="K2" s="80"/>
      <c r="L2" s="80"/>
      <c r="M2" s="80"/>
      <c r="N2" s="80"/>
      <c r="O2" s="80"/>
      <c r="P2" s="80"/>
      <c r="Q2" s="80"/>
    </row>
    <row r="3" spans="1:18" ht="58.5" customHeight="1">
      <c r="A3" s="389" t="s">
        <v>3</v>
      </c>
      <c r="B3" s="390"/>
      <c r="C3" s="395" t="s">
        <v>4</v>
      </c>
      <c r="D3" s="395"/>
      <c r="E3" s="396"/>
      <c r="H3" s="384" t="s">
        <v>5</v>
      </c>
      <c r="I3" s="384"/>
      <c r="J3" s="384"/>
      <c r="K3" s="384"/>
      <c r="L3" s="384"/>
      <c r="M3" s="384"/>
      <c r="N3" s="384"/>
      <c r="O3" s="384"/>
      <c r="P3" s="384"/>
      <c r="Q3" s="384"/>
      <c r="R3" s="384"/>
    </row>
    <row r="4" spans="1:18" ht="90.75" customHeight="1">
      <c r="A4" s="391"/>
      <c r="B4" s="392"/>
      <c r="C4" s="397"/>
      <c r="D4" s="397"/>
      <c r="E4" s="398"/>
      <c r="K4" s="80"/>
      <c r="L4" s="80"/>
      <c r="M4" s="80"/>
      <c r="N4" s="80"/>
      <c r="O4" s="80"/>
      <c r="P4" s="80"/>
      <c r="Q4" s="80"/>
    </row>
    <row r="5" spans="1:18" ht="84" customHeight="1">
      <c r="A5" s="391"/>
      <c r="B5" s="384"/>
      <c r="C5" s="399" t="s">
        <v>6</v>
      </c>
      <c r="D5" s="400"/>
      <c r="E5" s="401"/>
      <c r="K5" s="80"/>
      <c r="L5" s="80"/>
      <c r="M5" s="80"/>
      <c r="N5" s="80"/>
      <c r="O5" s="80"/>
      <c r="P5" s="80"/>
      <c r="Q5" s="80"/>
    </row>
    <row r="6" spans="1:18" ht="111" customHeight="1">
      <c r="A6" s="393"/>
      <c r="B6" s="394"/>
      <c r="C6" s="402"/>
      <c r="D6" s="403"/>
      <c r="E6" s="404"/>
    </row>
    <row r="8" spans="1:18" ht="15.95" customHeight="1">
      <c r="A8" s="405" t="s">
        <v>7</v>
      </c>
      <c r="B8" s="406"/>
      <c r="C8" s="406"/>
      <c r="D8" s="406"/>
      <c r="E8" s="407"/>
    </row>
    <row r="9" spans="1:18" ht="15.95" customHeight="1">
      <c r="A9" s="408"/>
      <c r="B9" s="409"/>
      <c r="C9" s="409"/>
      <c r="D9" s="409"/>
      <c r="E9" s="410"/>
    </row>
    <row r="10" spans="1:18" ht="15.95" customHeight="1">
      <c r="A10" s="408"/>
      <c r="B10" s="409"/>
      <c r="C10" s="409"/>
      <c r="D10" s="409"/>
      <c r="E10" s="410"/>
    </row>
    <row r="11" spans="1:18" ht="15.95" customHeight="1">
      <c r="A11" s="408"/>
      <c r="B11" s="409"/>
      <c r="C11" s="409"/>
      <c r="D11" s="409"/>
      <c r="E11" s="410"/>
    </row>
    <row r="12" spans="1:18" ht="15.95" customHeight="1">
      <c r="A12" s="408"/>
      <c r="B12" s="409"/>
      <c r="C12" s="409"/>
      <c r="D12" s="409"/>
      <c r="E12" s="410"/>
    </row>
    <row r="13" spans="1:18" ht="15.95" customHeight="1">
      <c r="A13" s="408"/>
      <c r="B13" s="409"/>
      <c r="C13" s="409"/>
      <c r="D13" s="409"/>
      <c r="E13" s="410"/>
    </row>
    <row r="14" spans="1:18" ht="15.95" customHeight="1">
      <c r="A14" s="408"/>
      <c r="B14" s="409"/>
      <c r="C14" s="409"/>
      <c r="D14" s="409"/>
      <c r="E14" s="410"/>
    </row>
    <row r="15" spans="1:18" ht="15.95" customHeight="1">
      <c r="A15" s="408"/>
      <c r="B15" s="409"/>
      <c r="C15" s="409"/>
      <c r="D15" s="409"/>
      <c r="E15" s="410"/>
    </row>
    <row r="16" spans="1:18" ht="15.95" customHeight="1">
      <c r="A16" s="408"/>
      <c r="B16" s="409"/>
      <c r="C16" s="409"/>
      <c r="D16" s="409"/>
      <c r="E16" s="410"/>
    </row>
    <row r="17" spans="1:8" ht="15.95" customHeight="1">
      <c r="A17" s="408"/>
      <c r="B17" s="409"/>
      <c r="C17" s="409"/>
      <c r="D17" s="409"/>
      <c r="E17" s="410"/>
    </row>
    <row r="18" spans="1:8" ht="15.95" customHeight="1">
      <c r="A18" s="408"/>
      <c r="B18" s="409"/>
      <c r="C18" s="409"/>
      <c r="D18" s="409"/>
      <c r="E18" s="410"/>
    </row>
    <row r="19" spans="1:8" ht="15.95" customHeight="1">
      <c r="A19" s="408"/>
      <c r="B19" s="409"/>
      <c r="C19" s="409"/>
      <c r="D19" s="409"/>
      <c r="E19" s="410"/>
    </row>
    <row r="20" spans="1:8" ht="15.95" customHeight="1">
      <c r="A20" s="408"/>
      <c r="B20" s="409"/>
      <c r="C20" s="409"/>
      <c r="D20" s="409"/>
      <c r="E20" s="410"/>
    </row>
    <row r="21" spans="1:8" ht="15.95" customHeight="1">
      <c r="A21" s="408"/>
      <c r="B21" s="409"/>
      <c r="C21" s="409"/>
      <c r="D21" s="409"/>
      <c r="E21" s="410"/>
    </row>
    <row r="22" spans="1:8" ht="15.95" customHeight="1">
      <c r="A22" s="408"/>
      <c r="B22" s="409"/>
      <c r="C22" s="409"/>
      <c r="D22" s="409"/>
      <c r="E22" s="410"/>
    </row>
    <row r="23" spans="1:8" ht="15.95" customHeight="1">
      <c r="A23" s="408"/>
      <c r="B23" s="409"/>
      <c r="C23" s="409"/>
      <c r="D23" s="409"/>
      <c r="E23" s="410"/>
    </row>
    <row r="24" spans="1:8" ht="15.95" customHeight="1">
      <c r="A24" s="408"/>
      <c r="B24" s="409"/>
      <c r="C24" s="409"/>
      <c r="D24" s="409"/>
      <c r="E24" s="410"/>
    </row>
    <row r="25" spans="1:8" ht="15.95" customHeight="1">
      <c r="A25" s="408"/>
      <c r="B25" s="409"/>
      <c r="C25" s="409"/>
      <c r="D25" s="409"/>
      <c r="E25" s="410"/>
    </row>
    <row r="26" spans="1:8">
      <c r="A26" s="408"/>
      <c r="B26" s="409"/>
      <c r="C26" s="409"/>
      <c r="D26" s="409"/>
      <c r="E26" s="410"/>
    </row>
    <row r="27" spans="1:8" ht="15.95" customHeight="1">
      <c r="A27" s="408"/>
      <c r="B27" s="409"/>
      <c r="C27" s="409"/>
      <c r="D27" s="409"/>
      <c r="E27" s="410"/>
    </row>
    <row r="28" spans="1:8" ht="15.95" customHeight="1">
      <c r="A28" s="408"/>
      <c r="B28" s="409"/>
      <c r="C28" s="409"/>
      <c r="D28" s="409"/>
      <c r="E28" s="410"/>
    </row>
    <row r="29" spans="1:8" ht="15.95" customHeight="1">
      <c r="A29" s="408"/>
      <c r="B29" s="409"/>
      <c r="C29" s="409"/>
      <c r="D29" s="409"/>
      <c r="E29" s="410"/>
    </row>
    <row r="30" spans="1:8" ht="15.95" customHeight="1">
      <c r="A30" s="408"/>
      <c r="B30" s="409"/>
      <c r="C30" s="409"/>
      <c r="D30" s="409"/>
      <c r="E30" s="410"/>
    </row>
    <row r="31" spans="1:8">
      <c r="A31" s="408"/>
      <c r="B31" s="409"/>
      <c r="C31" s="409"/>
      <c r="D31" s="409"/>
      <c r="E31" s="410"/>
    </row>
    <row r="32" spans="1:8" ht="30.95">
      <c r="A32" s="408"/>
      <c r="B32" s="409"/>
      <c r="C32" s="409"/>
      <c r="D32" s="409"/>
      <c r="E32" s="410"/>
      <c r="H32" s="54"/>
    </row>
    <row r="33" spans="1:20" ht="21">
      <c r="A33" s="408"/>
      <c r="B33" s="409"/>
      <c r="C33" s="409"/>
      <c r="D33" s="409"/>
      <c r="E33" s="410"/>
      <c r="H33" s="158"/>
    </row>
    <row r="34" spans="1:20">
      <c r="A34" s="408"/>
      <c r="B34" s="409"/>
      <c r="C34" s="409"/>
      <c r="D34" s="409"/>
      <c r="E34" s="410"/>
    </row>
    <row r="35" spans="1:20">
      <c r="A35" s="408"/>
      <c r="B35" s="409"/>
      <c r="C35" s="409"/>
      <c r="D35" s="409"/>
      <c r="E35" s="410"/>
    </row>
    <row r="36" spans="1:20" ht="42" customHeight="1">
      <c r="A36" s="408"/>
      <c r="B36" s="409"/>
      <c r="C36" s="409"/>
      <c r="D36" s="409"/>
      <c r="E36" s="410"/>
      <c r="Q36" s="383"/>
      <c r="R36" s="383"/>
      <c r="S36" s="383"/>
      <c r="T36" s="383"/>
    </row>
    <row r="37" spans="1:20" ht="21">
      <c r="A37" s="411"/>
      <c r="B37" s="412"/>
      <c r="C37" s="412"/>
      <c r="D37" s="412"/>
      <c r="E37" s="413"/>
      <c r="H37" s="158"/>
      <c r="Q37" s="383"/>
      <c r="R37" s="383"/>
      <c r="S37" s="383"/>
      <c r="T37" s="383"/>
    </row>
    <row r="38" spans="1:20">
      <c r="Q38" s="383"/>
      <c r="R38" s="383"/>
      <c r="S38" s="383"/>
      <c r="T38" s="383"/>
    </row>
    <row r="40" spans="1:20" ht="21">
      <c r="H40" s="158"/>
    </row>
    <row r="41" spans="1:20" ht="21">
      <c r="J41" s="160"/>
      <c r="Q41" s="159"/>
    </row>
    <row r="52" spans="5:18" ht="21">
      <c r="F52" s="159"/>
      <c r="L52" s="159"/>
    </row>
    <row r="55" spans="5:18" ht="21">
      <c r="R55" s="158"/>
    </row>
    <row r="62" spans="5:18" ht="21">
      <c r="E62" s="158"/>
      <c r="G62" s="158"/>
    </row>
    <row r="65" spans="8:8" ht="21">
      <c r="H65" s="158"/>
    </row>
  </sheetData>
  <mergeCells count="7">
    <mergeCell ref="Q36:T38"/>
    <mergeCell ref="H3:R3"/>
    <mergeCell ref="A2:E2"/>
    <mergeCell ref="A3:B6"/>
    <mergeCell ref="C3:E4"/>
    <mergeCell ref="C5:E6"/>
    <mergeCell ref="A8:E37"/>
  </mergeCell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B18B50-BF20-3D4F-A342-4BE0D1C80016}">
  <dimension ref="C2:S41"/>
  <sheetViews>
    <sheetView showGridLines="0" topLeftCell="A15" workbookViewId="0">
      <selection activeCell="O41" sqref="O41"/>
    </sheetView>
  </sheetViews>
  <sheetFormatPr defaultColWidth="8.875" defaultRowHeight="15.95"/>
  <sheetData>
    <row r="2" spans="3:19" ht="21">
      <c r="G2" s="158"/>
    </row>
    <row r="3" spans="3:19" ht="30.95">
      <c r="C3" s="54" t="s">
        <v>631</v>
      </c>
    </row>
    <row r="5" spans="3:19">
      <c r="P5" s="383"/>
      <c r="Q5" s="383"/>
      <c r="R5" s="383"/>
      <c r="S5" s="383"/>
    </row>
    <row r="6" spans="3:19" ht="21">
      <c r="G6" s="158"/>
      <c r="P6" s="383"/>
      <c r="Q6" s="383"/>
      <c r="R6" s="383"/>
      <c r="S6" s="383"/>
    </row>
    <row r="7" spans="3:19">
      <c r="P7" s="383"/>
      <c r="Q7" s="383"/>
      <c r="R7" s="383"/>
      <c r="S7" s="383"/>
    </row>
    <row r="9" spans="3:19" ht="21">
      <c r="G9" s="158"/>
    </row>
    <row r="10" spans="3:19" ht="21">
      <c r="I10" s="160" t="s">
        <v>632</v>
      </c>
      <c r="P10" s="159" t="s">
        <v>633</v>
      </c>
    </row>
    <row r="20" spans="7:17" ht="21">
      <c r="G20" s="159" t="s">
        <v>632</v>
      </c>
    </row>
    <row r="21" spans="7:17" ht="21">
      <c r="K21" s="159"/>
    </row>
    <row r="24" spans="7:17" ht="21">
      <c r="Q24" s="158" t="s">
        <v>632</v>
      </c>
    </row>
    <row r="38" spans="4:7" ht="21">
      <c r="D38" s="158" t="s">
        <v>632</v>
      </c>
      <c r="G38" s="158" t="s">
        <v>634</v>
      </c>
    </row>
    <row r="41" spans="4:7" ht="21">
      <c r="G41" s="158"/>
    </row>
  </sheetData>
  <mergeCells count="1">
    <mergeCell ref="P5:S7"/>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40CDB1-A3D4-43AC-B40D-F75882269513}">
  <dimension ref="A1:R56"/>
  <sheetViews>
    <sheetView showGridLines="0" workbookViewId="0">
      <selection activeCell="C20" sqref="C20"/>
    </sheetView>
  </sheetViews>
  <sheetFormatPr defaultColWidth="8.875" defaultRowHeight="15.95"/>
  <cols>
    <col min="1" max="1" width="23.125" customWidth="1"/>
    <col min="2" max="2" width="17.375" customWidth="1"/>
    <col min="3" max="3" width="18.125" customWidth="1"/>
    <col min="4" max="4" width="23" customWidth="1"/>
    <col min="5" max="5" width="21.5" customWidth="1"/>
    <col min="6" max="6" width="15.875" bestFit="1" customWidth="1"/>
    <col min="7" max="7" width="12.625" bestFit="1" customWidth="1"/>
    <col min="8" max="8" width="22.5" customWidth="1"/>
    <col min="9" max="9" width="24" bestFit="1" customWidth="1"/>
    <col min="10" max="10" width="10.875" customWidth="1"/>
    <col min="11" max="11" width="20" bestFit="1" customWidth="1"/>
    <col min="12" max="12" width="24.375" customWidth="1"/>
  </cols>
  <sheetData>
    <row r="1" spans="1:18">
      <c r="A1" s="414" t="s">
        <v>8</v>
      </c>
      <c r="B1" s="414"/>
      <c r="C1" s="414"/>
      <c r="D1" s="414"/>
      <c r="E1" s="414"/>
      <c r="F1" s="414"/>
      <c r="G1" s="414"/>
      <c r="H1" s="414"/>
      <c r="I1" s="414"/>
      <c r="J1" s="414"/>
    </row>
    <row r="2" spans="1:18">
      <c r="A2" s="414"/>
      <c r="B2" s="414"/>
      <c r="C2" s="414"/>
      <c r="D2" s="414"/>
      <c r="E2" s="414"/>
      <c r="F2" s="414"/>
      <c r="G2" s="414"/>
      <c r="H2" s="414"/>
      <c r="I2" s="414"/>
      <c r="J2" s="414"/>
    </row>
    <row r="3" spans="1:18">
      <c r="A3" s="414"/>
      <c r="B3" s="414"/>
      <c r="C3" s="414"/>
      <c r="D3" s="414"/>
      <c r="E3" s="414"/>
      <c r="F3" s="414"/>
      <c r="G3" s="414"/>
      <c r="H3" s="414"/>
      <c r="I3" s="414"/>
      <c r="J3" s="414"/>
    </row>
    <row r="4" spans="1:18" ht="42" customHeight="1">
      <c r="A4" s="54" t="s">
        <v>9</v>
      </c>
      <c r="R4" s="54"/>
    </row>
    <row r="6" spans="1:18">
      <c r="A6" s="89" t="s">
        <v>10</v>
      </c>
      <c r="B6" s="89"/>
      <c r="C6" s="89"/>
      <c r="D6" s="89"/>
    </row>
    <row r="7" spans="1:18">
      <c r="A7" s="95" t="s">
        <v>11</v>
      </c>
      <c r="B7" s="95"/>
      <c r="C7" s="89" t="s">
        <v>12</v>
      </c>
      <c r="D7" s="89"/>
    </row>
    <row r="8" spans="1:18">
      <c r="A8" s="91" t="s">
        <v>13</v>
      </c>
      <c r="B8" s="117"/>
      <c r="C8" s="80" t="s">
        <v>14</v>
      </c>
    </row>
    <row r="9" spans="1:18" ht="51" customHeight="1">
      <c r="A9" s="94" t="s">
        <v>15</v>
      </c>
      <c r="B9" s="117"/>
      <c r="C9" s="80" t="s">
        <v>16</v>
      </c>
    </row>
    <row r="10" spans="1:18">
      <c r="A10" s="94" t="s">
        <v>17</v>
      </c>
      <c r="B10" s="117"/>
      <c r="C10" s="80" t="s">
        <v>18</v>
      </c>
    </row>
    <row r="11" spans="1:18">
      <c r="A11" s="94" t="s">
        <v>19</v>
      </c>
      <c r="B11" s="118">
        <f>'Product-Level Calculation'!C6</f>
        <v>2000000</v>
      </c>
      <c r="C11" s="80" t="s">
        <v>20</v>
      </c>
    </row>
    <row r="12" spans="1:18">
      <c r="A12" s="94" t="s">
        <v>21</v>
      </c>
      <c r="B12" s="117"/>
      <c r="C12" s="80" t="s">
        <v>22</v>
      </c>
    </row>
    <row r="13" spans="1:18">
      <c r="A13" s="94" t="s">
        <v>23</v>
      </c>
      <c r="B13" s="117"/>
      <c r="C13" s="80" t="s">
        <v>22</v>
      </c>
    </row>
    <row r="16" spans="1:18" ht="80.099999999999994">
      <c r="A16" s="82" t="s">
        <v>24</v>
      </c>
      <c r="B16" s="82" t="s">
        <v>25</v>
      </c>
      <c r="C16" s="82" t="s">
        <v>26</v>
      </c>
      <c r="D16" s="83" t="s">
        <v>27</v>
      </c>
      <c r="E16" s="83" t="s">
        <v>28</v>
      </c>
      <c r="F16" s="82" t="s">
        <v>29</v>
      </c>
      <c r="G16" s="82" t="s">
        <v>30</v>
      </c>
      <c r="H16" s="83" t="s">
        <v>31</v>
      </c>
      <c r="I16" s="82" t="s">
        <v>32</v>
      </c>
      <c r="J16" s="82" t="s">
        <v>33</v>
      </c>
      <c r="K16" s="82" t="s">
        <v>34</v>
      </c>
    </row>
    <row r="17" spans="4:11">
      <c r="D17" s="90">
        <f ca="1">'Product-Level Calculation'!C44</f>
        <v>4645881.7726843534</v>
      </c>
      <c r="E17" s="88">
        <f ca="1">'Product-Level Calculation'!C43</f>
        <v>4694324.7058823528</v>
      </c>
      <c r="G17" s="85">
        <f>'Product-Level Calculation'!H13</f>
        <v>0.15664820822412237</v>
      </c>
      <c r="H17" s="81" t="s">
        <v>35</v>
      </c>
      <c r="I17" t="s">
        <v>36</v>
      </c>
      <c r="J17">
        <f>-'Product-Level Calculation'!L155</f>
        <v>0</v>
      </c>
      <c r="K17" s="84">
        <f ca="1">'Product-Level Calculation'!D11</f>
        <v>0</v>
      </c>
    </row>
    <row r="36" ht="15.75" customHeight="1"/>
    <row r="37" ht="15.75" customHeight="1"/>
    <row r="38" ht="15.95" customHeight="1"/>
    <row r="39" ht="15.95" customHeight="1"/>
    <row r="40" ht="15.95" customHeight="1"/>
    <row r="51" ht="15.95" customHeight="1"/>
    <row r="56" ht="15.95" customHeight="1"/>
  </sheetData>
  <mergeCells count="1">
    <mergeCell ref="A1:J3"/>
  </mergeCells>
  <dataValidations count="1">
    <dataValidation type="list" allowBlank="1" showInputMessage="1" showErrorMessage="1" sqref="I17" xr:uid="{14266264-AD14-41D3-B74B-978F18947DAF}">
      <formula1>"Carbon capture and storage, Carbon capture and use, Renewable hydrogen, Renewable electricity, Bioenergy"</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0AD091-3A63-4F41-A1C2-32CE7AE32474}">
  <dimension ref="A1:D37"/>
  <sheetViews>
    <sheetView workbookViewId="0">
      <selection activeCell="C44" sqref="C44"/>
    </sheetView>
  </sheetViews>
  <sheetFormatPr defaultColWidth="8.875" defaultRowHeight="15.95"/>
  <cols>
    <col min="1" max="1" width="28.5" bestFit="1" customWidth="1"/>
    <col min="2" max="2" width="18.5" customWidth="1"/>
    <col min="3" max="3" width="41.375" customWidth="1"/>
    <col min="4" max="4" width="17.625" customWidth="1"/>
  </cols>
  <sheetData>
    <row r="1" spans="1:4">
      <c r="A1" s="220" t="s">
        <v>37</v>
      </c>
      <c r="B1" s="236" t="s">
        <v>38</v>
      </c>
      <c r="C1" s="236" t="s">
        <v>39</v>
      </c>
    </row>
    <row r="2" spans="1:4">
      <c r="A2" s="418" t="s">
        <v>40</v>
      </c>
      <c r="B2" s="419"/>
      <c r="C2" s="420"/>
    </row>
    <row r="3" spans="1:4">
      <c r="A3" s="421" t="s">
        <v>41</v>
      </c>
      <c r="B3" s="422"/>
      <c r="C3" s="423"/>
    </row>
    <row r="4" spans="1:4" ht="17.100000000000001">
      <c r="A4" s="247" t="s">
        <v>26</v>
      </c>
      <c r="B4" s="16" t="s">
        <v>42</v>
      </c>
      <c r="C4" s="300" t="s">
        <v>43</v>
      </c>
    </row>
    <row r="5" spans="1:4" ht="17.100000000000001">
      <c r="A5" s="203" t="s">
        <v>44</v>
      </c>
      <c r="B5" s="16" t="s">
        <v>45</v>
      </c>
      <c r="C5" s="248" t="s">
        <v>46</v>
      </c>
    </row>
    <row r="6" spans="1:4">
      <c r="A6" s="421" t="s">
        <v>47</v>
      </c>
      <c r="B6" s="422"/>
      <c r="C6" s="424"/>
    </row>
    <row r="7" spans="1:4" ht="33.950000000000003">
      <c r="A7" s="203" t="s">
        <v>24</v>
      </c>
      <c r="B7" s="228" t="s">
        <v>48</v>
      </c>
      <c r="C7" s="248" t="s">
        <v>49</v>
      </c>
    </row>
    <row r="8" spans="1:4" ht="102">
      <c r="A8" s="203" t="s">
        <v>50</v>
      </c>
      <c r="B8" s="229">
        <v>1234</v>
      </c>
      <c r="C8" s="249" t="s">
        <v>51</v>
      </c>
      <c r="D8" s="232"/>
    </row>
    <row r="9" spans="1:4" ht="51">
      <c r="A9" s="203" t="s">
        <v>52</v>
      </c>
      <c r="B9" s="16"/>
      <c r="C9" s="248" t="s">
        <v>53</v>
      </c>
    </row>
    <row r="10" spans="1:4" ht="33.950000000000003">
      <c r="A10" s="203" t="s">
        <v>54</v>
      </c>
      <c r="B10" s="16"/>
      <c r="C10" s="248" t="s">
        <v>55</v>
      </c>
    </row>
    <row r="11" spans="1:4" ht="33.950000000000003">
      <c r="A11" s="203" t="s">
        <v>56</v>
      </c>
      <c r="B11" s="16"/>
      <c r="C11" s="248" t="s">
        <v>57</v>
      </c>
    </row>
    <row r="12" spans="1:4" ht="33.950000000000003">
      <c r="A12" s="203" t="s">
        <v>58</v>
      </c>
      <c r="B12" s="229">
        <v>2000</v>
      </c>
      <c r="C12" s="248" t="s">
        <v>59</v>
      </c>
    </row>
    <row r="13" spans="1:4" ht="17.100000000000001">
      <c r="A13" s="203" t="s">
        <v>60</v>
      </c>
      <c r="B13" s="229" t="s">
        <v>61</v>
      </c>
      <c r="C13" s="248" t="s">
        <v>62</v>
      </c>
    </row>
    <row r="14" spans="1:4" ht="33.950000000000003">
      <c r="A14" s="203" t="s">
        <v>63</v>
      </c>
      <c r="B14" s="231" t="s">
        <v>64</v>
      </c>
      <c r="C14" s="248" t="s">
        <v>65</v>
      </c>
    </row>
    <row r="15" spans="1:4" ht="51">
      <c r="A15" s="203" t="s">
        <v>66</v>
      </c>
      <c r="B15" s="231" t="s">
        <v>67</v>
      </c>
      <c r="C15" s="248" t="s">
        <v>68</v>
      </c>
    </row>
    <row r="16" spans="1:4" ht="51">
      <c r="A16" s="203" t="s">
        <v>69</v>
      </c>
      <c r="B16" s="230" t="s">
        <v>70</v>
      </c>
      <c r="C16" s="248" t="s">
        <v>71</v>
      </c>
    </row>
    <row r="17" spans="1:3" ht="51">
      <c r="A17" s="203" t="s">
        <v>72</v>
      </c>
      <c r="B17" s="230" t="s">
        <v>73</v>
      </c>
      <c r="C17" s="248" t="s">
        <v>74</v>
      </c>
    </row>
    <row r="18" spans="1:3">
      <c r="A18" s="421" t="s">
        <v>75</v>
      </c>
      <c r="B18" s="422"/>
      <c r="C18" s="423"/>
    </row>
    <row r="19" spans="1:3" ht="33.950000000000003">
      <c r="A19" s="203" t="s">
        <v>76</v>
      </c>
      <c r="B19" s="204" t="s">
        <v>77</v>
      </c>
      <c r="C19" s="248" t="s">
        <v>78</v>
      </c>
    </row>
    <row r="20" spans="1:3" ht="33.950000000000003">
      <c r="A20" s="203" t="s">
        <v>79</v>
      </c>
      <c r="B20" s="228" t="s">
        <v>80</v>
      </c>
      <c r="C20" s="250" t="s">
        <v>81</v>
      </c>
    </row>
    <row r="21" spans="1:3" ht="33.950000000000003">
      <c r="A21" s="251" t="s">
        <v>82</v>
      </c>
      <c r="B21" s="252" t="s">
        <v>83</v>
      </c>
      <c r="C21" s="251" t="s">
        <v>84</v>
      </c>
    </row>
    <row r="22" spans="1:3" ht="33.950000000000003">
      <c r="A22" s="253" t="s">
        <v>85</v>
      </c>
      <c r="B22" s="254"/>
      <c r="C22" s="255" t="s">
        <v>86</v>
      </c>
    </row>
    <row r="23" spans="1:3" ht="33.950000000000003">
      <c r="A23" s="256" t="s">
        <v>87</v>
      </c>
      <c r="B23" s="257">
        <f ca="1">'Product-Level Calculation'!D13/'Product-Level Calculation'!D10</f>
        <v>0</v>
      </c>
      <c r="C23" s="256" t="s">
        <v>88</v>
      </c>
    </row>
    <row r="24" spans="1:3" ht="17.100000000000001">
      <c r="A24" s="258" t="s">
        <v>89</v>
      </c>
      <c r="B24" s="259">
        <f ca="1">'Product-Level Calculation'!D11</f>
        <v>0</v>
      </c>
      <c r="C24" s="243" t="s">
        <v>90</v>
      </c>
    </row>
    <row r="25" spans="1:3">
      <c r="A25" s="510" t="s">
        <v>91</v>
      </c>
      <c r="B25" s="511"/>
      <c r="C25" s="512"/>
    </row>
    <row r="26" spans="1:3" ht="33.950000000000003">
      <c r="A26" s="3" t="s">
        <v>92</v>
      </c>
      <c r="B26" s="233" t="s">
        <v>93</v>
      </c>
      <c r="C26" s="425" t="s">
        <v>94</v>
      </c>
    </row>
    <row r="27" spans="1:3">
      <c r="A27" s="4" t="s">
        <v>95</v>
      </c>
      <c r="B27" s="234" t="s">
        <v>96</v>
      </c>
      <c r="C27" s="426"/>
    </row>
    <row r="28" spans="1:3">
      <c r="A28" s="4" t="s">
        <v>97</v>
      </c>
      <c r="B28" s="234">
        <v>1</v>
      </c>
      <c r="C28" s="426"/>
    </row>
    <row r="29" spans="1:3">
      <c r="A29" s="4" t="s">
        <v>98</v>
      </c>
      <c r="B29" s="234" t="s">
        <v>99</v>
      </c>
      <c r="C29" s="426"/>
    </row>
    <row r="30" spans="1:3">
      <c r="A30" s="3" t="s">
        <v>100</v>
      </c>
      <c r="B30" s="235" t="s">
        <v>101</v>
      </c>
      <c r="C30" s="427"/>
    </row>
    <row r="31" spans="1:3">
      <c r="A31" s="415" t="s">
        <v>102</v>
      </c>
      <c r="B31" s="416"/>
      <c r="C31" s="417"/>
    </row>
    <row r="32" spans="1:3">
      <c r="A32" s="3" t="s">
        <v>103</v>
      </c>
      <c r="B32" s="239">
        <f ca="1">'Product-Level Calculation'!D9</f>
        <v>2.3011395617070356</v>
      </c>
      <c r="C32" s="238" t="s">
        <v>104</v>
      </c>
    </row>
    <row r="33" spans="1:3">
      <c r="A33" s="4" t="s">
        <v>105</v>
      </c>
      <c r="B33" s="240">
        <f ca="1">'Product-Level Calculation'!D13</f>
        <v>0</v>
      </c>
      <c r="C33" s="170" t="s">
        <v>106</v>
      </c>
    </row>
    <row r="34" spans="1:3">
      <c r="A34" s="4" t="s">
        <v>107</v>
      </c>
      <c r="B34" s="241">
        <f>'Product-Level Calculation'!D12</f>
        <v>0.15664820822412237</v>
      </c>
      <c r="C34" s="170"/>
    </row>
    <row r="35" spans="1:3">
      <c r="A35" s="170" t="s">
        <v>108</v>
      </c>
      <c r="B35" s="242">
        <f ca="1">'Product-Level Calculation'!D10</f>
        <v>2.3229408863421765</v>
      </c>
      <c r="C35" s="170" t="s">
        <v>109</v>
      </c>
    </row>
    <row r="36" spans="1:3" ht="17.100000000000001">
      <c r="A36" s="4" t="s">
        <v>89</v>
      </c>
      <c r="B36" s="245">
        <f ca="1">'Product-Level Calculation'!D11</f>
        <v>0</v>
      </c>
      <c r="C36" s="243" t="s">
        <v>90</v>
      </c>
    </row>
    <row r="37" spans="1:3">
      <c r="A37" s="220" t="s">
        <v>110</v>
      </c>
      <c r="B37" s="244" t="s">
        <v>111</v>
      </c>
      <c r="C37" s="220" t="s">
        <v>112</v>
      </c>
    </row>
  </sheetData>
  <mergeCells count="7">
    <mergeCell ref="A31:C31"/>
    <mergeCell ref="A2:C2"/>
    <mergeCell ref="A3:C3"/>
    <mergeCell ref="A6:C6"/>
    <mergeCell ref="A18:C18"/>
    <mergeCell ref="A25:C25"/>
    <mergeCell ref="C26:C30"/>
  </mergeCells>
  <dataValidations count="5">
    <dataValidation type="list" allowBlank="1" showInputMessage="1" showErrorMessage="1" sqref="B19" xr:uid="{F6C054E1-6F99-44AD-8CA9-96E50EA21C14}">
      <formula1>"GHG Protocol Product standard,ISO Standard 14067,ISO Standard 14044"</formula1>
    </dataValidation>
    <dataValidation type="list" allowBlank="1" showInputMessage="1" showErrorMessage="1" sqref="B21" xr:uid="{D0C83E41-5242-447B-AB26-1DB839EA2D43}">
      <formula1>"AR6,AR5"</formula1>
    </dataValidation>
    <dataValidation type="list" allowBlank="1" showInputMessage="1" showErrorMessage="1" sqref="B29" xr:uid="{62BC5BAB-1C62-4B21-A96A-F0DEAB7423A7}">
      <formula1>"confirm, reject, active, checking"</formula1>
    </dataValidation>
    <dataValidation allowBlank="1" showInputMessage="1" showErrorMessage="1" sqref="B22:B24" xr:uid="{9C9105B2-B876-4276-A6CB-04C648C43625}"/>
    <dataValidation type="list" allowBlank="1" showInputMessage="1" showErrorMessage="1" sqref="B37" xr:uid="{BB396C31-D5F1-4CF3-8AE6-927033F030FD}">
      <formula1>"Not Applicable,Carbon Capture &amp; Storage,Carbon Capture &amp; Use,Renewable Hydrogen,Renewable Electricity,Bioenergy"</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739DB3E-2B01-4354-BBFB-91017379C774}">
  <dimension ref="A1:C15"/>
  <sheetViews>
    <sheetView topLeftCell="A11" workbookViewId="0">
      <selection activeCell="I15" sqref="I15"/>
    </sheetView>
  </sheetViews>
  <sheetFormatPr defaultColWidth="8.875" defaultRowHeight="15.95"/>
  <cols>
    <col min="1" max="2" width="26.625" customWidth="1"/>
    <col min="3" max="3" width="25.125" customWidth="1"/>
  </cols>
  <sheetData>
    <row r="1" spans="1:3" ht="17.100000000000001">
      <c r="A1" s="201" t="s">
        <v>41</v>
      </c>
      <c r="B1" s="202" t="s">
        <v>113</v>
      </c>
      <c r="C1" s="202" t="s">
        <v>114</v>
      </c>
    </row>
    <row r="2" spans="1:3" ht="33.950000000000003">
      <c r="A2" s="203" t="s">
        <v>26</v>
      </c>
      <c r="B2" s="204" t="s">
        <v>115</v>
      </c>
      <c r="C2" s="205" t="s">
        <v>43</v>
      </c>
    </row>
    <row r="3" spans="1:3" ht="33.950000000000003">
      <c r="A3" s="203" t="s">
        <v>44</v>
      </c>
      <c r="B3" s="206" t="s">
        <v>115</v>
      </c>
      <c r="C3" s="205" t="s">
        <v>46</v>
      </c>
    </row>
    <row r="4" spans="1:3" ht="17.100000000000001">
      <c r="A4" s="207" t="s">
        <v>47</v>
      </c>
      <c r="B4" s="208" t="s">
        <v>113</v>
      </c>
      <c r="C4" s="209" t="s">
        <v>116</v>
      </c>
    </row>
    <row r="5" spans="1:3" ht="33.950000000000003">
      <c r="A5" s="203" t="s">
        <v>24</v>
      </c>
      <c r="B5" s="204" t="s">
        <v>115</v>
      </c>
      <c r="C5" s="205" t="s">
        <v>49</v>
      </c>
    </row>
    <row r="6" spans="1:3" ht="84.95">
      <c r="A6" s="203" t="s">
        <v>52</v>
      </c>
      <c r="B6" s="204" t="s">
        <v>115</v>
      </c>
      <c r="C6" s="205" t="s">
        <v>53</v>
      </c>
    </row>
    <row r="7" spans="1:3" ht="51">
      <c r="A7" s="203" t="s">
        <v>54</v>
      </c>
      <c r="B7" s="204" t="s">
        <v>115</v>
      </c>
      <c r="C7" s="205" t="s">
        <v>55</v>
      </c>
    </row>
    <row r="8" spans="1:3" ht="68.099999999999994">
      <c r="A8" s="203" t="s">
        <v>58</v>
      </c>
      <c r="B8" s="204" t="s">
        <v>115</v>
      </c>
      <c r="C8" s="205" t="s">
        <v>59</v>
      </c>
    </row>
    <row r="9" spans="1:3" ht="33.950000000000003">
      <c r="A9" s="203" t="s">
        <v>60</v>
      </c>
      <c r="B9" s="204" t="s">
        <v>115</v>
      </c>
      <c r="C9" s="205" t="s">
        <v>62</v>
      </c>
    </row>
    <row r="10" spans="1:3" ht="84.95">
      <c r="A10" s="203" t="s">
        <v>69</v>
      </c>
      <c r="B10" s="211" t="s">
        <v>115</v>
      </c>
      <c r="C10" s="205" t="s">
        <v>71</v>
      </c>
    </row>
    <row r="11" spans="1:3" ht="68.099999999999994">
      <c r="A11" s="203" t="s">
        <v>72</v>
      </c>
      <c r="B11" s="211" t="s">
        <v>115</v>
      </c>
      <c r="C11" s="205" t="s">
        <v>74</v>
      </c>
    </row>
    <row r="12" spans="1:3" ht="17.100000000000001">
      <c r="A12" s="207" t="s">
        <v>75</v>
      </c>
      <c r="B12" s="209" t="s">
        <v>113</v>
      </c>
      <c r="C12" s="209" t="s">
        <v>116</v>
      </c>
    </row>
    <row r="13" spans="1:3" ht="51">
      <c r="A13" s="203" t="s">
        <v>76</v>
      </c>
      <c r="B13" s="204" t="s">
        <v>115</v>
      </c>
      <c r="C13" s="205" t="s">
        <v>78</v>
      </c>
    </row>
    <row r="14" spans="1:3" ht="33.950000000000003">
      <c r="A14" s="203" t="s">
        <v>79</v>
      </c>
      <c r="B14" s="210" t="s">
        <v>115</v>
      </c>
      <c r="C14" s="205" t="s">
        <v>81</v>
      </c>
    </row>
    <row r="15" spans="1:3" ht="51">
      <c r="A15" s="203" t="s">
        <v>82</v>
      </c>
      <c r="B15" s="204" t="s">
        <v>115</v>
      </c>
      <c r="C15" s="205" t="s">
        <v>84</v>
      </c>
    </row>
  </sheetData>
  <dataValidations count="2">
    <dataValidation type="list" allowBlank="1" showInputMessage="1" showErrorMessage="1" sqref="B13" xr:uid="{53BB2350-6C70-4327-B2B3-920F11AD7CD4}">
      <formula1>"GHG Protocol Product standard,ISO Standard 14067,ISO Standard 14044"</formula1>
    </dataValidation>
    <dataValidation type="list" allowBlank="1" showInputMessage="1" showErrorMessage="1" sqref="B15" xr:uid="{DC90E4F0-6330-42BF-9C44-8BEF55605EA3}">
      <formula1>"AR6,AR5"</formula1>
    </dataValidation>
  </dataValidation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7C13E6-CECB-4BA6-88C9-0BE585853AE8}">
  <dimension ref="A1:AQ3"/>
  <sheetViews>
    <sheetView workbookViewId="0">
      <selection activeCell="C6" sqref="C6"/>
    </sheetView>
  </sheetViews>
  <sheetFormatPr defaultColWidth="8.875" defaultRowHeight="15.95"/>
  <cols>
    <col min="1" max="1" width="2.375" bestFit="1" customWidth="1"/>
    <col min="2" max="2" width="13.5" bestFit="1" customWidth="1"/>
    <col min="3" max="3" width="6.625" bestFit="1" customWidth="1"/>
    <col min="4" max="4" width="10" bestFit="1" customWidth="1"/>
    <col min="5" max="5" width="5.875" bestFit="1" customWidth="1"/>
    <col min="6" max="6" width="20" bestFit="1" customWidth="1"/>
    <col min="7" max="7" width="10.375" bestFit="1" customWidth="1"/>
    <col min="8" max="8" width="20" bestFit="1" customWidth="1"/>
    <col min="9" max="9" width="9.375" bestFit="1" customWidth="1"/>
    <col min="10" max="11" width="20" bestFit="1" customWidth="1"/>
    <col min="12" max="12" width="8.375" bestFit="1" customWidth="1"/>
    <col min="13" max="13" width="20" bestFit="1" customWidth="1"/>
    <col min="14" max="14" width="22.5" bestFit="1" customWidth="1"/>
    <col min="15" max="15" width="21.625" bestFit="1" customWidth="1"/>
    <col min="16" max="16" width="19.875" bestFit="1" customWidth="1"/>
    <col min="17" max="17" width="20.5" bestFit="1" customWidth="1"/>
    <col min="18" max="18" width="23.125" bestFit="1" customWidth="1"/>
    <col min="19" max="19" width="23" bestFit="1" customWidth="1"/>
    <col min="20" max="20" width="27.125" bestFit="1" customWidth="1"/>
    <col min="21" max="21" width="27.375" bestFit="1" customWidth="1"/>
    <col min="22" max="23" width="21.125" bestFit="1" customWidth="1"/>
    <col min="24" max="24" width="20" bestFit="1" customWidth="1"/>
    <col min="25" max="25" width="26.5" bestFit="1" customWidth="1"/>
    <col min="26" max="26" width="29.875" bestFit="1" customWidth="1"/>
    <col min="27" max="27" width="27.625" bestFit="1" customWidth="1"/>
    <col min="28" max="29" width="13.875" bestFit="1" customWidth="1"/>
    <col min="30" max="30" width="16.125" bestFit="1" customWidth="1"/>
    <col min="31" max="31" width="31.5" bestFit="1" customWidth="1"/>
    <col min="32" max="32" width="29.375" bestFit="1" customWidth="1"/>
    <col min="33" max="33" width="29.125" bestFit="1" customWidth="1"/>
    <col min="34" max="35" width="27.625" bestFit="1" customWidth="1"/>
    <col min="36" max="36" width="21" bestFit="1" customWidth="1"/>
    <col min="37" max="37" width="23" bestFit="1" customWidth="1"/>
    <col min="38" max="38" width="22.125" bestFit="1" customWidth="1"/>
    <col min="39" max="39" width="21.625" bestFit="1" customWidth="1"/>
    <col min="40" max="40" width="20" bestFit="1" customWidth="1"/>
    <col min="41" max="41" width="23" bestFit="1" customWidth="1"/>
    <col min="42" max="42" width="28" bestFit="1" customWidth="1"/>
    <col min="43" max="43" width="21" bestFit="1" customWidth="1"/>
  </cols>
  <sheetData>
    <row r="1" spans="1:43">
      <c r="A1" s="212" t="s">
        <v>117</v>
      </c>
      <c r="B1" s="212" t="s">
        <v>118</v>
      </c>
      <c r="C1" s="212" t="s">
        <v>97</v>
      </c>
      <c r="D1" s="212" t="s">
        <v>119</v>
      </c>
      <c r="E1" s="212" t="s">
        <v>98</v>
      </c>
      <c r="F1" s="212" t="s">
        <v>120</v>
      </c>
      <c r="G1" s="212" t="s">
        <v>121</v>
      </c>
      <c r="H1" s="212" t="s">
        <v>122</v>
      </c>
      <c r="I1" s="212" t="s">
        <v>123</v>
      </c>
      <c r="J1" s="212" t="s">
        <v>124</v>
      </c>
      <c r="K1" s="212" t="s">
        <v>125</v>
      </c>
      <c r="L1" s="212" t="s">
        <v>126</v>
      </c>
      <c r="M1" s="212" t="s">
        <v>127</v>
      </c>
      <c r="N1" s="212" t="s">
        <v>128</v>
      </c>
      <c r="O1" s="212" t="s">
        <v>129</v>
      </c>
      <c r="P1" s="212" t="s">
        <v>130</v>
      </c>
      <c r="Q1" s="212" t="s">
        <v>131</v>
      </c>
      <c r="R1" s="212" t="s">
        <v>132</v>
      </c>
      <c r="S1" s="212" t="s">
        <v>133</v>
      </c>
      <c r="T1" s="212" t="s">
        <v>134</v>
      </c>
      <c r="U1" s="212" t="s">
        <v>135</v>
      </c>
      <c r="V1" s="212" t="s">
        <v>136</v>
      </c>
      <c r="W1" s="212" t="s">
        <v>137</v>
      </c>
      <c r="X1" s="212" t="s">
        <v>138</v>
      </c>
      <c r="Y1" s="212" t="s">
        <v>139</v>
      </c>
      <c r="Z1" s="212" t="s">
        <v>140</v>
      </c>
      <c r="AA1" s="212" t="s">
        <v>141</v>
      </c>
      <c r="AB1" s="237" t="s">
        <v>142</v>
      </c>
      <c r="AC1" s="237" t="s">
        <v>143</v>
      </c>
      <c r="AD1" s="237" t="s">
        <v>144</v>
      </c>
      <c r="AE1" s="212" t="s">
        <v>145</v>
      </c>
      <c r="AF1" s="237" t="s">
        <v>146</v>
      </c>
      <c r="AG1" s="212" t="s">
        <v>147</v>
      </c>
      <c r="AH1" s="212" t="s">
        <v>148</v>
      </c>
      <c r="AI1" s="212" t="s">
        <v>149</v>
      </c>
      <c r="AJ1" s="212" t="s">
        <v>150</v>
      </c>
      <c r="AK1" s="212" t="s">
        <v>151</v>
      </c>
      <c r="AL1" s="212" t="s">
        <v>152</v>
      </c>
      <c r="AM1" s="212" t="s">
        <v>153</v>
      </c>
      <c r="AN1" s="212" t="s">
        <v>154</v>
      </c>
      <c r="AO1" s="212" t="s">
        <v>155</v>
      </c>
      <c r="AP1" s="212" t="s">
        <v>156</v>
      </c>
      <c r="AQ1" s="212" t="s">
        <v>157</v>
      </c>
    </row>
    <row r="2" spans="1:43">
      <c r="A2" s="212"/>
      <c r="B2" s="212" t="s">
        <v>158</v>
      </c>
      <c r="C2" s="212">
        <v>1</v>
      </c>
      <c r="D2" s="213">
        <v>45170</v>
      </c>
      <c r="E2" s="212" t="s">
        <v>159</v>
      </c>
      <c r="F2" s="212" t="str">
        <f>'Basic Information'!B2</f>
        <v> </v>
      </c>
      <c r="G2" s="212"/>
      <c r="H2" s="212" t="str">
        <f>'Basic Information'!B6</f>
        <v> </v>
      </c>
      <c r="I2" s="212"/>
      <c r="J2" s="212" t="str">
        <f>'Basic Information'!B7</f>
        <v> </v>
      </c>
      <c r="K2" s="212" t="str">
        <f>'Basic Information'!B5</f>
        <v> </v>
      </c>
      <c r="L2" s="212"/>
      <c r="M2" s="212" t="str">
        <f>'Basic Information'!B9</f>
        <v> </v>
      </c>
      <c r="N2" s="212" t="str">
        <f>'Basic Information'!B8</f>
        <v> </v>
      </c>
      <c r="O2" s="212">
        <f ca="1">P2</f>
        <v>2107.3371279763273</v>
      </c>
      <c r="P2" s="212">
        <f ca="1">AP2*907.185</f>
        <v>2107.3371279763273</v>
      </c>
      <c r="Q2" s="212">
        <f ca="1">P2</f>
        <v>2107.3371279763273</v>
      </c>
      <c r="R2" s="212">
        <v>0</v>
      </c>
      <c r="S2" s="212" t="str">
        <f>'Basic Information'!B15</f>
        <v> </v>
      </c>
      <c r="T2" s="212" t="str">
        <f>'Basic Information'!B13</f>
        <v> </v>
      </c>
      <c r="U2" s="212" t="str">
        <f>'Basic Information'!B14</f>
        <v> </v>
      </c>
      <c r="V2" s="213" t="str">
        <f>'Basic Information'!B10</f>
        <v> </v>
      </c>
      <c r="W2" s="213" t="str">
        <f>'Basic Information'!B11</f>
        <v> </v>
      </c>
      <c r="X2" s="212" t="str">
        <f>'Basic Information'!B3</f>
        <v> </v>
      </c>
      <c r="Y2" s="212">
        <f ca="1">(AH2/AP2)*100</f>
        <v>0</v>
      </c>
      <c r="Z2" s="215">
        <f ca="1">'Product-Level Calculation'!D13</f>
        <v>0</v>
      </c>
      <c r="AA2" s="212">
        <f ca="1">'Product-Level Calculation'!D11</f>
        <v>0</v>
      </c>
      <c r="AB2" s="212" t="str">
        <f>B2</f>
        <v>2.0.1-20230720</v>
      </c>
      <c r="AC2" s="216" t="s">
        <v>160</v>
      </c>
      <c r="AD2" s="216" t="s">
        <v>161</v>
      </c>
      <c r="AE2" s="214" t="str">
        <f>'Product-Level Calculation'!D14</f>
        <v>Not Applicable</v>
      </c>
      <c r="AF2" s="214" t="str">
        <f>'Product-Level Calculation'!C4</f>
        <v>Crude Steel</v>
      </c>
      <c r="AG2" s="215">
        <f ca="1">'Product-Level Calculation'!D9</f>
        <v>2.3011395617070356</v>
      </c>
      <c r="AH2" s="215">
        <f ca="1">'Product-Level Calculation'!D13</f>
        <v>0</v>
      </c>
      <c r="AI2" s="212">
        <f>'Product-Level Calculation'!D12</f>
        <v>0.15664820822412237</v>
      </c>
      <c r="AJ2" s="212" t="str">
        <f>'Basic Information'!B3</f>
        <v> </v>
      </c>
      <c r="AK2" s="212" t="str">
        <f>'Basic Information'!B10</f>
        <v> </v>
      </c>
      <c r="AL2" s="212" t="str">
        <f>'Basic Information'!B11</f>
        <v> </v>
      </c>
      <c r="AM2" s="212" t="str">
        <f>'Basic Information'!B6</f>
        <v> </v>
      </c>
      <c r="AN2" s="212" t="str">
        <f>'Basic Information'!B8</f>
        <v> </v>
      </c>
      <c r="AO2" s="212" t="str">
        <f>'Basic Information'!B9</f>
        <v> </v>
      </c>
      <c r="AP2" s="215">
        <f ca="1">'Product-Level Calculation'!D10</f>
        <v>2.3229408863421765</v>
      </c>
      <c r="AQ2" s="212" t="str">
        <f>'Basic Information'!B3</f>
        <v> </v>
      </c>
    </row>
    <row r="3" spans="1:43">
      <c r="A3" s="212"/>
      <c r="B3" s="212"/>
      <c r="C3" s="212"/>
      <c r="D3" s="212"/>
      <c r="E3" s="212"/>
      <c r="F3" s="212"/>
      <c r="G3" s="212"/>
      <c r="H3" s="212"/>
      <c r="I3" s="212"/>
      <c r="J3" s="212"/>
      <c r="K3" s="212"/>
      <c r="L3" s="212"/>
      <c r="M3" s="212"/>
      <c r="N3" s="212"/>
      <c r="O3" s="212"/>
      <c r="P3" s="212"/>
      <c r="Q3" s="212"/>
      <c r="R3" s="212"/>
      <c r="S3" s="212"/>
      <c r="T3" s="212"/>
      <c r="U3" s="212"/>
      <c r="V3" s="212"/>
      <c r="W3" s="212"/>
      <c r="X3" s="212"/>
      <c r="Y3" s="212"/>
      <c r="Z3" s="212"/>
      <c r="AA3" s="212"/>
      <c r="AB3" s="212"/>
      <c r="AC3" s="212"/>
      <c r="AD3" s="212"/>
      <c r="AE3" s="212"/>
      <c r="AF3" s="212"/>
      <c r="AG3" s="212"/>
      <c r="AH3" s="212" t="s">
        <v>162</v>
      </c>
      <c r="AI3" s="212"/>
      <c r="AJ3" s="212"/>
      <c r="AK3" s="212"/>
      <c r="AL3" s="212"/>
      <c r="AM3" s="212"/>
      <c r="AN3" s="212"/>
      <c r="AO3" s="212"/>
      <c r="AP3" s="212"/>
      <c r="AQ3" s="212"/>
    </row>
  </sheetData>
  <hyperlinks>
    <hyperlink ref="AD2" r:id="rId1" xr:uid="{40F2149F-08E4-4DE1-813C-91E2A6271988}"/>
    <hyperlink ref="AC2" r:id="rId2" xr:uid="{375D5662-75E3-4FC6-9D38-EC1FC9A25C06}"/>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3B6E3-E3CC-A24B-8009-2E3CBD5634E0}">
  <dimension ref="A1:X161"/>
  <sheetViews>
    <sheetView topLeftCell="A11" zoomScale="90" zoomScaleNormal="90" workbookViewId="0">
      <selection activeCell="G28" sqref="G28"/>
    </sheetView>
  </sheetViews>
  <sheetFormatPr defaultColWidth="11" defaultRowHeight="15.75" customHeight="1"/>
  <cols>
    <col min="1" max="1" width="32.125" customWidth="1"/>
    <col min="2" max="2" width="30.625" customWidth="1"/>
    <col min="3" max="4" width="15.875" customWidth="1"/>
    <col min="5" max="5" width="20" customWidth="1"/>
    <col min="6" max="6" width="19.5" customWidth="1"/>
    <col min="7" max="7" width="20.875" customWidth="1"/>
    <col min="8" max="8" width="32.125" customWidth="1"/>
    <col min="9" max="9" width="27.5" customWidth="1"/>
    <col min="10" max="10" width="28.5" customWidth="1"/>
    <col min="11" max="11" width="25.5" customWidth="1"/>
    <col min="12" max="12" width="20.125" customWidth="1"/>
    <col min="13" max="13" width="21.375" customWidth="1"/>
    <col min="14" max="14" width="24.125" customWidth="1"/>
    <col min="15" max="15" width="15.875" customWidth="1"/>
    <col min="16" max="16" width="18.5" customWidth="1"/>
    <col min="17" max="18" width="15.875" customWidth="1"/>
    <col min="19" max="19" width="19.625" customWidth="1"/>
    <col min="20" max="21" width="15.875" customWidth="1"/>
    <col min="22" max="22" width="26" customWidth="1"/>
    <col min="23" max="23" width="22.625" customWidth="1"/>
    <col min="24" max="24" width="20.625" customWidth="1"/>
  </cols>
  <sheetData>
    <row r="1" spans="1:18" s="301" customFormat="1" ht="15.75" customHeight="1">
      <c r="A1" s="343" t="s">
        <v>163</v>
      </c>
    </row>
    <row r="2" spans="1:18" ht="15.95" customHeight="1">
      <c r="A2" s="486" t="s">
        <v>164</v>
      </c>
      <c r="B2" s="113" t="s">
        <v>165</v>
      </c>
    </row>
    <row r="3" spans="1:18" ht="15.95" customHeight="1">
      <c r="A3" s="486"/>
      <c r="G3" s="73" t="s">
        <v>166</v>
      </c>
      <c r="H3" s="77"/>
      <c r="I3" s="74"/>
      <c r="K3" s="444" t="s">
        <v>167</v>
      </c>
      <c r="L3" s="445"/>
      <c r="M3" s="445"/>
      <c r="N3" s="445"/>
      <c r="O3" s="445"/>
      <c r="P3" s="446"/>
      <c r="Q3" s="96"/>
      <c r="R3" s="96"/>
    </row>
    <row r="4" spans="1:18" ht="15.75" customHeight="1">
      <c r="A4" s="486"/>
      <c r="B4" s="3" t="s">
        <v>168</v>
      </c>
      <c r="C4" s="458" t="s">
        <v>169</v>
      </c>
      <c r="D4" s="459"/>
      <c r="E4" t="s">
        <v>170</v>
      </c>
      <c r="G4" s="5" t="s">
        <v>171</v>
      </c>
      <c r="H4" s="260" t="s">
        <v>172</v>
      </c>
      <c r="I4" s="10" t="s">
        <v>173</v>
      </c>
      <c r="K4" s="366" t="s">
        <v>171</v>
      </c>
      <c r="L4" s="89" t="s">
        <v>173</v>
      </c>
      <c r="M4" s="181" t="s">
        <v>174</v>
      </c>
      <c r="N4" s="370" t="s">
        <v>175</v>
      </c>
      <c r="O4" s="371" t="s">
        <v>176</v>
      </c>
      <c r="P4" s="371" t="s">
        <v>177</v>
      </c>
      <c r="Q4" s="96"/>
      <c r="R4" s="96"/>
    </row>
    <row r="5" spans="1:18" ht="15.95" customHeight="1">
      <c r="A5" s="314"/>
      <c r="B5" s="3" t="s">
        <v>178</v>
      </c>
      <c r="C5" s="458">
        <v>2040000</v>
      </c>
      <c r="D5" s="459"/>
      <c r="G5" s="4" t="s">
        <v>179</v>
      </c>
      <c r="H5" s="31">
        <f t="shared" ref="H5:H10" si="0">INDEX($N$52:$N$88,MATCH(G5,$B$52:$B$88,0))</f>
        <v>2500000</v>
      </c>
      <c r="I5" s="273">
        <v>0.6</v>
      </c>
      <c r="K5" s="33" t="s">
        <v>180</v>
      </c>
      <c r="L5" s="40">
        <v>1</v>
      </c>
      <c r="M5" s="372">
        <f>INDEX($D$124:$D$129,MATCH(K5,$B$124:$B$129,0))</f>
        <v>20000</v>
      </c>
      <c r="N5" s="285">
        <f>INDEX($G$124:$G$129,MATCH(K5,$B$124:$B$129,0))</f>
        <v>0.1589825119236884</v>
      </c>
      <c r="O5" s="285">
        <f>INDEX($H$124:$H$129,MATCH(K5,$B$124:$B$129,0))</f>
        <v>5000</v>
      </c>
      <c r="P5" s="285">
        <f>IF(I124="known source",INDEX(#REF!,MATCH(K5,$B$124:$B$129,0)),15%)</f>
        <v>0.15</v>
      </c>
    </row>
    <row r="6" spans="1:18" ht="15.95" customHeight="1">
      <c r="A6" s="314"/>
      <c r="B6" s="3" t="s">
        <v>181</v>
      </c>
      <c r="C6" s="458">
        <v>2000000</v>
      </c>
      <c r="D6" s="459"/>
      <c r="G6" s="5" t="s">
        <v>182</v>
      </c>
      <c r="H6" s="31">
        <f t="shared" si="0"/>
        <v>900000</v>
      </c>
      <c r="I6" s="197">
        <v>0.65</v>
      </c>
      <c r="K6" s="367" t="s">
        <v>183</v>
      </c>
      <c r="L6" s="40">
        <v>1</v>
      </c>
      <c r="M6" s="372">
        <f>INDEX($D$125:$D$129,MATCH(K6,$B$125:$B$129,0))</f>
        <v>20000</v>
      </c>
      <c r="N6" s="285">
        <f>INDEX($G$125:$G$129,MATCH(K6,$B$125:$B$129,0))</f>
        <v>0.1589825119236884</v>
      </c>
      <c r="O6" s="285">
        <f>INDEX($H$125:$H$129,MATCH(K6,$B$125:$B$129,0))</f>
        <v>500</v>
      </c>
      <c r="P6" s="285">
        <f>IF(I125="known source",INDEX(#REF!,MATCH(K6,$B$125:$B$129,0)),15%)</f>
        <v>0.15</v>
      </c>
    </row>
    <row r="7" spans="1:18" ht="15.95" customHeight="1">
      <c r="C7" s="18"/>
      <c r="G7" s="5" t="s">
        <v>184</v>
      </c>
      <c r="H7" s="31">
        <f t="shared" si="0"/>
        <v>0</v>
      </c>
      <c r="I7" s="197">
        <v>0.8</v>
      </c>
      <c r="K7" s="367" t="s">
        <v>185</v>
      </c>
      <c r="L7" s="40">
        <v>1</v>
      </c>
      <c r="M7" s="372">
        <f>INDEX($D$125:$D$129,MATCH(K7,$B$125:$B$129,0))</f>
        <v>10000</v>
      </c>
      <c r="N7" s="285">
        <f>INDEX($G$125:$G$129,MATCH(K7,$B$125:$B$129,0))</f>
        <v>0.1589825119236884</v>
      </c>
      <c r="O7" s="285">
        <f>INDEX($H$125:$H$129,MATCH(K7,$B$125:$B$129,0))</f>
        <v>7000</v>
      </c>
      <c r="P7" s="285">
        <f>IF(I126="known source",INDEX(#REF!,MATCH(K7,$B$125:$B$129,0)),15%)</f>
        <v>0.15</v>
      </c>
    </row>
    <row r="8" spans="1:18" ht="15.95" customHeight="1">
      <c r="B8" s="142" t="s">
        <v>186</v>
      </c>
      <c r="C8" s="143"/>
      <c r="D8" s="143"/>
      <c r="E8" s="144"/>
      <c r="G8" s="5" t="s">
        <v>187</v>
      </c>
      <c r="H8" s="31">
        <f t="shared" si="0"/>
        <v>0</v>
      </c>
      <c r="I8" s="197">
        <v>0.95</v>
      </c>
      <c r="K8" s="367" t="s">
        <v>188</v>
      </c>
      <c r="L8" s="40">
        <v>1</v>
      </c>
      <c r="M8" s="372">
        <f>INDEX($D$125:$D$129,MATCH(K8,$B$125:$B$129,0))</f>
        <v>1000</v>
      </c>
      <c r="N8" s="285">
        <f>INDEX($G$125:$G$129,MATCH(K8,$B$125:$B$129,0))</f>
        <v>0.1589825119236884</v>
      </c>
      <c r="O8" s="285">
        <f>INDEX($H$125:$H$129,MATCH(K8,$B$125:$B$129,0))</f>
        <v>400</v>
      </c>
      <c r="P8" s="285">
        <f>IF(I127="known source",INDEX(#REF!,MATCH(K8,$B$125:$B$129,0)),15%)</f>
        <v>0.15</v>
      </c>
    </row>
    <row r="9" spans="1:18" ht="15.95" customHeight="1">
      <c r="B9" s="487" t="s">
        <v>189</v>
      </c>
      <c r="C9" s="488"/>
      <c r="D9" s="312">
        <f ca="1">D43</f>
        <v>2.3011395617070356</v>
      </c>
      <c r="E9" s="156" t="str">
        <f>"tCO2e/"&amp;IF(C4="Crude Steel","t crude","t HRP")</f>
        <v>tCO2e/t crude</v>
      </c>
      <c r="G9" s="5" t="s">
        <v>190</v>
      </c>
      <c r="H9" s="31">
        <f t="shared" si="0"/>
        <v>0</v>
      </c>
      <c r="I9" s="197">
        <v>0.95</v>
      </c>
      <c r="K9" s="367" t="s">
        <v>191</v>
      </c>
      <c r="L9" s="40">
        <v>1</v>
      </c>
      <c r="M9" s="372">
        <f>INDEX($D$125:$D$129,MATCH(K9,$B$125:$B$129,0))</f>
        <v>0</v>
      </c>
      <c r="N9" s="285">
        <f>INDEX($G$125:$G$129,MATCH(K9,$B$125:$B$129,0))</f>
        <v>0.1589825119236884</v>
      </c>
      <c r="O9" s="285">
        <f>INDEX($H$125:$H$129,MATCH(K9,$B$125:$B$129,0))</f>
        <v>2000</v>
      </c>
      <c r="P9" s="285">
        <f>IF(I128="known source",INDEX(#REF!,MATCH(K9,$B$125:$B$129,0)),15%)</f>
        <v>0.15</v>
      </c>
    </row>
    <row r="10" spans="1:18" ht="15.95">
      <c r="B10" s="470" t="s">
        <v>192</v>
      </c>
      <c r="C10" s="471"/>
      <c r="D10" s="313">
        <f ca="1">D44+D13</f>
        <v>2.3229408863421765</v>
      </c>
      <c r="E10" s="157" t="s">
        <v>193</v>
      </c>
      <c r="G10" s="55" t="s">
        <v>194</v>
      </c>
      <c r="H10" s="274">
        <f t="shared" si="0"/>
        <v>0</v>
      </c>
      <c r="I10" s="315">
        <v>0.95</v>
      </c>
      <c r="K10" s="368" t="s">
        <v>195</v>
      </c>
      <c r="L10" s="115">
        <v>1</v>
      </c>
      <c r="M10" s="373">
        <f>INDEX($D$125:$D$129,MATCH(K10,$B$125:$B$129,0))</f>
        <v>0</v>
      </c>
      <c r="N10" s="369">
        <f>INDEX($G$125:$G$129,MATCH(K10,$B$125:$B$129,0))</f>
        <v>0.1589825119236884</v>
      </c>
      <c r="O10" s="369">
        <f>INDEX($H$125:$H$129,MATCH(K10,$B$125:$B$129,0))</f>
        <v>0</v>
      </c>
      <c r="P10" s="369">
        <f>IF(I129="known source",INDEX(#REF!,MATCH(K10,$B$125:$B$129,0)),15%)</f>
        <v>0.15</v>
      </c>
    </row>
    <row r="11" spans="1:18" ht="15.95" customHeight="1">
      <c r="B11" s="470" t="s">
        <v>196</v>
      </c>
      <c r="C11" s="471"/>
      <c r="D11" s="166" cm="1">
        <f t="array" aca="1" ref="D11" ca="1">SUM((O52:O91="site specific")*$R$52:$R$91,(S52:S91="Site Specific")*$W$52:$W$91*$U$52:$U$91)/C44</f>
        <v>0</v>
      </c>
      <c r="E11" s="157" t="s">
        <v>197</v>
      </c>
      <c r="N11" s="317"/>
      <c r="O11" s="317"/>
    </row>
    <row r="12" spans="1:18" ht="15.95" customHeight="1">
      <c r="B12" s="470" t="s">
        <v>107</v>
      </c>
      <c r="C12" s="471"/>
      <c r="D12" s="167">
        <f>H13</f>
        <v>0.15664820822412237</v>
      </c>
      <c r="E12" s="157" t="s">
        <v>197</v>
      </c>
      <c r="G12" s="169" t="s">
        <v>198</v>
      </c>
      <c r="H12" s="74"/>
      <c r="O12" s="1"/>
    </row>
    <row r="13" spans="1:18" ht="15.95">
      <c r="B13" s="470" t="s">
        <v>199</v>
      </c>
      <c r="C13" s="471"/>
      <c r="D13" s="311">
        <f ca="1">SUM(Q99:Q115)/C6</f>
        <v>0</v>
      </c>
      <c r="E13" s="157" t="s">
        <v>193</v>
      </c>
      <c r="G13" s="4" t="s">
        <v>200</v>
      </c>
      <c r="H13" s="381">
        <f>(SUM(N53:N56)-SUMPRODUCT(M5:M10,N5:N10)+SUMPRODUCT(O5:O10,P5:P10))/H18</f>
        <v>0.15664820822412237</v>
      </c>
      <c r="O13" s="1"/>
      <c r="P13" s="75"/>
    </row>
    <row r="14" spans="1:18" ht="17.100000000000001">
      <c r="B14" s="472" t="s">
        <v>110</v>
      </c>
      <c r="C14" s="473"/>
      <c r="D14" s="489" t="s">
        <v>201</v>
      </c>
      <c r="E14" s="490"/>
      <c r="G14" s="155" t="s">
        <v>202</v>
      </c>
      <c r="H14" s="307">
        <f>N54/SUM(N53:N56)</f>
        <v>0.3125</v>
      </c>
      <c r="O14" s="1"/>
      <c r="P14" s="75"/>
    </row>
    <row r="15" spans="1:18" ht="15.95" customHeight="1">
      <c r="C15" s="75"/>
      <c r="D15" s="492" t="s">
        <v>203</v>
      </c>
      <c r="E15" s="492"/>
      <c r="G15" s="5" t="s">
        <v>204</v>
      </c>
      <c r="H15" s="307">
        <f>N56/SUM(N53:N56)</f>
        <v>0.375</v>
      </c>
      <c r="O15" s="108"/>
      <c r="P15" s="75"/>
    </row>
    <row r="16" spans="1:18" ht="15.95">
      <c r="C16" s="75"/>
      <c r="D16" s="76"/>
      <c r="G16" s="71" t="s">
        <v>205</v>
      </c>
      <c r="H16" s="308" cm="1">
        <f t="array" ref="H16">SUM(I5:I10*H5:H10,M6:M10*L6:L10)</f>
        <v>2116000</v>
      </c>
      <c r="O16" s="108"/>
      <c r="P16" s="75"/>
      <c r="Q16" s="76"/>
    </row>
    <row r="17" spans="1:17" ht="15.95">
      <c r="C17" s="75"/>
      <c r="D17" s="76"/>
      <c r="G17" s="71" t="s">
        <v>206</v>
      </c>
      <c r="H17" s="308">
        <f>SUM(N53:N56)</f>
        <v>400000</v>
      </c>
      <c r="O17" s="1"/>
      <c r="P17" s="1"/>
      <c r="Q17" s="76"/>
    </row>
    <row r="18" spans="1:17" ht="15.95">
      <c r="C18" s="75"/>
      <c r="D18" s="76"/>
      <c r="G18" s="72" t="s">
        <v>207</v>
      </c>
      <c r="H18" s="309">
        <f>SUM(H16:H17)</f>
        <v>2516000</v>
      </c>
      <c r="I18" s="75"/>
      <c r="O18" s="75"/>
      <c r="P18" s="76"/>
      <c r="Q18" s="76"/>
    </row>
    <row r="19" spans="1:17" ht="15.95">
      <c r="C19" s="75"/>
      <c r="D19" s="76"/>
      <c r="G19" s="37"/>
      <c r="H19" s="336"/>
      <c r="I19" s="75"/>
      <c r="O19" s="75"/>
      <c r="P19" s="76"/>
      <c r="Q19" s="76"/>
    </row>
    <row r="20" spans="1:17" ht="15.95">
      <c r="C20" s="75"/>
      <c r="D20" s="76"/>
      <c r="G20" s="37"/>
      <c r="H20" s="336"/>
      <c r="I20" s="75"/>
      <c r="O20" s="75"/>
      <c r="P20" s="76"/>
      <c r="Q20" s="76"/>
    </row>
    <row r="21" spans="1:17" s="301" customFormat="1" ht="21">
      <c r="A21" s="343" t="s">
        <v>208</v>
      </c>
      <c r="C21" s="332"/>
      <c r="D21" s="333"/>
      <c r="G21" s="334"/>
      <c r="H21" s="335"/>
      <c r="I21" s="332"/>
      <c r="O21" s="332"/>
      <c r="P21" s="333"/>
      <c r="Q21" s="333"/>
    </row>
    <row r="22" spans="1:17" ht="33.950000000000003">
      <c r="A22" s="314" t="s">
        <v>209</v>
      </c>
      <c r="B22" s="113" t="s">
        <v>210</v>
      </c>
      <c r="C22" s="75"/>
      <c r="D22" s="76"/>
      <c r="G22" s="212"/>
      <c r="H22" s="1"/>
      <c r="I22" s="75"/>
      <c r="O22" s="75"/>
      <c r="P22" s="76"/>
      <c r="Q22" s="76"/>
    </row>
    <row r="23" spans="1:17" ht="16.5" customHeight="1">
      <c r="C23" s="75"/>
      <c r="D23" s="76"/>
      <c r="G23" s="212"/>
      <c r="H23" s="1"/>
      <c r="I23" s="75"/>
      <c r="O23" s="75"/>
      <c r="P23" s="76"/>
      <c r="Q23" s="76"/>
    </row>
    <row r="24" spans="1:17" ht="20.100000000000001" customHeight="1">
      <c r="A24" s="486" t="s">
        <v>211</v>
      </c>
      <c r="B24" s="444" t="s">
        <v>212</v>
      </c>
      <c r="C24" s="445"/>
      <c r="D24" s="446"/>
      <c r="F24" s="316" t="s">
        <v>213</v>
      </c>
      <c r="G24" s="148"/>
      <c r="H24" s="149"/>
      <c r="I24" s="462" t="s">
        <v>214</v>
      </c>
      <c r="O24" s="75"/>
      <c r="P24" s="76"/>
      <c r="Q24" s="76"/>
    </row>
    <row r="25" spans="1:17" ht="31.5" customHeight="1">
      <c r="A25" s="486"/>
      <c r="B25" s="92" t="s">
        <v>215</v>
      </c>
      <c r="C25" s="92" t="s">
        <v>216</v>
      </c>
      <c r="D25" s="92" t="s">
        <v>217</v>
      </c>
      <c r="F25" s="331" t="s">
        <v>171</v>
      </c>
      <c r="G25" s="329" t="s">
        <v>218</v>
      </c>
      <c r="H25" s="326" t="s">
        <v>219</v>
      </c>
      <c r="I25" s="463"/>
      <c r="O25" s="75"/>
      <c r="P25" s="76"/>
      <c r="Q25" s="76"/>
    </row>
    <row r="26" spans="1:17" ht="42.75" customHeight="1">
      <c r="A26" s="486"/>
      <c r="B26" s="33" t="s">
        <v>220</v>
      </c>
      <c r="C26" s="41">
        <v>19</v>
      </c>
      <c r="D26" s="36">
        <v>500</v>
      </c>
      <c r="F26" s="5" t="s">
        <v>221</v>
      </c>
      <c r="G26" s="112" t="s">
        <v>45</v>
      </c>
      <c r="H26" s="327" t="s">
        <v>219</v>
      </c>
      <c r="I26" s="463"/>
      <c r="O26" s="75"/>
      <c r="P26" s="76"/>
      <c r="Q26" s="76"/>
    </row>
    <row r="27" spans="1:17" ht="39.75" customHeight="1">
      <c r="A27" s="325"/>
      <c r="B27" s="33" t="s">
        <v>222</v>
      </c>
      <c r="C27" s="41">
        <v>3.3</v>
      </c>
      <c r="D27" s="36">
        <v>500</v>
      </c>
      <c r="F27" s="5" t="s">
        <v>223</v>
      </c>
      <c r="G27" s="330">
        <f ca="1">IF(G25="Region Specific",G28,IF(G25="Country",INDEX(Electricity_EF,MATCH(G26,INDEX(Electricity_EF,0,1),0),2),INDEX(Electricity_EF,MATCH("World",INDEX(Electricity_EF,0,1),0),2)))</f>
        <v>0.438</v>
      </c>
      <c r="H27" s="327" t="s">
        <v>224</v>
      </c>
      <c r="I27" s="463"/>
      <c r="O27" s="75"/>
      <c r="P27" s="76"/>
      <c r="Q27" s="76"/>
    </row>
    <row r="28" spans="1:17" ht="30.75" customHeight="1">
      <c r="B28" s="34" t="s">
        <v>225</v>
      </c>
      <c r="C28" s="42">
        <v>8.4</v>
      </c>
      <c r="D28" s="38">
        <v>500</v>
      </c>
      <c r="F28" s="6" t="s">
        <v>226</v>
      </c>
      <c r="G28" s="131"/>
      <c r="H28" s="328" t="s">
        <v>224</v>
      </c>
      <c r="I28" s="463"/>
      <c r="O28" s="75"/>
      <c r="P28" s="76"/>
      <c r="Q28" s="76"/>
    </row>
    <row r="29" spans="1:17" ht="21" customHeight="1">
      <c r="A29" s="314"/>
      <c r="G29" s="212"/>
      <c r="H29" s="1"/>
      <c r="I29" s="75"/>
      <c r="O29" s="75"/>
      <c r="P29" s="76"/>
      <c r="Q29" s="76"/>
    </row>
    <row r="30" spans="1:17" ht="18.95">
      <c r="A30" s="314"/>
      <c r="B30" s="444" t="s">
        <v>227</v>
      </c>
      <c r="C30" s="445"/>
      <c r="D30" s="446"/>
      <c r="F30" s="347" t="s">
        <v>228</v>
      </c>
      <c r="G30" s="53" t="s">
        <v>229</v>
      </c>
      <c r="H30" s="53" t="s">
        <v>230</v>
      </c>
      <c r="I30" s="454" t="s">
        <v>231</v>
      </c>
      <c r="L30" s="75"/>
      <c r="O30" s="75"/>
      <c r="P30" s="76"/>
      <c r="Q30" s="76"/>
    </row>
    <row r="31" spans="1:17" ht="15.75" customHeight="1">
      <c r="A31" s="314"/>
      <c r="B31" s="34" t="s">
        <v>232</v>
      </c>
      <c r="C31" s="34" t="s">
        <v>233</v>
      </c>
      <c r="D31" s="34" t="s">
        <v>234</v>
      </c>
      <c r="F31" s="64" t="s">
        <v>235</v>
      </c>
      <c r="G31" s="40">
        <v>1</v>
      </c>
      <c r="H31" s="114">
        <f>1-G31</f>
        <v>0</v>
      </c>
      <c r="I31" s="454"/>
      <c r="L31" s="374"/>
      <c r="O31" s="75"/>
      <c r="P31" s="76"/>
      <c r="Q31" s="76"/>
    </row>
    <row r="32" spans="1:17" ht="15.95">
      <c r="A32" s="314"/>
      <c r="B32" s="33" t="s">
        <v>236</v>
      </c>
      <c r="C32" s="40">
        <v>0.37</v>
      </c>
      <c r="D32" s="33" t="s">
        <v>197</v>
      </c>
      <c r="F32" s="65" t="s">
        <v>237</v>
      </c>
      <c r="G32" s="115">
        <v>1</v>
      </c>
      <c r="H32" s="116">
        <f>1-G32</f>
        <v>0</v>
      </c>
      <c r="I32" s="454"/>
      <c r="L32" s="75"/>
      <c r="O32" s="75"/>
      <c r="P32" s="76"/>
      <c r="Q32" s="76"/>
    </row>
    <row r="33" spans="1:17" ht="15.95">
      <c r="B33" s="33" t="s">
        <v>238</v>
      </c>
      <c r="C33" s="161">
        <f>SUMPRODUCT(C26:C28,D26:D28)*C32/1000/3.6</f>
        <v>1.5776388888888888</v>
      </c>
      <c r="D33" s="33" t="s">
        <v>239</v>
      </c>
      <c r="G33" s="212"/>
      <c r="H33" s="1"/>
      <c r="I33" s="75"/>
      <c r="O33" s="75"/>
      <c r="P33" s="76"/>
      <c r="Q33" s="76"/>
    </row>
    <row r="34" spans="1:17" ht="15.95">
      <c r="B34" s="33" t="s">
        <v>240</v>
      </c>
      <c r="C34" s="163">
        <v>3.1</v>
      </c>
      <c r="D34" s="33" t="s">
        <v>239</v>
      </c>
      <c r="E34" t="s">
        <v>241</v>
      </c>
      <c r="G34" s="212"/>
      <c r="H34" s="1"/>
      <c r="I34" s="75"/>
      <c r="O34" s="75"/>
      <c r="P34" s="76"/>
      <c r="Q34" s="76"/>
    </row>
    <row r="35" spans="1:17" ht="15.95">
      <c r="B35" s="34" t="s">
        <v>242</v>
      </c>
      <c r="C35" s="162">
        <f>C34-C33</f>
        <v>1.5223611111111113</v>
      </c>
      <c r="D35" s="34" t="s">
        <v>239</v>
      </c>
      <c r="E35" t="s">
        <v>243</v>
      </c>
      <c r="G35" s="212"/>
      <c r="H35" s="1"/>
      <c r="I35" s="75"/>
      <c r="O35" s="75"/>
      <c r="P35" s="76"/>
      <c r="Q35" s="76"/>
    </row>
    <row r="36" spans="1:17" ht="15.95">
      <c r="B36" s="37"/>
      <c r="C36" s="1"/>
      <c r="D36" s="1"/>
      <c r="G36" s="212"/>
      <c r="H36" s="1"/>
      <c r="I36" s="75"/>
      <c r="O36" s="75"/>
      <c r="P36" s="76"/>
      <c r="Q36" s="76"/>
    </row>
    <row r="37" spans="1:17" ht="15.95">
      <c r="C37" s="75"/>
      <c r="D37" s="76"/>
      <c r="G37" s="212"/>
      <c r="H37" s="1"/>
      <c r="I37" s="75"/>
      <c r="O37" s="75"/>
      <c r="P37" s="76"/>
      <c r="Q37" s="76"/>
    </row>
    <row r="38" spans="1:17" ht="15.95">
      <c r="C38" s="75"/>
      <c r="D38" s="76"/>
      <c r="G38" s="212"/>
      <c r="H38" s="1"/>
      <c r="I38" s="75"/>
      <c r="O38" s="75"/>
      <c r="P38" s="76"/>
      <c r="Q38" s="76"/>
    </row>
    <row r="39" spans="1:17" ht="15.95">
      <c r="C39" s="75"/>
      <c r="D39" s="76"/>
      <c r="G39" s="212"/>
      <c r="H39" s="1"/>
      <c r="I39" s="75"/>
      <c r="O39" s="75"/>
      <c r="P39" s="76"/>
      <c r="Q39" s="76"/>
    </row>
    <row r="40" spans="1:17" s="301" customFormat="1" ht="21">
      <c r="A40" s="343" t="s">
        <v>244</v>
      </c>
      <c r="C40" s="332"/>
      <c r="D40" s="333"/>
      <c r="G40" s="334"/>
      <c r="H40" s="335"/>
      <c r="I40" s="332"/>
      <c r="O40" s="332"/>
      <c r="P40" s="333"/>
      <c r="Q40" s="333"/>
    </row>
    <row r="41" spans="1:17" ht="22.5" customHeight="1">
      <c r="A41" s="491" t="s">
        <v>245</v>
      </c>
      <c r="B41" s="337" t="s">
        <v>246</v>
      </c>
      <c r="C41" s="18"/>
      <c r="H41" s="75"/>
      <c r="I41" s="76"/>
      <c r="J41" s="76"/>
    </row>
    <row r="42" spans="1:17" ht="27.75" customHeight="1">
      <c r="A42" s="491"/>
      <c r="B42" s="99" t="s">
        <v>247</v>
      </c>
      <c r="C42" s="97" t="s">
        <v>248</v>
      </c>
      <c r="D42" s="97" t="s">
        <v>249</v>
      </c>
      <c r="E42" s="97" t="s">
        <v>250</v>
      </c>
      <c r="F42" s="97" t="s">
        <v>251</v>
      </c>
      <c r="G42" s="97" t="s">
        <v>252</v>
      </c>
      <c r="H42" s="97" t="s">
        <v>253</v>
      </c>
      <c r="I42" s="97" t="s">
        <v>254</v>
      </c>
      <c r="J42" s="87" t="s">
        <v>255</v>
      </c>
      <c r="K42" s="97" t="s">
        <v>256</v>
      </c>
      <c r="L42" s="145" t="s">
        <v>257</v>
      </c>
      <c r="M42" s="145" t="s">
        <v>258</v>
      </c>
    </row>
    <row r="43" spans="1:17" ht="15.95" customHeight="1">
      <c r="A43" s="338"/>
      <c r="B43" s="4" t="s">
        <v>259</v>
      </c>
      <c r="C43" s="100" cm="1">
        <f t="array" aca="1" ref="C43" ca="1">SUMPRODUCT(E43:J43*1,E146:J146)</f>
        <v>4694324.7058823528</v>
      </c>
      <c r="D43" s="100">
        <f ca="1">C43/C5</f>
        <v>2.3011395617070356</v>
      </c>
      <c r="E43" s="101" t="b">
        <v>1</v>
      </c>
      <c r="F43" s="102" t="b">
        <v>1</v>
      </c>
      <c r="G43" s="102" t="b">
        <v>1</v>
      </c>
      <c r="H43" s="102" t="b">
        <v>1</v>
      </c>
      <c r="I43" s="102" t="b">
        <v>1</v>
      </c>
      <c r="J43" s="102" t="b">
        <v>0</v>
      </c>
      <c r="K43" s="102" t="b">
        <v>0</v>
      </c>
      <c r="L43" s="102" t="b">
        <v>0</v>
      </c>
      <c r="M43" s="102" t="b">
        <v>0</v>
      </c>
    </row>
    <row r="44" spans="1:17" ht="15.95" customHeight="1">
      <c r="A44" s="338"/>
      <c r="B44" s="6" t="s">
        <v>260</v>
      </c>
      <c r="C44" s="103" cm="1">
        <f t="array" aca="1" ref="C44" ca="1">SUMPRODUCT(E44:M44*1,E146:M146)</f>
        <v>4645881.7726843534</v>
      </c>
      <c r="D44" s="103">
        <f ca="1">C44/C6</f>
        <v>2.3229408863421765</v>
      </c>
      <c r="E44" s="104" t="b">
        <v>1</v>
      </c>
      <c r="F44" s="104" t="b">
        <v>1</v>
      </c>
      <c r="G44" s="104" t="b">
        <v>1</v>
      </c>
      <c r="H44" s="104" t="b">
        <v>1</v>
      </c>
      <c r="I44" s="104" t="b">
        <v>1</v>
      </c>
      <c r="J44" s="104" t="b">
        <v>1</v>
      </c>
      <c r="K44" s="104" t="b">
        <v>1</v>
      </c>
      <c r="L44" s="104" t="b">
        <v>1</v>
      </c>
      <c r="M44" s="104" t="b">
        <v>1</v>
      </c>
    </row>
    <row r="45" spans="1:17" ht="15.95"/>
    <row r="46" spans="1:17" ht="15.95"/>
    <row r="47" spans="1:17" ht="15.95"/>
    <row r="48" spans="1:17" s="301" customFormat="1" ht="21">
      <c r="A48" s="343" t="s">
        <v>261</v>
      </c>
    </row>
    <row r="49" spans="1:24" ht="33.950000000000003">
      <c r="A49" s="382" t="s">
        <v>262</v>
      </c>
      <c r="B49" s="113" t="s">
        <v>263</v>
      </c>
    </row>
    <row r="50" spans="1:24" ht="16.5" customHeight="1">
      <c r="B50" s="460" t="s">
        <v>264</v>
      </c>
      <c r="C50" s="461"/>
      <c r="D50" s="461"/>
      <c r="E50" s="451" t="s">
        <v>265</v>
      </c>
      <c r="F50" s="469"/>
      <c r="G50" s="469"/>
      <c r="H50" s="469"/>
      <c r="I50" s="469"/>
      <c r="J50" s="469"/>
      <c r="K50" s="469"/>
      <c r="L50" s="469"/>
      <c r="M50" s="469"/>
      <c r="N50" s="452"/>
      <c r="O50" s="468" t="s">
        <v>266</v>
      </c>
      <c r="P50" s="466"/>
      <c r="Q50" s="466"/>
      <c r="R50" s="467"/>
      <c r="S50" s="465" t="s">
        <v>267</v>
      </c>
      <c r="T50" s="466"/>
      <c r="U50" s="466"/>
      <c r="V50" s="466"/>
      <c r="W50" s="467"/>
      <c r="X50" s="425" t="s">
        <v>268</v>
      </c>
    </row>
    <row r="51" spans="1:24" ht="33.950000000000003">
      <c r="B51" s="23" t="s">
        <v>269</v>
      </c>
      <c r="C51" s="24" t="s">
        <v>25</v>
      </c>
      <c r="D51" s="24" t="s">
        <v>234</v>
      </c>
      <c r="E51" s="290" t="s">
        <v>250</v>
      </c>
      <c r="F51" s="290" t="s">
        <v>270</v>
      </c>
      <c r="G51" s="290" t="s">
        <v>252</v>
      </c>
      <c r="H51" s="290" t="s">
        <v>253</v>
      </c>
      <c r="I51" s="318" t="s">
        <v>254</v>
      </c>
      <c r="J51" s="291" t="s">
        <v>271</v>
      </c>
      <c r="K51" s="291" t="s">
        <v>256</v>
      </c>
      <c r="L51" s="289" t="s">
        <v>257</v>
      </c>
      <c r="M51" s="290" t="s">
        <v>272</v>
      </c>
      <c r="N51" s="288" t="s">
        <v>273</v>
      </c>
      <c r="O51" s="24" t="s">
        <v>274</v>
      </c>
      <c r="P51" s="25" t="s">
        <v>275</v>
      </c>
      <c r="Q51" s="2" t="s">
        <v>276</v>
      </c>
      <c r="R51" s="24" t="s">
        <v>277</v>
      </c>
      <c r="S51" s="24" t="s">
        <v>278</v>
      </c>
      <c r="T51" s="24" t="s">
        <v>279</v>
      </c>
      <c r="U51" s="24" t="s">
        <v>280</v>
      </c>
      <c r="V51" s="24" t="s">
        <v>281</v>
      </c>
      <c r="W51" s="25" t="s">
        <v>282</v>
      </c>
      <c r="X51" s="427"/>
    </row>
    <row r="52" spans="1:24" ht="15.95" customHeight="1">
      <c r="A52" s="476" t="s">
        <v>283</v>
      </c>
      <c r="B52" s="4" t="s">
        <v>179</v>
      </c>
      <c r="C52" s="425" t="s">
        <v>284</v>
      </c>
      <c r="D52" s="9" t="s">
        <v>61</v>
      </c>
      <c r="E52" s="27"/>
      <c r="F52" s="27">
        <v>2500000</v>
      </c>
      <c r="G52" s="27"/>
      <c r="H52" s="281"/>
      <c r="I52" s="319"/>
      <c r="J52" s="282"/>
      <c r="K52" s="282"/>
      <c r="L52" s="283"/>
      <c r="M52" s="27"/>
      <c r="N52" s="28">
        <f t="shared" ref="N52:N91" si="1">SUM(E52:M52)</f>
        <v>2500000</v>
      </c>
      <c r="O52" s="11" t="s">
        <v>285</v>
      </c>
      <c r="P52" s="11"/>
      <c r="Q52" s="9">
        <f ca="1">IFERROR(IF(O52="Default",INDEX(Direct_Lookup,MATCH(B52,INDEX(Direct_Lookup,0,1),0),2),P52),0)</f>
        <v>3.6999999999999998E-2</v>
      </c>
      <c r="R52" s="28">
        <f t="shared" ref="R52:R91" ca="1" si="2">N52*Q52</f>
        <v>92500</v>
      </c>
      <c r="S52" s="111" t="s">
        <v>286</v>
      </c>
      <c r="T52" s="11"/>
      <c r="U52" s="14">
        <v>1</v>
      </c>
      <c r="V52" s="9">
        <f ca="1">IF(S52="Default",INDEX(Indirect_Lookup,MATCH(B52,INDEX(Indirect_Lookup,0,1),0),2),IF(S52="Included",0,T52))</f>
        <v>0</v>
      </c>
      <c r="W52" s="28">
        <f t="shared" ref="W52:W91" ca="1" si="3">V52*N52</f>
        <v>0</v>
      </c>
      <c r="X52" s="30">
        <f t="shared" ref="X52:X91" ca="1" si="4">R52+W52</f>
        <v>92500</v>
      </c>
    </row>
    <row r="53" spans="1:24" ht="17.100000000000001" customHeight="1">
      <c r="A53" s="476"/>
      <c r="B53" s="155" t="s">
        <v>287</v>
      </c>
      <c r="C53" s="426"/>
      <c r="D53" s="7" t="s">
        <v>61</v>
      </c>
      <c r="E53" s="29"/>
      <c r="F53" s="29"/>
      <c r="G53" s="29">
        <v>40000</v>
      </c>
      <c r="H53" s="264">
        <v>10000</v>
      </c>
      <c r="I53" s="16"/>
      <c r="J53" s="269"/>
      <c r="K53" s="269"/>
      <c r="L53" s="186"/>
      <c r="M53" s="29"/>
      <c r="N53" s="17">
        <f t="shared" si="1"/>
        <v>50000</v>
      </c>
      <c r="O53" s="12" t="s">
        <v>285</v>
      </c>
      <c r="P53" s="12"/>
      <c r="Q53" s="7">
        <f ca="1">IFERROR(IF(O53="Default",INDEX(Direct_Lookup,MATCH(B53,INDEX(Direct_Lookup,0,1),0),2),P53),0)</f>
        <v>0</v>
      </c>
      <c r="R53" s="17">
        <f t="shared" ca="1" si="2"/>
        <v>0</v>
      </c>
      <c r="S53" s="112" t="s">
        <v>285</v>
      </c>
      <c r="T53" s="12"/>
      <c r="U53" s="15">
        <v>1</v>
      </c>
      <c r="V53" s="7">
        <f ca="1">IF(S53="Default",INDEX(Indirect_Lookup,MATCH(B53,INDEX(Indirect_Lookup,0,1),0),2),IF(S53="Included",0,T53))</f>
        <v>0</v>
      </c>
      <c r="W53" s="17">
        <f t="shared" ca="1" si="3"/>
        <v>0</v>
      </c>
      <c r="X53" s="31">
        <f t="shared" ca="1" si="4"/>
        <v>0</v>
      </c>
    </row>
    <row r="54" spans="1:24" ht="15.95" customHeight="1">
      <c r="A54" s="476"/>
      <c r="B54" s="5" t="s">
        <v>288</v>
      </c>
      <c r="C54" s="426"/>
      <c r="D54" s="7" t="s">
        <v>61</v>
      </c>
      <c r="E54" s="29"/>
      <c r="F54" s="29"/>
      <c r="G54" s="29">
        <v>100000</v>
      </c>
      <c r="H54" s="264">
        <v>25000</v>
      </c>
      <c r="I54" s="16"/>
      <c r="J54" s="269"/>
      <c r="K54" s="269"/>
      <c r="L54" s="186"/>
      <c r="M54" s="29"/>
      <c r="N54" s="31">
        <f t="shared" si="1"/>
        <v>125000</v>
      </c>
      <c r="O54" s="109" t="s">
        <v>285</v>
      </c>
      <c r="P54" s="12"/>
      <c r="Q54" s="7">
        <f ca="1">IFERROR(IF(O54="Default",INDEX(Direct_Lookup,MATCH(B54,INDEX(Direct_Lookup,0,1),0),2),P54),0)</f>
        <v>0</v>
      </c>
      <c r="R54" s="31">
        <f t="shared" ca="1" si="2"/>
        <v>0</v>
      </c>
      <c r="S54" s="194" t="s">
        <v>285</v>
      </c>
      <c r="T54" s="12"/>
      <c r="U54" s="196">
        <v>1</v>
      </c>
      <c r="V54" s="7">
        <f ca="1">IF(S54="Default",INDEX(Indirect_Lookup,MATCH(B54,INDEX(Indirect_Lookup,0,1),0),2),IF(S54="Included",0,T54))</f>
        <v>0</v>
      </c>
      <c r="W54" s="17">
        <f t="shared" ca="1" si="3"/>
        <v>0</v>
      </c>
      <c r="X54" s="31">
        <f t="shared" ca="1" si="4"/>
        <v>0</v>
      </c>
    </row>
    <row r="55" spans="1:24" ht="17.100000000000001" customHeight="1">
      <c r="A55" s="476"/>
      <c r="B55" s="155" t="s">
        <v>289</v>
      </c>
      <c r="C55" s="426"/>
      <c r="D55" s="7" t="s">
        <v>61</v>
      </c>
      <c r="E55" s="29"/>
      <c r="F55" s="29"/>
      <c r="G55" s="29">
        <v>50000</v>
      </c>
      <c r="H55" s="264">
        <v>25000</v>
      </c>
      <c r="I55" s="16"/>
      <c r="J55" s="269"/>
      <c r="K55" s="269"/>
      <c r="L55" s="186"/>
      <c r="M55" s="29"/>
      <c r="N55" s="17">
        <f t="shared" si="1"/>
        <v>75000</v>
      </c>
      <c r="O55" s="12" t="s">
        <v>285</v>
      </c>
      <c r="P55" s="12"/>
      <c r="Q55" s="7">
        <f ca="1">IFERROR(IF(O55="Default",INDEX(Direct_Lookup,MATCH(B55,INDEX(Direct_Lookup,0,1),0),2),P55),0)</f>
        <v>0</v>
      </c>
      <c r="R55" s="17">
        <f t="shared" ca="1" si="2"/>
        <v>0</v>
      </c>
      <c r="S55" s="112" t="s">
        <v>285</v>
      </c>
      <c r="T55" s="12"/>
      <c r="U55" s="15">
        <v>1</v>
      </c>
      <c r="V55" s="7">
        <f ca="1">IF(S55="Default",INDEX(Indirect_Lookup,MATCH(B55,INDEX(Indirect_Lookup,0,1),0),2),IF(S55="Included",0,T55))</f>
        <v>0</v>
      </c>
      <c r="W55" s="17">
        <f t="shared" ca="1" si="3"/>
        <v>0</v>
      </c>
      <c r="X55" s="31">
        <f t="shared" ca="1" si="4"/>
        <v>0</v>
      </c>
    </row>
    <row r="56" spans="1:24" ht="15.95" customHeight="1">
      <c r="A56" s="476"/>
      <c r="B56" s="6" t="s">
        <v>290</v>
      </c>
      <c r="C56" s="427"/>
      <c r="D56" s="7" t="s">
        <v>61</v>
      </c>
      <c r="E56" s="29"/>
      <c r="F56" s="29"/>
      <c r="G56" s="29">
        <v>100000</v>
      </c>
      <c r="H56" s="264">
        <v>50000</v>
      </c>
      <c r="I56" s="16"/>
      <c r="J56" s="269"/>
      <c r="K56" s="269"/>
      <c r="L56" s="186"/>
      <c r="M56" s="29"/>
      <c r="N56" s="17">
        <f t="shared" si="1"/>
        <v>150000</v>
      </c>
      <c r="O56" s="12" t="s">
        <v>285</v>
      </c>
      <c r="P56" s="13"/>
      <c r="Q56" s="7">
        <f ca="1">IFERROR(IF(O56="Default",INDEX(Direct_Lookup,MATCH(B56,INDEX(Direct_Lookup,0,1),0),2),P56),0)</f>
        <v>0</v>
      </c>
      <c r="R56" s="17">
        <f t="shared" ca="1" si="2"/>
        <v>0</v>
      </c>
      <c r="S56" s="112" t="s">
        <v>285</v>
      </c>
      <c r="T56" s="12"/>
      <c r="U56" s="15">
        <v>1</v>
      </c>
      <c r="V56" s="7">
        <f ca="1">IF(S56="Default",INDEX(Indirect_Lookup,MATCH(B56,INDEX(Indirect_Lookup,0,1),0),2),IF(S56="Included",0,T56))</f>
        <v>0</v>
      </c>
      <c r="W56" s="17">
        <f t="shared" ca="1" si="3"/>
        <v>0</v>
      </c>
      <c r="X56" s="31">
        <f t="shared" ca="1" si="4"/>
        <v>0</v>
      </c>
    </row>
    <row r="57" spans="1:24" ht="15.95" customHeight="1">
      <c r="A57" s="476"/>
      <c r="B57" s="5" t="s">
        <v>291</v>
      </c>
      <c r="C57" s="425" t="s">
        <v>292</v>
      </c>
      <c r="D57" s="7" t="s">
        <v>61</v>
      </c>
      <c r="E57" s="29"/>
      <c r="F57" s="29">
        <v>762000</v>
      </c>
      <c r="G57" s="29"/>
      <c r="H57" s="264"/>
      <c r="I57" s="16"/>
      <c r="J57" s="269"/>
      <c r="K57" s="269"/>
      <c r="L57" s="186"/>
      <c r="M57" s="29"/>
      <c r="N57" s="17">
        <f t="shared" si="1"/>
        <v>762000</v>
      </c>
      <c r="O57" s="12" t="s">
        <v>285</v>
      </c>
      <c r="P57" s="13"/>
      <c r="Q57" s="7">
        <f ca="1">IFERROR(IF(O57="Default",INDEX(Direct_Lookup,MATCH(B57,INDEX(Direct_Lookup,0,1),0),2),P57),0)</f>
        <v>3.06</v>
      </c>
      <c r="R57" s="17">
        <f t="shared" ca="1" si="2"/>
        <v>2331720</v>
      </c>
      <c r="S57" s="112" t="s">
        <v>285</v>
      </c>
      <c r="T57" s="16"/>
      <c r="U57" s="15">
        <v>1</v>
      </c>
      <c r="V57" s="8">
        <f ca="1">IF(S57="Default",INDEX(Indirect_Lookup,MATCH(B57,INDEX(Indirect_Lookup,0,1),0),2),IF(S57="Included",0,T57))</f>
        <v>0.39999999999999997</v>
      </c>
      <c r="W57" s="17">
        <f t="shared" ca="1" si="3"/>
        <v>304800</v>
      </c>
      <c r="X57" s="31">
        <f t="shared" ca="1" si="4"/>
        <v>2636520</v>
      </c>
    </row>
    <row r="58" spans="1:24" ht="15.95" customHeight="1">
      <c r="A58" s="476"/>
      <c r="B58" s="5" t="s">
        <v>293</v>
      </c>
      <c r="C58" s="426"/>
      <c r="D58" s="7" t="s">
        <v>61</v>
      </c>
      <c r="E58" s="29"/>
      <c r="F58" s="29"/>
      <c r="G58" s="29">
        <v>464000</v>
      </c>
      <c r="H58" s="264"/>
      <c r="I58" s="16"/>
      <c r="J58" s="269"/>
      <c r="K58" s="269"/>
      <c r="L58" s="186"/>
      <c r="M58" s="29"/>
      <c r="N58" s="17">
        <f t="shared" si="1"/>
        <v>464000</v>
      </c>
      <c r="O58" s="12" t="s">
        <v>285</v>
      </c>
      <c r="P58" s="13"/>
      <c r="Q58" s="7">
        <f ca="1">IFERROR(IF(O58="Default",INDEX(Direct_Lookup,MATCH(B58,INDEX(Direct_Lookup,0,1),0),2),P58),0)</f>
        <v>2.9529999999999998</v>
      </c>
      <c r="R58" s="17">
        <f t="shared" ca="1" si="2"/>
        <v>1370192</v>
      </c>
      <c r="S58" s="112" t="s">
        <v>285</v>
      </c>
      <c r="T58" s="16"/>
      <c r="U58" s="15">
        <v>1</v>
      </c>
      <c r="V58" s="8">
        <f ca="1">IF(S58="Default",INDEX(Indirect_Lookup,MATCH(B58,INDEX(Indirect_Lookup,0,1),0),2),IF(S58="Included",0,T58))</f>
        <v>0.39999999999999997</v>
      </c>
      <c r="W58" s="17">
        <f t="shared" ca="1" si="3"/>
        <v>185599.99999999997</v>
      </c>
      <c r="X58" s="31">
        <f t="shared" ca="1" si="4"/>
        <v>1555792</v>
      </c>
    </row>
    <row r="59" spans="1:24" ht="15.95" customHeight="1">
      <c r="A59" s="476"/>
      <c r="B59" s="5" t="s">
        <v>294</v>
      </c>
      <c r="C59" s="426"/>
      <c r="D59" s="7" t="s">
        <v>61</v>
      </c>
      <c r="E59" s="29"/>
      <c r="F59" s="29"/>
      <c r="G59" s="29"/>
      <c r="H59" s="264"/>
      <c r="I59" s="16"/>
      <c r="J59" s="269"/>
      <c r="K59" s="269"/>
      <c r="L59" s="186"/>
      <c r="M59" s="29"/>
      <c r="N59" s="17">
        <f t="shared" si="1"/>
        <v>0</v>
      </c>
      <c r="O59" s="12" t="s">
        <v>285</v>
      </c>
      <c r="P59" s="13"/>
      <c r="Q59" s="7">
        <f ca="1">IFERROR(IF(O59="Default",INDEX(Direct_Lookup,MATCH(B59,INDEX(Direct_Lookup,0,1),0),2),P59),0)</f>
        <v>2.7850000000000001</v>
      </c>
      <c r="R59" s="17">
        <f t="shared" ca="1" si="2"/>
        <v>0</v>
      </c>
      <c r="S59" s="112" t="s">
        <v>285</v>
      </c>
      <c r="T59" s="16"/>
      <c r="U59" s="15">
        <v>1</v>
      </c>
      <c r="V59" s="8">
        <f ca="1">IF(S59="Default",INDEX(Indirect_Lookup,MATCH(B59,INDEX(Indirect_Lookup,0,1),0),2),IF(S59="Included",0,T59))</f>
        <v>0.39999999999999997</v>
      </c>
      <c r="W59" s="17">
        <f t="shared" ca="1" si="3"/>
        <v>0</v>
      </c>
      <c r="X59" s="31">
        <f t="shared" ca="1" si="4"/>
        <v>0</v>
      </c>
    </row>
    <row r="60" spans="1:24" ht="15.95" customHeight="1">
      <c r="A60" s="476"/>
      <c r="B60" s="5" t="s">
        <v>295</v>
      </c>
      <c r="C60" s="426"/>
      <c r="D60" s="7" t="s">
        <v>61</v>
      </c>
      <c r="E60" s="29"/>
      <c r="F60" s="29"/>
      <c r="G60" s="29"/>
      <c r="H60" s="264"/>
      <c r="I60" s="16"/>
      <c r="J60" s="269"/>
      <c r="K60" s="269"/>
      <c r="L60" s="186"/>
      <c r="M60" s="29"/>
      <c r="N60" s="17">
        <f t="shared" si="1"/>
        <v>0</v>
      </c>
      <c r="O60" s="12" t="s">
        <v>285</v>
      </c>
      <c r="P60" s="13"/>
      <c r="Q60" s="7">
        <f ca="1">IFERROR(IF(O60="Default",INDEX(Direct_Lookup,MATCH(B60,INDEX(Direct_Lookup,0,1),0),2),P60),0)</f>
        <v>2.4620000000000002</v>
      </c>
      <c r="R60" s="17">
        <f t="shared" ca="1" si="2"/>
        <v>0</v>
      </c>
      <c r="S60" s="112" t="s">
        <v>285</v>
      </c>
      <c r="T60" s="16"/>
      <c r="U60" s="15">
        <v>1</v>
      </c>
      <c r="V60" s="8">
        <f ca="1">IF(S60="Default",INDEX(Indirect_Lookup,MATCH(B60,INDEX(Indirect_Lookup,0,1),0),2),IF(S60="Included",0,T60))</f>
        <v>0.39999999999999997</v>
      </c>
      <c r="W60" s="17">
        <f t="shared" ca="1" si="3"/>
        <v>0</v>
      </c>
      <c r="X60" s="31">
        <f t="shared" ca="1" si="4"/>
        <v>0</v>
      </c>
    </row>
    <row r="61" spans="1:24" ht="15.95" customHeight="1">
      <c r="A61" s="476"/>
      <c r="B61" s="5" t="s">
        <v>296</v>
      </c>
      <c r="C61" s="426"/>
      <c r="D61" s="7" t="s">
        <v>61</v>
      </c>
      <c r="E61" s="29"/>
      <c r="F61" s="29"/>
      <c r="G61" s="29"/>
      <c r="H61" s="264"/>
      <c r="I61" s="16"/>
      <c r="J61" s="269"/>
      <c r="K61" s="269"/>
      <c r="L61" s="186"/>
      <c r="M61" s="29"/>
      <c r="N61" s="17">
        <f t="shared" si="1"/>
        <v>0</v>
      </c>
      <c r="O61" s="12" t="s">
        <v>285</v>
      </c>
      <c r="P61" s="13"/>
      <c r="Q61" s="7">
        <f ca="1">IFERROR(IF(O61="Default",INDEX(Direct_Lookup,MATCH(B61,INDEX(Direct_Lookup,0,1),0),2),P61),0)</f>
        <v>0</v>
      </c>
      <c r="R61" s="17">
        <f t="shared" ca="1" si="2"/>
        <v>0</v>
      </c>
      <c r="S61" s="112" t="s">
        <v>285</v>
      </c>
      <c r="T61" s="16"/>
      <c r="U61" s="15">
        <v>1</v>
      </c>
      <c r="V61" s="8">
        <f ca="1">IF(S61="Default",INDEX(Indirect_Lookup,MATCH(B61,INDEX(Indirect_Lookup,0,1),0),2),IF(S61="Included",0,T61))</f>
        <v>0.39999999999999997</v>
      </c>
      <c r="W61" s="17">
        <f t="shared" ca="1" si="3"/>
        <v>0</v>
      </c>
      <c r="X61" s="31">
        <f t="shared" ca="1" si="4"/>
        <v>0</v>
      </c>
    </row>
    <row r="62" spans="1:24" ht="15.95" customHeight="1">
      <c r="A62" s="475" t="s">
        <v>297</v>
      </c>
      <c r="B62" s="5" t="s">
        <v>298</v>
      </c>
      <c r="C62" s="426"/>
      <c r="D62" s="7" t="s">
        <v>61</v>
      </c>
      <c r="E62" s="29"/>
      <c r="F62" s="29"/>
      <c r="G62" s="13"/>
      <c r="H62" s="264"/>
      <c r="I62" s="16"/>
      <c r="J62" s="269"/>
      <c r="K62" s="269"/>
      <c r="L62" s="186"/>
      <c r="M62" s="29"/>
      <c r="N62" s="17">
        <f t="shared" si="1"/>
        <v>0</v>
      </c>
      <c r="O62" s="12" t="s">
        <v>285</v>
      </c>
      <c r="P62" s="13"/>
      <c r="Q62" s="7">
        <f ca="1">IFERROR(IF(O62="Default",INDEX(Direct_Lookup,MATCH(B62,INDEX(Direct_Lookup,0,1),0),2),P62),0)</f>
        <v>3.2570000000000001</v>
      </c>
      <c r="R62" s="17">
        <f t="shared" ca="1" si="2"/>
        <v>0</v>
      </c>
      <c r="S62" s="112" t="s">
        <v>285</v>
      </c>
      <c r="T62" s="16"/>
      <c r="U62" s="15">
        <v>1</v>
      </c>
      <c r="V62" s="8">
        <f ca="1">IF(S62="Default",INDEX(Indirect_Lookup,MATCH(B62,INDEX(Indirect_Lookup,0,1),0),2),IF(S62="Included",0,T62))</f>
        <v>0.39999999999999997</v>
      </c>
      <c r="W62" s="17">
        <f t="shared" ca="1" si="3"/>
        <v>0</v>
      </c>
      <c r="X62" s="31">
        <f t="shared" ca="1" si="4"/>
        <v>0</v>
      </c>
    </row>
    <row r="63" spans="1:24" ht="15.95" customHeight="1">
      <c r="A63" s="476"/>
      <c r="B63" s="6" t="s">
        <v>299</v>
      </c>
      <c r="C63" s="427"/>
      <c r="D63" s="7" t="s">
        <v>61</v>
      </c>
      <c r="E63" s="29"/>
      <c r="F63" s="29"/>
      <c r="G63" s="29">
        <v>5000</v>
      </c>
      <c r="H63" s="264"/>
      <c r="I63" s="16"/>
      <c r="J63" s="269"/>
      <c r="K63" s="269"/>
      <c r="L63" s="186"/>
      <c r="M63" s="29"/>
      <c r="N63" s="17">
        <f t="shared" si="1"/>
        <v>5000</v>
      </c>
      <c r="O63" s="12" t="s">
        <v>285</v>
      </c>
      <c r="P63" s="13"/>
      <c r="Q63" s="7">
        <f ca="1">IFERROR(IF(O63="Default",INDEX(Direct_Lookup,MATCH(B63,INDEX(Direct_Lookup,0,1),0),2),P63),0)</f>
        <v>3.2570000000000001</v>
      </c>
      <c r="R63" s="17">
        <f t="shared" ca="1" si="2"/>
        <v>16285</v>
      </c>
      <c r="S63" s="112" t="s">
        <v>286</v>
      </c>
      <c r="T63" s="109"/>
      <c r="U63" s="15">
        <v>1</v>
      </c>
      <c r="V63" s="8">
        <f ca="1">IF(S63="Default",INDEX(Indirect_Lookup,MATCH(B63,INDEX(Indirect_Lookup,0,1),0),2),IF(S63="Included",0,T63))</f>
        <v>0</v>
      </c>
      <c r="W63" s="17">
        <f t="shared" ca="1" si="3"/>
        <v>0</v>
      </c>
      <c r="X63" s="31">
        <f t="shared" ca="1" si="4"/>
        <v>16285</v>
      </c>
    </row>
    <row r="64" spans="1:24" ht="15.95" customHeight="1">
      <c r="A64" s="476"/>
      <c r="B64" s="5" t="s">
        <v>300</v>
      </c>
      <c r="C64" s="449" t="s">
        <v>301</v>
      </c>
      <c r="D64" s="7" t="s">
        <v>302</v>
      </c>
      <c r="E64" s="29"/>
      <c r="F64" s="29"/>
      <c r="G64" s="29"/>
      <c r="H64" s="264"/>
      <c r="I64" s="16"/>
      <c r="J64" s="269"/>
      <c r="K64" s="269"/>
      <c r="L64" s="186"/>
      <c r="M64" s="29"/>
      <c r="N64" s="17">
        <f t="shared" si="1"/>
        <v>0</v>
      </c>
      <c r="O64" s="12" t="s">
        <v>285</v>
      </c>
      <c r="P64" s="13"/>
      <c r="Q64" s="7">
        <f ca="1">IFERROR(IF(O64="Default",INDEX(Direct_Lookup,MATCH(B64,INDEX(Direct_Lookup,0,1),0),2),P64),0)</f>
        <v>2.601</v>
      </c>
      <c r="R64" s="17">
        <f t="shared" ca="1" si="2"/>
        <v>0</v>
      </c>
      <c r="S64" s="112" t="s">
        <v>286</v>
      </c>
      <c r="T64" s="16"/>
      <c r="U64" s="15">
        <v>1</v>
      </c>
      <c r="V64" s="8">
        <f ca="1">IF(S64="Default",INDEX(Indirect_Lookup,MATCH(B64,INDEX(Indirect_Lookup,0,1),0),2),IF(S64="Included",0,T64))</f>
        <v>0</v>
      </c>
      <c r="W64" s="17">
        <f t="shared" ca="1" si="3"/>
        <v>0</v>
      </c>
      <c r="X64" s="31">
        <f t="shared" ca="1" si="4"/>
        <v>0</v>
      </c>
    </row>
    <row r="65" spans="1:24" ht="15.95" customHeight="1">
      <c r="A65" s="476"/>
      <c r="B65" s="5" t="s">
        <v>303</v>
      </c>
      <c r="C65" s="450"/>
      <c r="D65" s="7" t="s">
        <v>302</v>
      </c>
      <c r="E65" s="29"/>
      <c r="F65" s="29"/>
      <c r="G65" s="29"/>
      <c r="H65" s="264"/>
      <c r="I65" s="16"/>
      <c r="J65" s="269"/>
      <c r="K65" s="269"/>
      <c r="L65" s="186"/>
      <c r="M65" s="29"/>
      <c r="N65" s="17">
        <f t="shared" si="1"/>
        <v>0</v>
      </c>
      <c r="O65" s="12" t="s">
        <v>285</v>
      </c>
      <c r="P65" s="13"/>
      <c r="Q65" s="7">
        <f ca="1">IFERROR(IF(O65="Default",INDEX(Direct_Lookup,MATCH(B65,INDEX(Direct_Lookup,0,1),0),2),P65),0)</f>
        <v>2.907</v>
      </c>
      <c r="R65" s="17">
        <f t="shared" ca="1" si="2"/>
        <v>0</v>
      </c>
      <c r="S65" s="112" t="s">
        <v>286</v>
      </c>
      <c r="T65" s="16"/>
      <c r="U65" s="15">
        <v>1</v>
      </c>
      <c r="V65" s="8">
        <f ca="1">IF(S65="Default",INDEX(Indirect_Lookup,MATCH(B65,INDEX(Indirect_Lookup,0,1),0),2),IF(S65="Included",0,T65))</f>
        <v>0</v>
      </c>
      <c r="W65" s="17">
        <f t="shared" ca="1" si="3"/>
        <v>0</v>
      </c>
      <c r="X65" s="31">
        <f t="shared" ca="1" si="4"/>
        <v>0</v>
      </c>
    </row>
    <row r="66" spans="1:24" ht="15.95" customHeight="1">
      <c r="A66" s="476"/>
      <c r="B66" s="5" t="s">
        <v>304</v>
      </c>
      <c r="C66" s="450"/>
      <c r="D66" s="7" t="s">
        <v>61</v>
      </c>
      <c r="E66" s="29"/>
      <c r="F66" s="29"/>
      <c r="G66" s="29"/>
      <c r="H66" s="264"/>
      <c r="I66" s="16"/>
      <c r="J66" s="269"/>
      <c r="K66" s="269"/>
      <c r="L66" s="186"/>
      <c r="M66" s="29"/>
      <c r="N66" s="17">
        <f t="shared" si="1"/>
        <v>0</v>
      </c>
      <c r="O66" s="12" t="s">
        <v>285</v>
      </c>
      <c r="P66" s="13"/>
      <c r="Q66" s="7">
        <f ca="1">IFERROR(IF(O66="Default",INDEX(Direct_Lookup,MATCH(B66,INDEX(Direct_Lookup,0,1),0),2),P66),0)</f>
        <v>3.1509999999999998</v>
      </c>
      <c r="R66" s="17">
        <f t="shared" ca="1" si="2"/>
        <v>0</v>
      </c>
      <c r="S66" s="112" t="s">
        <v>286</v>
      </c>
      <c r="T66" s="16"/>
      <c r="U66" s="15">
        <v>1</v>
      </c>
      <c r="V66" s="8">
        <f ca="1">IF(S66="Default",INDEX(Indirect_Lookup,MATCH(B66,INDEX(Indirect_Lookup,0,1),0),2),IF(S66="Included",0,T66))</f>
        <v>0</v>
      </c>
      <c r="W66" s="17">
        <f t="shared" ca="1" si="3"/>
        <v>0</v>
      </c>
      <c r="X66" s="31">
        <f t="shared" ca="1" si="4"/>
        <v>0</v>
      </c>
    </row>
    <row r="67" spans="1:24" ht="15.95" customHeight="1">
      <c r="A67" s="476"/>
      <c r="B67" s="5" t="s">
        <v>305</v>
      </c>
      <c r="C67" s="450"/>
      <c r="D67" s="7" t="s">
        <v>61</v>
      </c>
      <c r="E67" s="29"/>
      <c r="F67" s="29"/>
      <c r="G67" s="29"/>
      <c r="H67" s="264"/>
      <c r="I67" s="16"/>
      <c r="J67" s="269"/>
      <c r="K67" s="269"/>
      <c r="L67" s="186"/>
      <c r="M67" s="29"/>
      <c r="N67" s="17">
        <f t="shared" si="1"/>
        <v>0</v>
      </c>
      <c r="O67" s="12" t="s">
        <v>285</v>
      </c>
      <c r="P67" s="13"/>
      <c r="Q67" s="7">
        <f ca="1">IFERROR(IF(O67="Default",INDEX(Direct_Lookup,MATCH(B67,INDEX(Direct_Lookup,0,1),0),2),P67),0)</f>
        <v>2.9849999999999999</v>
      </c>
      <c r="R67" s="17">
        <f t="shared" ca="1" si="2"/>
        <v>0</v>
      </c>
      <c r="S67" s="112" t="s">
        <v>286</v>
      </c>
      <c r="T67" s="16"/>
      <c r="U67" s="15">
        <v>1</v>
      </c>
      <c r="V67" s="8">
        <f ca="1">IF(S67="Default",INDEX(Indirect_Lookup,MATCH(B67,INDEX(Indirect_Lookup,0,1),0),2),IF(S67="Included",0,T67))</f>
        <v>0</v>
      </c>
      <c r="W67" s="17">
        <f t="shared" ca="1" si="3"/>
        <v>0</v>
      </c>
      <c r="X67" s="31">
        <f t="shared" ca="1" si="4"/>
        <v>0</v>
      </c>
    </row>
    <row r="68" spans="1:24" ht="15.95" customHeight="1">
      <c r="A68" s="476"/>
      <c r="B68" s="6" t="s">
        <v>306</v>
      </c>
      <c r="C68" s="450"/>
      <c r="D68" s="7" t="s">
        <v>302</v>
      </c>
      <c r="E68" s="29"/>
      <c r="F68" s="29"/>
      <c r="G68" s="29"/>
      <c r="H68" s="320"/>
      <c r="I68" s="16"/>
      <c r="J68" s="29">
        <v>60000</v>
      </c>
      <c r="K68" s="269"/>
      <c r="L68" s="186"/>
      <c r="M68" s="29"/>
      <c r="N68" s="17">
        <f t="shared" si="1"/>
        <v>60000</v>
      </c>
      <c r="O68" s="12" t="s">
        <v>285</v>
      </c>
      <c r="P68" s="13"/>
      <c r="Q68" s="178">
        <f ca="1">IFERROR(IF(O68="Default",INDEX(Direct_Lookup,MATCH(B68,INDEX(Direct_Lookup,0,1),0),2),P68),0)</f>
        <v>2.2114058355437666E-3</v>
      </c>
      <c r="R68" s="17">
        <f t="shared" ca="1" si="2"/>
        <v>132.68435013262601</v>
      </c>
      <c r="S68" s="112" t="s">
        <v>285</v>
      </c>
      <c r="T68" s="16"/>
      <c r="U68" s="15">
        <v>1</v>
      </c>
      <c r="V68" s="224">
        <f ca="1">IF(S68="Default",INDEX(Indirect_Lookup,MATCH(B68,INDEX(Indirect_Lookup,0,1),0),2),IF(S68="Included",0,T68))</f>
        <v>6.4887573964497042E-4</v>
      </c>
      <c r="W68" s="17">
        <f t="shared" ca="1" si="3"/>
        <v>38.932544378698225</v>
      </c>
      <c r="X68" s="31">
        <f t="shared" ca="1" si="4"/>
        <v>171.61689451132423</v>
      </c>
    </row>
    <row r="69" spans="1:24" ht="15.95" customHeight="1">
      <c r="A69" s="476"/>
      <c r="B69" s="5" t="s">
        <v>182</v>
      </c>
      <c r="C69" s="449" t="s">
        <v>307</v>
      </c>
      <c r="D69" s="7" t="s">
        <v>61</v>
      </c>
      <c r="E69" s="29"/>
      <c r="F69" s="29"/>
      <c r="G69" s="29">
        <v>900000</v>
      </c>
      <c r="H69" s="264"/>
      <c r="I69" s="16"/>
      <c r="J69" s="269"/>
      <c r="K69" s="269"/>
      <c r="L69" s="186"/>
      <c r="M69" s="29"/>
      <c r="N69" s="17">
        <f t="shared" si="1"/>
        <v>900000</v>
      </c>
      <c r="O69" s="12" t="s">
        <v>285</v>
      </c>
      <c r="P69" s="13"/>
      <c r="Q69" s="7">
        <f ca="1">IFERROR(IF(O69="Default",INDEX(Direct_Lookup,MATCH(B69,INDEX(Direct_Lookup,0,1),0),2),P69),0)</f>
        <v>0</v>
      </c>
      <c r="R69" s="17">
        <f t="shared" ca="1" si="2"/>
        <v>0</v>
      </c>
      <c r="S69" s="112" t="s">
        <v>285</v>
      </c>
      <c r="T69" s="16"/>
      <c r="U69" s="15">
        <v>1</v>
      </c>
      <c r="V69" s="8">
        <f ca="1">IF(S69="Default",INDEX(Indirect_Lookup,MATCH(B69,INDEX(Indirect_Lookup,0,1),0),2),IF(S69="Included",0,T69))</f>
        <v>0.13700000000000001</v>
      </c>
      <c r="W69" s="17">
        <f t="shared" ca="1" si="3"/>
        <v>123300.00000000001</v>
      </c>
      <c r="X69" s="31">
        <f t="shared" ca="1" si="4"/>
        <v>123300.00000000001</v>
      </c>
    </row>
    <row r="70" spans="1:24" ht="15.95" customHeight="1">
      <c r="A70" s="476"/>
      <c r="B70" s="5" t="s">
        <v>184</v>
      </c>
      <c r="C70" s="450"/>
      <c r="D70" s="7" t="s">
        <v>61</v>
      </c>
      <c r="E70" s="29"/>
      <c r="F70" s="29"/>
      <c r="G70" s="29"/>
      <c r="H70" s="264"/>
      <c r="I70" s="16"/>
      <c r="J70" s="269"/>
      <c r="K70" s="269"/>
      <c r="L70" s="186"/>
      <c r="M70" s="29"/>
      <c r="N70" s="17">
        <f t="shared" si="1"/>
        <v>0</v>
      </c>
      <c r="O70" s="12" t="s">
        <v>285</v>
      </c>
      <c r="P70" s="13"/>
      <c r="Q70" s="7">
        <f ca="1">IFERROR(IF(O70="Default",INDEX(Direct_Lookup,MATCH(B70,INDEX(Direct_Lookup,0,1),0),2),P70),0)</f>
        <v>0</v>
      </c>
      <c r="R70" s="17">
        <f t="shared" ca="1" si="2"/>
        <v>0</v>
      </c>
      <c r="S70" s="112" t="s">
        <v>285</v>
      </c>
      <c r="T70" s="16"/>
      <c r="U70" s="15">
        <v>1</v>
      </c>
      <c r="V70" s="8">
        <f ca="1">IF(S70="Default",INDEX(Indirect_Lookup,MATCH(B70,INDEX(Indirect_Lookup,0,1),0),2),IF(S70="Included",0,T70))</f>
        <v>0.26200000000000001</v>
      </c>
      <c r="W70" s="17">
        <f t="shared" ca="1" si="3"/>
        <v>0</v>
      </c>
      <c r="X70" s="31">
        <f t="shared" ca="1" si="4"/>
        <v>0</v>
      </c>
    </row>
    <row r="71" spans="1:24" ht="15.95" customHeight="1">
      <c r="A71" s="476"/>
      <c r="B71" s="5" t="s">
        <v>187</v>
      </c>
      <c r="C71" s="450"/>
      <c r="D71" s="7" t="s">
        <v>61</v>
      </c>
      <c r="E71" s="29"/>
      <c r="F71" s="29"/>
      <c r="G71" s="29"/>
      <c r="H71" s="264"/>
      <c r="I71" s="16"/>
      <c r="J71" s="269"/>
      <c r="K71" s="269"/>
      <c r="L71" s="186"/>
      <c r="M71" s="29"/>
      <c r="N71" s="17">
        <f t="shared" si="1"/>
        <v>0</v>
      </c>
      <c r="O71" s="12" t="s">
        <v>285</v>
      </c>
      <c r="P71" s="13"/>
      <c r="Q71" s="7">
        <f ca="1">IFERROR(IF(O71="Default",INDEX(Direct_Lookup,MATCH(B71,INDEX(Direct_Lookup,0,1),0),2),P71),0)</f>
        <v>0.17199999999999999</v>
      </c>
      <c r="R71" s="17">
        <f t="shared" ca="1" si="2"/>
        <v>0</v>
      </c>
      <c r="S71" s="112" t="s">
        <v>285</v>
      </c>
      <c r="T71" s="16"/>
      <c r="U71" s="15">
        <v>1</v>
      </c>
      <c r="V71" s="8">
        <f ca="1">IF(S71="Default",INDEX(Indirect_Lookup,MATCH(B71,INDEX(Indirect_Lookup,0,1),0),2),IF(S71="Included",0,T71))</f>
        <v>1.855</v>
      </c>
      <c r="W71" s="17">
        <f t="shared" ca="1" si="3"/>
        <v>0</v>
      </c>
      <c r="X71" s="31">
        <f t="shared" ca="1" si="4"/>
        <v>0</v>
      </c>
    </row>
    <row r="72" spans="1:24" ht="15.95" customHeight="1">
      <c r="A72" s="476"/>
      <c r="B72" s="5" t="s">
        <v>190</v>
      </c>
      <c r="C72" s="450"/>
      <c r="D72" s="7" t="s">
        <v>61</v>
      </c>
      <c r="E72" s="29"/>
      <c r="F72" s="29"/>
      <c r="G72" s="29"/>
      <c r="H72" s="264"/>
      <c r="I72" s="16"/>
      <c r="J72" s="269"/>
      <c r="K72" s="269"/>
      <c r="L72" s="186"/>
      <c r="M72" s="29"/>
      <c r="N72" s="17">
        <f t="shared" si="1"/>
        <v>0</v>
      </c>
      <c r="O72" s="12" t="s">
        <v>285</v>
      </c>
      <c r="P72" s="13"/>
      <c r="Q72" s="7">
        <f ca="1">IFERROR(IF(O72="Default",INDEX(Direct_Lookup,MATCH(B72,INDEX(Direct_Lookup,0,1),0),2),P72),0)</f>
        <v>7.2999999999999995E-2</v>
      </c>
      <c r="R72" s="17">
        <f t="shared" ca="1" si="2"/>
        <v>0</v>
      </c>
      <c r="S72" s="112" t="s">
        <v>285</v>
      </c>
      <c r="T72" s="16"/>
      <c r="U72" s="15">
        <v>1</v>
      </c>
      <c r="V72" s="51">
        <f ca="1">IF(S72="Default",INDEX(Indirect_Lookup,MATCH(B72,INDEX(Indirect_Lookup,0,1),0),2),IF(S72="Included",0,T72))</f>
        <v>1.21</v>
      </c>
      <c r="W72" s="17">
        <f t="shared" ca="1" si="3"/>
        <v>0</v>
      </c>
      <c r="X72" s="31">
        <f t="shared" ca="1" si="4"/>
        <v>0</v>
      </c>
    </row>
    <row r="73" spans="1:24" ht="15.95" customHeight="1">
      <c r="A73" s="476"/>
      <c r="B73" s="6" t="s">
        <v>194</v>
      </c>
      <c r="C73" s="450"/>
      <c r="D73" s="7" t="s">
        <v>61</v>
      </c>
      <c r="E73" s="29"/>
      <c r="F73" s="29"/>
      <c r="G73" s="29"/>
      <c r="H73" s="264"/>
      <c r="I73" s="16"/>
      <c r="J73" s="269"/>
      <c r="K73" s="269"/>
      <c r="L73" s="186"/>
      <c r="M73" s="29"/>
      <c r="N73" s="17">
        <f t="shared" si="1"/>
        <v>0</v>
      </c>
      <c r="O73" s="12" t="s">
        <v>285</v>
      </c>
      <c r="P73" s="13"/>
      <c r="Q73" s="7">
        <f ca="1">IFERROR(IF(O73="Default",INDEX(Direct_Lookup,MATCH(B73,INDEX(Direct_Lookup,0,1),0),2),P73),0)</f>
        <v>7.2999999999999995E-2</v>
      </c>
      <c r="R73" s="17">
        <f t="shared" ca="1" si="2"/>
        <v>0</v>
      </c>
      <c r="S73" s="112" t="s">
        <v>285</v>
      </c>
      <c r="T73" s="16"/>
      <c r="U73" s="15">
        <v>1</v>
      </c>
      <c r="V73" s="51">
        <f ca="1">IF(S73="Default",INDEX(Indirect_Lookup,MATCH(B73,INDEX(Indirect_Lookup,0,1),0),2),IF(S73="Included",0,T73))</f>
        <v>0.78</v>
      </c>
      <c r="W73" s="17">
        <f t="shared" ca="1" si="3"/>
        <v>0</v>
      </c>
      <c r="X73" s="31">
        <f t="shared" ca="1" si="4"/>
        <v>0</v>
      </c>
    </row>
    <row r="74" spans="1:24" ht="15.95" customHeight="1">
      <c r="A74" s="476"/>
      <c r="B74" s="5" t="s">
        <v>308</v>
      </c>
      <c r="C74" s="449" t="s">
        <v>309</v>
      </c>
      <c r="D74" s="7" t="str">
        <f>INDEX(Ferroalloys,MATCH($B74,INDEX(Ferroalloys,0,1),0),2)</f>
        <v>t</v>
      </c>
      <c r="E74" s="29"/>
      <c r="F74" s="29"/>
      <c r="G74" s="29"/>
      <c r="H74" s="264">
        <v>20000</v>
      </c>
      <c r="I74" s="16"/>
      <c r="J74" s="269"/>
      <c r="K74" s="269"/>
      <c r="L74" s="186"/>
      <c r="M74" s="29"/>
      <c r="N74" s="17">
        <f t="shared" si="1"/>
        <v>20000</v>
      </c>
      <c r="O74" s="12" t="s">
        <v>285</v>
      </c>
      <c r="P74" s="13"/>
      <c r="Q74" s="50">
        <f ca="1">IFERROR(IF(O74="Default",INDEX(Direct_Lookup,MATCH(B74,INDEX(Direct_Lookup,0,1),0),2),P74),0)</f>
        <v>0.27499999999999997</v>
      </c>
      <c r="R74" s="17">
        <f t="shared" ca="1" si="2"/>
        <v>5499.9999999999991</v>
      </c>
      <c r="S74" s="112" t="s">
        <v>285</v>
      </c>
      <c r="T74" s="16"/>
      <c r="U74" s="15">
        <v>1</v>
      </c>
      <c r="V74" s="51">
        <f ca="1">IF(S74="Default",INDEX(Indirect_Lookup,MATCH(B74,INDEX(Indirect_Lookup,0,1),0),2),IF(S74="Included",0,T74))</f>
        <v>6.35</v>
      </c>
      <c r="W74" s="17">
        <f t="shared" ca="1" si="3"/>
        <v>127000</v>
      </c>
      <c r="X74" s="31">
        <f t="shared" ca="1" si="4"/>
        <v>132500</v>
      </c>
    </row>
    <row r="75" spans="1:24" ht="15.95" customHeight="1">
      <c r="A75" s="476"/>
      <c r="B75" s="5" t="s">
        <v>310</v>
      </c>
      <c r="C75" s="450"/>
      <c r="D75" s="7" t="str">
        <f>INDEX(Ferroalloys,MATCH($B75,INDEX(Ferroalloys,0,1),0),2)</f>
        <v>t</v>
      </c>
      <c r="E75" s="29"/>
      <c r="F75" s="29"/>
      <c r="G75" s="29"/>
      <c r="H75" s="264"/>
      <c r="I75" s="16"/>
      <c r="J75" s="269"/>
      <c r="K75" s="269"/>
      <c r="L75" s="186"/>
      <c r="M75" s="29"/>
      <c r="N75" s="17">
        <f t="shared" si="1"/>
        <v>0</v>
      </c>
      <c r="O75" s="12" t="s">
        <v>285</v>
      </c>
      <c r="P75" s="13"/>
      <c r="Q75" s="50">
        <f ca="1">IFERROR(IF(O75="Default",INDEX(Direct_Lookup,MATCH(B75,INDEX(Direct_Lookup,0,1),0),2),P75),0)</f>
        <v>0.18333333333333335</v>
      </c>
      <c r="R75" s="17">
        <f t="shared" ca="1" si="2"/>
        <v>0</v>
      </c>
      <c r="S75" s="112" t="s">
        <v>285</v>
      </c>
      <c r="T75" s="16"/>
      <c r="U75" s="15">
        <v>1</v>
      </c>
      <c r="V75" s="51">
        <f ca="1">IF(S75="Default",INDEX(Indirect_Lookup,MATCH(B75,INDEX(Indirect_Lookup,0,1),0),2),IF(S75="Included",0,T75))</f>
        <v>5.719666666666666</v>
      </c>
      <c r="W75" s="17">
        <f t="shared" ca="1" si="3"/>
        <v>0</v>
      </c>
      <c r="X75" s="31">
        <f t="shared" ca="1" si="4"/>
        <v>0</v>
      </c>
    </row>
    <row r="76" spans="1:24" ht="15.95" customHeight="1">
      <c r="B76" s="5" t="s">
        <v>311</v>
      </c>
      <c r="C76" s="450"/>
      <c r="D76" s="7" t="str">
        <f>INDEX(Ferroalloys,MATCH($B76,INDEX(Ferroalloys,0,1),0),2)</f>
        <v>t</v>
      </c>
      <c r="E76" s="29"/>
      <c r="F76" s="29"/>
      <c r="G76" s="264"/>
      <c r="H76" s="36"/>
      <c r="I76" s="16"/>
      <c r="J76" s="269"/>
      <c r="K76" s="269"/>
      <c r="L76" s="186"/>
      <c r="M76" s="29"/>
      <c r="N76" s="17">
        <f t="shared" si="1"/>
        <v>0</v>
      </c>
      <c r="O76" s="12" t="s">
        <v>285</v>
      </c>
      <c r="P76" s="13"/>
      <c r="Q76" s="50">
        <f ca="1">IFERROR(IF(O76="Default",INDEX(Direct_Lookup,MATCH(B76,INDEX(Direct_Lookup,0,1),0),2),P76),0)</f>
        <v>1.8333333333333333E-2</v>
      </c>
      <c r="R76" s="17">
        <f t="shared" ca="1" si="2"/>
        <v>0</v>
      </c>
      <c r="S76" s="112" t="s">
        <v>285</v>
      </c>
      <c r="T76" s="16"/>
      <c r="U76" s="15">
        <v>1</v>
      </c>
      <c r="V76" s="51">
        <f ca="1">IF(S76="Default",INDEX(Indirect_Lookup,MATCH(B76,INDEX(Indirect_Lookup,0,1),0),2),IF(S76="Included",0,T76))</f>
        <v>8.0726666666666667</v>
      </c>
      <c r="W76" s="17">
        <f t="shared" ca="1" si="3"/>
        <v>0</v>
      </c>
      <c r="X76" s="31">
        <f t="shared" ca="1" si="4"/>
        <v>0</v>
      </c>
    </row>
    <row r="77" spans="1:24" ht="15.95" customHeight="1">
      <c r="B77" s="5" t="s">
        <v>312</v>
      </c>
      <c r="C77" s="450"/>
      <c r="D77" s="7" t="str">
        <f>INDEX(Ferroalloys,MATCH($B77,INDEX(Ferroalloys,0,1),0),2)</f>
        <v>t</v>
      </c>
      <c r="E77" s="29"/>
      <c r="F77" s="264"/>
      <c r="G77" s="265"/>
      <c r="H77" s="36"/>
      <c r="I77" s="16"/>
      <c r="J77" s="269"/>
      <c r="K77" s="269"/>
      <c r="L77" s="186"/>
      <c r="M77" s="29"/>
      <c r="N77" s="17">
        <f t="shared" si="1"/>
        <v>0</v>
      </c>
      <c r="O77" s="12" t="s">
        <v>285</v>
      </c>
      <c r="P77" s="13"/>
      <c r="Q77" s="50">
        <f ca="1">IFERROR(IF(O77="Default",INDEX(Direct_Lookup,MATCH(B77,INDEX(Direct_Lookup,0,1),0),2),P77),0)</f>
        <v>3.6666666666666666E-3</v>
      </c>
      <c r="R77" s="17">
        <f t="shared" ca="1" si="2"/>
        <v>0</v>
      </c>
      <c r="S77" s="112" t="s">
        <v>285</v>
      </c>
      <c r="T77" s="16"/>
      <c r="U77" s="15">
        <v>1</v>
      </c>
      <c r="V77" s="51">
        <f ca="1">IF(S77="Default",INDEX(Indirect_Lookup,MATCH(B77,INDEX(Indirect_Lookup,0,1),0),2),IF(S77="Included",0,T77))</f>
        <v>11.431333333333335</v>
      </c>
      <c r="W77" s="17">
        <f t="shared" ca="1" si="3"/>
        <v>0</v>
      </c>
      <c r="X77" s="31">
        <f t="shared" ca="1" si="4"/>
        <v>0</v>
      </c>
    </row>
    <row r="78" spans="1:24" ht="15.95" customHeight="1">
      <c r="B78" s="6" t="s">
        <v>313</v>
      </c>
      <c r="C78" s="450"/>
      <c r="D78" s="7" t="str">
        <f>INDEX(Ferroalloys,MATCH($B78,INDEX(Ferroalloys,0,1),0),2)</f>
        <v>t</v>
      </c>
      <c r="E78" s="29"/>
      <c r="F78" s="264"/>
      <c r="G78" s="265"/>
      <c r="H78" s="36"/>
      <c r="I78" s="16"/>
      <c r="J78" s="269"/>
      <c r="K78" s="269"/>
      <c r="L78" s="265"/>
      <c r="M78" s="36"/>
      <c r="N78" s="18">
        <f t="shared" si="1"/>
        <v>0</v>
      </c>
      <c r="O78" s="12" t="s">
        <v>285</v>
      </c>
      <c r="P78" s="13"/>
      <c r="Q78" s="50">
        <f ca="1">IFERROR(IF(O78="Default",INDEX(Direct_Lookup,MATCH(B78,INDEX(Direct_Lookup,0,1),0),2),P78),0)</f>
        <v>5.4999999999999993E-2</v>
      </c>
      <c r="R78" s="17">
        <f t="shared" ca="1" si="2"/>
        <v>0</v>
      </c>
      <c r="S78" s="112" t="s">
        <v>285</v>
      </c>
      <c r="T78" s="16"/>
      <c r="U78" s="15">
        <v>1</v>
      </c>
      <c r="V78" s="51">
        <f ca="1">IF(S78="Default",INDEX(Indirect_Lookup,MATCH(B78,INDEX(Indirect_Lookup,0,1),0),2),IF(S78="Included",0,T78))</f>
        <v>12.095000000000002</v>
      </c>
      <c r="W78" s="17">
        <f t="shared" ca="1" si="3"/>
        <v>0</v>
      </c>
      <c r="X78" s="31">
        <f t="shared" ca="1" si="4"/>
        <v>0</v>
      </c>
    </row>
    <row r="79" spans="1:24" ht="15.95" customHeight="1">
      <c r="B79" s="5" t="s">
        <v>314</v>
      </c>
      <c r="C79" s="439" t="s">
        <v>315</v>
      </c>
      <c r="D79" s="1" t="s">
        <v>61</v>
      </c>
      <c r="E79" s="36"/>
      <c r="F79" s="265"/>
      <c r="G79" s="265"/>
      <c r="H79" s="36"/>
      <c r="I79" s="16"/>
      <c r="J79" s="269"/>
      <c r="K79" s="269"/>
      <c r="L79" s="265"/>
      <c r="M79" s="36"/>
      <c r="N79" s="18">
        <f t="shared" si="1"/>
        <v>0</v>
      </c>
      <c r="O79" s="267" t="s">
        <v>285</v>
      </c>
      <c r="P79" s="269"/>
      <c r="Q79" s="1">
        <f ca="1">IFERROR(IF(O79="Default",INDEX(Direct_Lookup,MATCH(B79,INDEX(Direct_Lookup,0,1),0),2),P79),0)</f>
        <v>0.44</v>
      </c>
      <c r="R79" s="17">
        <f t="shared" ca="1" si="2"/>
        <v>0</v>
      </c>
      <c r="S79" s="112" t="s">
        <v>286</v>
      </c>
      <c r="T79" s="16"/>
      <c r="U79" s="15">
        <v>1</v>
      </c>
      <c r="V79" s="51">
        <f ca="1">IF(S79="Default",INDEX(Indirect_Lookup,MATCH(B79,INDEX(Indirect_Lookup,0,1),0),2),IF(S79="Included",0,T79))</f>
        <v>0</v>
      </c>
      <c r="W79" s="17">
        <f t="shared" ca="1" si="3"/>
        <v>0</v>
      </c>
      <c r="X79" s="31">
        <f t="shared" ca="1" si="4"/>
        <v>0</v>
      </c>
    </row>
    <row r="80" spans="1:24" ht="15.95" customHeight="1">
      <c r="B80" s="5" t="s">
        <v>316</v>
      </c>
      <c r="C80" s="439"/>
      <c r="D80" s="1" t="s">
        <v>61</v>
      </c>
      <c r="E80" s="36"/>
      <c r="F80" s="265"/>
      <c r="G80" s="265"/>
      <c r="H80" s="36"/>
      <c r="I80" s="16"/>
      <c r="J80" s="269"/>
      <c r="K80" s="269"/>
      <c r="L80" s="265"/>
      <c r="M80" s="261"/>
      <c r="N80" s="35">
        <f t="shared" si="1"/>
        <v>0</v>
      </c>
      <c r="O80" s="268" t="s">
        <v>285</v>
      </c>
      <c r="P80" s="269"/>
      <c r="Q80" s="1">
        <f ca="1">IFERROR(IF(O80="Default",INDEX(Direct_Lookup,MATCH(B80,INDEX(Direct_Lookup,0,1),0),2),P80),0)</f>
        <v>0.47599999999999998</v>
      </c>
      <c r="R80" s="17">
        <f t="shared" ca="1" si="2"/>
        <v>0</v>
      </c>
      <c r="S80" s="112" t="s">
        <v>286</v>
      </c>
      <c r="T80" s="16"/>
      <c r="U80" s="15">
        <v>1</v>
      </c>
      <c r="V80" s="51">
        <f ca="1">IF(S80="Default",INDEX(Indirect_Lookup,MATCH(B80,INDEX(Indirect_Lookup,0,1),0),2),IF(S80="Included",0,T80))</f>
        <v>0</v>
      </c>
      <c r="W80" s="17">
        <f t="shared" ca="1" si="3"/>
        <v>0</v>
      </c>
      <c r="X80" s="31">
        <f t="shared" ca="1" si="4"/>
        <v>0</v>
      </c>
    </row>
    <row r="81" spans="1:24" ht="15.95" customHeight="1">
      <c r="B81" s="5" t="s">
        <v>317</v>
      </c>
      <c r="C81" s="439"/>
      <c r="D81" s="1" t="s">
        <v>61</v>
      </c>
      <c r="E81" s="36"/>
      <c r="F81" s="265"/>
      <c r="G81" s="265"/>
      <c r="H81" s="36"/>
      <c r="I81" s="16"/>
      <c r="J81" s="269"/>
      <c r="K81" s="269"/>
      <c r="L81" s="265"/>
      <c r="M81" s="261"/>
      <c r="N81" s="35">
        <f t="shared" si="1"/>
        <v>0</v>
      </c>
      <c r="O81" s="268" t="s">
        <v>285</v>
      </c>
      <c r="P81" s="269"/>
      <c r="Q81" s="1">
        <f ca="1">IFERROR(IF(O81="Default",INDEX(Direct_Lookup,MATCH(B81,INDEX(Direct_Lookup,0,1),0),2),P81),0)</f>
        <v>3.6629999999999998</v>
      </c>
      <c r="R81" s="17">
        <f t="shared" ca="1" si="2"/>
        <v>0</v>
      </c>
      <c r="S81" s="112" t="s">
        <v>286</v>
      </c>
      <c r="T81" s="16"/>
      <c r="U81" s="15">
        <v>1</v>
      </c>
      <c r="V81" s="51">
        <f ca="1">IF(S81="Default",INDEX(Indirect_Lookup,MATCH(B81,INDEX(Indirect_Lookup,0,1),0),2),IF(S81="Included",0,T81))</f>
        <v>0</v>
      </c>
      <c r="W81" s="17">
        <f t="shared" ca="1" si="3"/>
        <v>0</v>
      </c>
      <c r="X81" s="31">
        <f t="shared" ca="1" si="4"/>
        <v>0</v>
      </c>
    </row>
    <row r="82" spans="1:24" ht="15.95" customHeight="1">
      <c r="B82" s="5" t="s">
        <v>318</v>
      </c>
      <c r="C82" s="439"/>
      <c r="D82" s="1" t="s">
        <v>61</v>
      </c>
      <c r="E82" s="36"/>
      <c r="F82" s="265"/>
      <c r="G82" s="29">
        <v>180000</v>
      </c>
      <c r="H82" s="36"/>
      <c r="I82" s="16"/>
      <c r="J82" s="269"/>
      <c r="K82" s="269"/>
      <c r="L82" s="265"/>
      <c r="M82" s="261"/>
      <c r="N82" s="35">
        <f t="shared" si="1"/>
        <v>180000</v>
      </c>
      <c r="O82" s="268" t="s">
        <v>285</v>
      </c>
      <c r="P82" s="269"/>
      <c r="Q82" s="1">
        <f ca="1">IFERROR(IF(O82="Default",INDEX(Direct_Lookup,MATCH(B82,INDEX(Direct_Lookup,0,1),0),2),P82),0)</f>
        <v>0</v>
      </c>
      <c r="R82" s="17">
        <f t="shared" ca="1" si="2"/>
        <v>0</v>
      </c>
      <c r="S82" s="112" t="s">
        <v>285</v>
      </c>
      <c r="T82" s="16"/>
      <c r="U82" s="15">
        <v>1</v>
      </c>
      <c r="V82" s="8">
        <f ca="1">IF(S82="Default",INDEX(Indirect_Lookup,MATCH(B82,INDEX(Indirect_Lookup,0,1),0),2),IF(S82="Included",0,T82))</f>
        <v>0.95</v>
      </c>
      <c r="W82" s="18">
        <f t="shared" ca="1" si="3"/>
        <v>171000</v>
      </c>
      <c r="X82" s="31">
        <f t="shared" ca="1" si="4"/>
        <v>171000</v>
      </c>
    </row>
    <row r="83" spans="1:24" ht="15.95" customHeight="1">
      <c r="B83" s="5" t="s">
        <v>319</v>
      </c>
      <c r="C83" s="439"/>
      <c r="D83" s="1" t="s">
        <v>61</v>
      </c>
      <c r="E83" s="36"/>
      <c r="F83" s="265"/>
      <c r="G83" s="265"/>
      <c r="H83" s="36"/>
      <c r="I83" s="16"/>
      <c r="J83" s="269"/>
      <c r="K83" s="269"/>
      <c r="L83" s="265"/>
      <c r="M83" s="261"/>
      <c r="N83" s="35">
        <f t="shared" si="1"/>
        <v>0</v>
      </c>
      <c r="O83" s="268" t="s">
        <v>285</v>
      </c>
      <c r="P83" s="269"/>
      <c r="Q83" s="1">
        <f ca="1">IFERROR(IF(O83="Default",INDEX(Direct_Lookup,MATCH(B83,INDEX(Direct_Lookup,0,1),0),2),P83),0)</f>
        <v>0</v>
      </c>
      <c r="R83" s="17">
        <f t="shared" ca="1" si="2"/>
        <v>0</v>
      </c>
      <c r="S83" s="112" t="s">
        <v>285</v>
      </c>
      <c r="T83" s="16"/>
      <c r="U83" s="15">
        <v>1</v>
      </c>
      <c r="V83" s="8">
        <f ca="1">IF(S83="Default",INDEX(Indirect_Lookup,MATCH(B83,INDEX(Indirect_Lookup,0,1),0),2),IF(S83="Included",0,T83))</f>
        <v>1.1000000000000001</v>
      </c>
      <c r="W83" s="18">
        <f t="shared" ca="1" si="3"/>
        <v>0</v>
      </c>
      <c r="X83" s="31">
        <f t="shared" ca="1" si="4"/>
        <v>0</v>
      </c>
    </row>
    <row r="84" spans="1:24" ht="15.95" customHeight="1">
      <c r="B84" s="5" t="s">
        <v>320</v>
      </c>
      <c r="C84" s="439"/>
      <c r="D84" s="1" t="s">
        <v>61</v>
      </c>
      <c r="E84" s="36"/>
      <c r="F84" s="265"/>
      <c r="G84" s="265"/>
      <c r="H84" s="36"/>
      <c r="I84" s="16"/>
      <c r="J84" s="269"/>
      <c r="K84" s="269"/>
      <c r="L84" s="265"/>
      <c r="M84" s="261"/>
      <c r="N84" s="35">
        <f t="shared" si="1"/>
        <v>0</v>
      </c>
      <c r="O84" s="268" t="s">
        <v>285</v>
      </c>
      <c r="P84" s="269"/>
      <c r="Q84" s="1">
        <f ca="1">IFERROR(IF(O84="Default",INDEX(Direct_Lookup,MATCH(B84,INDEX(Direct_Lookup,0,1),0),2),P84),0)</f>
        <v>0</v>
      </c>
      <c r="R84" s="271">
        <f t="shared" ca="1" si="2"/>
        <v>0</v>
      </c>
      <c r="S84" s="194" t="s">
        <v>285</v>
      </c>
      <c r="T84" s="16"/>
      <c r="U84" s="15">
        <v>1</v>
      </c>
      <c r="V84" s="22">
        <f ca="1">IF(S84="Default",INDEX(Indirect_Lookup,MATCH(B84,INDEX(Indirect_Lookup,0,1),0),2),IF(S84="Included",0,T84))</f>
        <v>0.2702</v>
      </c>
      <c r="W84" s="18">
        <f t="shared" ca="1" si="3"/>
        <v>0</v>
      </c>
      <c r="X84" s="31">
        <f t="shared" ca="1" si="4"/>
        <v>0</v>
      </c>
    </row>
    <row r="85" spans="1:24" ht="15.95" customHeight="1">
      <c r="B85" s="5" t="s">
        <v>321</v>
      </c>
      <c r="C85" s="439"/>
      <c r="D85" s="1" t="s">
        <v>61</v>
      </c>
      <c r="E85" s="36"/>
      <c r="F85" s="265"/>
      <c r="G85" s="265"/>
      <c r="H85" s="36"/>
      <c r="I85" s="16"/>
      <c r="J85" s="269"/>
      <c r="K85" s="269"/>
      <c r="L85" s="265"/>
      <c r="M85" s="261"/>
      <c r="N85" s="35">
        <f t="shared" si="1"/>
        <v>0</v>
      </c>
      <c r="O85" s="268" t="s">
        <v>285</v>
      </c>
      <c r="P85" s="269"/>
      <c r="Q85" s="1">
        <f ca="1">IFERROR(IF(O85="Default",INDEX(Direct_Lookup,MATCH(B85,INDEX(Direct_Lookup,0,1),0),2),P85),0)</f>
        <v>0</v>
      </c>
      <c r="R85" s="271">
        <f t="shared" ca="1" si="2"/>
        <v>0</v>
      </c>
      <c r="S85" s="194" t="s">
        <v>285</v>
      </c>
      <c r="T85" s="16"/>
      <c r="U85" s="15">
        <v>1</v>
      </c>
      <c r="V85" s="22">
        <f ca="1">IF(S85="Default",INDEX(Indirect_Lookup,MATCH(B85,INDEX(Indirect_Lookup,0,1),0),2),IF(S85="Included",0,T85))</f>
        <v>8.8789999999999994E-2</v>
      </c>
      <c r="W85" s="18">
        <f t="shared" ca="1" si="3"/>
        <v>0</v>
      </c>
      <c r="X85" s="31">
        <f t="shared" ca="1" si="4"/>
        <v>0</v>
      </c>
    </row>
    <row r="86" spans="1:24" ht="15.95" customHeight="1">
      <c r="B86" s="6" t="s">
        <v>322</v>
      </c>
      <c r="C86" s="439"/>
      <c r="D86" s="1" t="s">
        <v>61</v>
      </c>
      <c r="E86" s="36"/>
      <c r="F86" s="265"/>
      <c r="G86" s="265"/>
      <c r="H86" s="36"/>
      <c r="I86" s="16"/>
      <c r="J86" s="269"/>
      <c r="K86" s="269"/>
      <c r="L86" s="265"/>
      <c r="M86" s="261"/>
      <c r="N86" s="35">
        <f t="shared" si="1"/>
        <v>0</v>
      </c>
      <c r="O86" s="268" t="s">
        <v>285</v>
      </c>
      <c r="P86" s="269"/>
      <c r="Q86" s="270">
        <f ca="1">IFERROR(IF(O86="Default",INDEX(Direct_Lookup,MATCH(B86,INDEX(Direct_Lookup,0,1),0),2),P86),0)</f>
        <v>0</v>
      </c>
      <c r="R86" s="272">
        <f t="shared" ca="1" si="2"/>
        <v>0</v>
      </c>
      <c r="S86" s="194" t="s">
        <v>285</v>
      </c>
      <c r="T86" s="16"/>
      <c r="U86" s="15">
        <v>1</v>
      </c>
      <c r="V86" s="22">
        <f ca="1">IF(S86="Default",INDEX(Indirect_Lookup,MATCH(B86,INDEX(Indirect_Lookup,0,1),0),2),IF(S86="Included",0,T86))</f>
        <v>6.2799999999999995E-2</v>
      </c>
      <c r="W86" s="18">
        <f t="shared" ca="1" si="3"/>
        <v>0</v>
      </c>
      <c r="X86" s="31">
        <f t="shared" ca="1" si="4"/>
        <v>0</v>
      </c>
    </row>
    <row r="87" spans="1:24" ht="15.95" customHeight="1">
      <c r="B87" s="5" t="s">
        <v>323</v>
      </c>
      <c r="C87" s="9" t="s">
        <v>324</v>
      </c>
      <c r="D87" s="7" t="s">
        <v>61</v>
      </c>
      <c r="E87" s="263"/>
      <c r="F87" s="266"/>
      <c r="G87" s="266"/>
      <c r="H87" s="263"/>
      <c r="I87" s="16"/>
      <c r="J87" s="269"/>
      <c r="K87" s="269"/>
      <c r="L87" s="266"/>
      <c r="M87" s="262"/>
      <c r="N87" s="35">
        <f t="shared" si="1"/>
        <v>0</v>
      </c>
      <c r="O87" s="268" t="s">
        <v>285</v>
      </c>
      <c r="P87" s="269"/>
      <c r="Q87" s="270">
        <f ca="1">IFERROR(IF(O87="Default",INDEX(Direct_Lookup,MATCH(B87,INDEX(Direct_Lookup,0,1),0),2),P87),0)</f>
        <v>0</v>
      </c>
      <c r="R87" s="18">
        <f t="shared" ca="1" si="2"/>
        <v>0</v>
      </c>
      <c r="S87" s="41" t="s">
        <v>285</v>
      </c>
      <c r="T87" s="16"/>
      <c r="U87" s="15">
        <v>1</v>
      </c>
      <c r="V87" s="8">
        <f ca="1">IF(S87="Default",INDEX(Indirect_Lookup,MATCH(B87,INDEX(Indirect_Lookup,0,1),0),2),IF(S87="Included",0,T87))</f>
        <v>0.19500000000000001</v>
      </c>
      <c r="W87" s="192">
        <f t="shared" ca="1" si="3"/>
        <v>0</v>
      </c>
      <c r="X87" s="31">
        <f t="shared" ca="1" si="4"/>
        <v>0</v>
      </c>
    </row>
    <row r="88" spans="1:24" ht="15.95" customHeight="1">
      <c r="B88" s="220" t="s">
        <v>325</v>
      </c>
      <c r="C88" s="323" t="s">
        <v>326</v>
      </c>
      <c r="D88" s="8" t="s">
        <v>61</v>
      </c>
      <c r="E88" s="266"/>
      <c r="F88" s="266"/>
      <c r="G88" s="266"/>
      <c r="H88" s="263"/>
      <c r="I88" s="16"/>
      <c r="J88" s="269"/>
      <c r="K88" s="269"/>
      <c r="L88" s="266"/>
      <c r="M88" s="262"/>
      <c r="N88" s="35">
        <f t="shared" si="1"/>
        <v>0</v>
      </c>
      <c r="O88" s="268" t="s">
        <v>285</v>
      </c>
      <c r="P88" s="269"/>
      <c r="Q88" s="270">
        <f ca="1">IFERROR(IF(O88="Default",INDEX(Direct_Lookup,MATCH(B88,INDEX(Direct_Lookup,0,1),0),2),P88),0)</f>
        <v>28</v>
      </c>
      <c r="R88" s="18">
        <f t="shared" ca="1" si="2"/>
        <v>0</v>
      </c>
      <c r="S88" s="41" t="s">
        <v>286</v>
      </c>
      <c r="T88" s="321" t="s">
        <v>327</v>
      </c>
      <c r="U88" s="322"/>
      <c r="V88" s="182">
        <f ca="1">IF(S88="Default",INDEX(Indirect_Lookup,MATCH(B88,INDEX(Indirect_Lookup,0,1),0),2),IF(S88="Included",0,T88))</f>
        <v>0</v>
      </c>
      <c r="W88" s="192">
        <f t="shared" ca="1" si="3"/>
        <v>0</v>
      </c>
      <c r="X88" s="31">
        <f t="shared" ca="1" si="4"/>
        <v>0</v>
      </c>
    </row>
    <row r="89" spans="1:24" ht="15.95" customHeight="1">
      <c r="B89" s="5" t="s">
        <v>328</v>
      </c>
      <c r="C89" s="464" t="s">
        <v>329</v>
      </c>
      <c r="D89" s="7" t="s">
        <v>239</v>
      </c>
      <c r="E89" s="36">
        <v>500</v>
      </c>
      <c r="F89" s="265"/>
      <c r="G89" s="265"/>
      <c r="H89" s="36"/>
      <c r="I89" s="16"/>
      <c r="J89" s="269"/>
      <c r="K89" s="269"/>
      <c r="L89" s="265"/>
      <c r="M89" s="261"/>
      <c r="N89" s="35">
        <f t="shared" si="1"/>
        <v>500</v>
      </c>
      <c r="O89" s="268" t="s">
        <v>285</v>
      </c>
      <c r="P89" s="269"/>
      <c r="Q89" s="270">
        <f ca="1">IFERROR(IF(O89="Default",INDEX(Direct_Lookup,MATCH(B89,INDEX(Direct_Lookup,0,1),0),2),P89),0)</f>
        <v>0</v>
      </c>
      <c r="R89" s="272">
        <f t="shared" ca="1" si="2"/>
        <v>0</v>
      </c>
      <c r="S89" s="194" t="str">
        <f>IF(G25="Region Specific","Site Specific","Default")</f>
        <v>Default</v>
      </c>
      <c r="T89" s="16"/>
      <c r="U89" s="15">
        <v>1</v>
      </c>
      <c r="V89" s="22">
        <f ca="1">G27</f>
        <v>0.438</v>
      </c>
      <c r="W89" s="18">
        <f t="shared" ca="1" si="3"/>
        <v>219</v>
      </c>
      <c r="X89" s="31">
        <f t="shared" ca="1" si="4"/>
        <v>219</v>
      </c>
    </row>
    <row r="90" spans="1:24" ht="15.95" customHeight="1">
      <c r="B90" s="5" t="s">
        <v>330</v>
      </c>
      <c r="C90" s="429"/>
      <c r="D90" s="7" t="s">
        <v>239</v>
      </c>
      <c r="E90" s="36">
        <v>1000</v>
      </c>
      <c r="F90" s="265"/>
      <c r="G90" s="265"/>
      <c r="H90" s="36"/>
      <c r="I90" s="16"/>
      <c r="J90" s="269"/>
      <c r="K90" s="269"/>
      <c r="L90" s="265"/>
      <c r="M90" s="261"/>
      <c r="N90" s="35">
        <f t="shared" si="1"/>
        <v>1000</v>
      </c>
      <c r="O90" s="268" t="s">
        <v>285</v>
      </c>
      <c r="P90" s="269"/>
      <c r="Q90" s="270">
        <f ca="1">IFERROR(IF(O90="Default",INDEX(Direct_Lookup,MATCH(B90,INDEX(Direct_Lookup,0,1),0),2),P90),0)</f>
        <v>0</v>
      </c>
      <c r="R90" s="272">
        <f t="shared" ca="1" si="2"/>
        <v>0</v>
      </c>
      <c r="S90" s="194" t="s">
        <v>331</v>
      </c>
      <c r="T90" s="16"/>
      <c r="U90" s="15">
        <v>1</v>
      </c>
      <c r="V90" s="22">
        <f ca="1">IF(S90="Default",INDEX(Indirect_Lookup,MATCH(B90,INDEX(Indirect_Lookup,0,1),0),2),IF(S90="Included",0,T90))</f>
        <v>0</v>
      </c>
      <c r="W90" s="18">
        <f t="shared" ca="1" si="3"/>
        <v>0</v>
      </c>
      <c r="X90" s="31">
        <f t="shared" ca="1" si="4"/>
        <v>0</v>
      </c>
    </row>
    <row r="91" spans="1:24" ht="32.25" customHeight="1">
      <c r="B91" s="324" t="s">
        <v>332</v>
      </c>
      <c r="C91" s="430"/>
      <c r="D91" s="57" t="s">
        <v>239</v>
      </c>
      <c r="E91" s="38"/>
      <c r="F91" s="358"/>
      <c r="G91" s="358"/>
      <c r="H91" s="38"/>
      <c r="I91" s="359"/>
      <c r="J91" s="278"/>
      <c r="K91" s="278"/>
      <c r="L91" s="358"/>
      <c r="M91" s="360"/>
      <c r="N91" s="39">
        <f t="shared" si="1"/>
        <v>0</v>
      </c>
      <c r="O91" s="361" t="s">
        <v>285</v>
      </c>
      <c r="P91" s="278"/>
      <c r="Q91" s="92">
        <f ca="1">IFERROR(IF(O91="Default",INDEX(Direct_Lookup,MATCH(B91,INDEX(Direct_Lookup,0,1),0),2),P91),0)</f>
        <v>0</v>
      </c>
      <c r="R91" s="362">
        <f t="shared" ca="1" si="2"/>
        <v>0</v>
      </c>
      <c r="S91" s="363" t="s">
        <v>331</v>
      </c>
      <c r="T91" s="359"/>
      <c r="U91" s="364">
        <v>1</v>
      </c>
      <c r="V91" s="344">
        <f ca="1">IF(S91="Default",INDEX(Indirect_Lookup,MATCH(B91,INDEX(Indirect_Lookup,0,1),0),2),IF(S91="Included",0,T91))</f>
        <v>0</v>
      </c>
      <c r="W91" s="365">
        <f t="shared" ca="1" si="3"/>
        <v>0</v>
      </c>
      <c r="X91" s="274">
        <f t="shared" ca="1" si="4"/>
        <v>0</v>
      </c>
    </row>
    <row r="92" spans="1:24" ht="15.95" customHeight="1">
      <c r="C92" s="232"/>
      <c r="D92" s="1"/>
      <c r="E92" s="88"/>
      <c r="F92" s="88"/>
      <c r="G92" s="88"/>
      <c r="H92" s="88"/>
      <c r="L92" s="88"/>
      <c r="M92" s="88"/>
      <c r="N92" s="18"/>
      <c r="O92" s="1"/>
      <c r="Q92" s="1"/>
      <c r="R92" s="18"/>
      <c r="S92" s="1"/>
      <c r="T92" s="84"/>
      <c r="U92" s="84"/>
      <c r="V92" s="1"/>
      <c r="W92" s="18"/>
      <c r="X92" s="18"/>
    </row>
    <row r="93" spans="1:24" ht="15.95" customHeight="1">
      <c r="C93" s="232"/>
      <c r="D93" s="1"/>
      <c r="E93" s="88"/>
      <c r="F93" s="88"/>
      <c r="G93" s="88"/>
      <c r="H93" s="88"/>
      <c r="I93" s="88"/>
      <c r="J93" s="88"/>
      <c r="K93" s="18"/>
      <c r="L93" s="1"/>
      <c r="N93" s="1"/>
      <c r="O93" s="18"/>
      <c r="P93" s="1"/>
      <c r="Q93" s="75"/>
      <c r="R93" s="75"/>
      <c r="S93" s="1"/>
      <c r="T93" s="18"/>
      <c r="U93" s="18"/>
    </row>
    <row r="94" spans="1:24" s="301" customFormat="1" ht="23.1" customHeight="1">
      <c r="A94" s="343" t="s">
        <v>333</v>
      </c>
      <c r="B94" s="334"/>
      <c r="C94" s="339"/>
      <c r="D94" s="335"/>
      <c r="E94" s="340"/>
      <c r="F94" s="340"/>
      <c r="G94" s="340"/>
      <c r="H94" s="340"/>
      <c r="I94" s="340"/>
      <c r="J94" s="340"/>
      <c r="K94" s="341"/>
      <c r="L94" s="335"/>
      <c r="N94" s="335"/>
      <c r="O94" s="341"/>
      <c r="P94" s="335"/>
      <c r="Q94" s="332"/>
      <c r="R94" s="332"/>
      <c r="S94" s="335"/>
      <c r="T94" s="341"/>
      <c r="U94" s="341"/>
    </row>
    <row r="95" spans="1:24" ht="15.95" customHeight="1">
      <c r="A95" s="409" t="s">
        <v>334</v>
      </c>
      <c r="B95" s="342" t="s">
        <v>335</v>
      </c>
      <c r="C95" s="232"/>
      <c r="D95" s="1"/>
      <c r="E95" s="88"/>
      <c r="F95" s="88"/>
      <c r="G95" s="88"/>
      <c r="H95" s="88"/>
      <c r="I95" s="88"/>
      <c r="J95" s="88"/>
      <c r="K95" s="18"/>
      <c r="L95" s="1"/>
      <c r="N95" s="1"/>
      <c r="O95" s="18"/>
      <c r="P95" s="1"/>
      <c r="Q95" s="75"/>
      <c r="R95" s="75"/>
      <c r="S95" s="1"/>
      <c r="T95" s="18"/>
      <c r="U95" s="18"/>
    </row>
    <row r="96" spans="1:24" ht="15.95">
      <c r="A96" s="409"/>
      <c r="F96" s="88"/>
    </row>
    <row r="97" spans="1:24" ht="15.95">
      <c r="A97" s="409"/>
      <c r="B97" s="444" t="s">
        <v>336</v>
      </c>
      <c r="C97" s="445"/>
      <c r="D97" s="446"/>
      <c r="E97" s="9" t="s">
        <v>337</v>
      </c>
      <c r="F97" s="455" t="s">
        <v>338</v>
      </c>
      <c r="G97" s="456"/>
      <c r="H97" s="456"/>
      <c r="I97" s="457"/>
      <c r="J97" s="455" t="s">
        <v>339</v>
      </c>
      <c r="K97" s="456"/>
      <c r="L97" s="456"/>
      <c r="M97" s="456"/>
      <c r="N97" s="456"/>
      <c r="O97" s="456"/>
      <c r="P97" s="456"/>
      <c r="Q97" s="457"/>
    </row>
    <row r="98" spans="1:24" ht="30.95" customHeight="1">
      <c r="A98" s="409"/>
      <c r="B98" s="23" t="s">
        <v>340</v>
      </c>
      <c r="C98" s="24" t="s">
        <v>25</v>
      </c>
      <c r="D98" s="24" t="s">
        <v>234</v>
      </c>
      <c r="E98" s="24" t="s">
        <v>341</v>
      </c>
      <c r="F98" s="477" t="s">
        <v>342</v>
      </c>
      <c r="G98" s="478"/>
      <c r="H98" s="125" t="s">
        <v>343</v>
      </c>
      <c r="I98" s="2" t="s">
        <v>344</v>
      </c>
      <c r="J98" s="125" t="s">
        <v>345</v>
      </c>
      <c r="K98" s="125" t="s">
        <v>346</v>
      </c>
      <c r="L98" s="125" t="s">
        <v>347</v>
      </c>
      <c r="M98" s="310" t="s">
        <v>348</v>
      </c>
      <c r="N98" s="125" t="s">
        <v>349</v>
      </c>
      <c r="O98" s="125" t="s">
        <v>350</v>
      </c>
      <c r="P98" s="145" t="s">
        <v>351</v>
      </c>
      <c r="Q98" s="145" t="s">
        <v>352</v>
      </c>
    </row>
    <row r="99" spans="1:24" ht="32.25" customHeight="1">
      <c r="A99" s="484" t="s">
        <v>353</v>
      </c>
      <c r="B99" s="5" t="s">
        <v>354</v>
      </c>
      <c r="C99" s="428" t="s">
        <v>215</v>
      </c>
      <c r="D99" s="10" t="s">
        <v>355</v>
      </c>
      <c r="E99" s="27">
        <v>15000</v>
      </c>
      <c r="F99" s="440" t="s">
        <v>356</v>
      </c>
      <c r="G99" s="441"/>
      <c r="H99" s="10" t="str">
        <f ca="1">INDEX(Byproduct_EF,MATCH(F99,INDEX(Byproduct_EF,0,2),0),3)</f>
        <v>MWh</v>
      </c>
      <c r="I99" s="132" t="s">
        <v>285</v>
      </c>
      <c r="J99" s="129"/>
      <c r="K99" s="137">
        <f ca="1">IF(I99="Default",INDEX(Byproduct_EF,MATCH(F99,INDEX(Byproduct_EF,0,2),0),4),J99)</f>
        <v>0</v>
      </c>
      <c r="L99" s="132" t="s">
        <v>331</v>
      </c>
      <c r="M99" s="129"/>
      <c r="N99" s="10">
        <f t="shared" ref="N99:N115" ca="1" si="5">IF(L99="Default",INDEX(Direct_EF,MATCH(B99,INDEX(Direct_EF,0,1),0),2),M99)</f>
        <v>0</v>
      </c>
      <c r="O99" s="111">
        <v>1.1100000000000001</v>
      </c>
      <c r="P99" s="22">
        <f t="shared" ref="P99:P115" ca="1" si="6">N99-K99*O99</f>
        <v>0</v>
      </c>
      <c r="Q99" s="31">
        <f t="shared" ref="Q99:Q115" ca="1" si="7">P99*E99</f>
        <v>0</v>
      </c>
    </row>
    <row r="100" spans="1:24" ht="15.95">
      <c r="A100" s="484"/>
      <c r="B100" s="5" t="s">
        <v>357</v>
      </c>
      <c r="C100" s="429"/>
      <c r="D100" s="8" t="s">
        <v>358</v>
      </c>
      <c r="E100" s="29"/>
      <c r="F100" s="437" t="s">
        <v>359</v>
      </c>
      <c r="G100" s="442"/>
      <c r="H100" s="8" t="str">
        <f ca="1">INDEX(Byproduct_EF,MATCH(F100,INDEX(Byproduct_EF,0,2),0),3)</f>
        <v>GJ</v>
      </c>
      <c r="I100" s="133" t="s">
        <v>285</v>
      </c>
      <c r="J100" s="130"/>
      <c r="K100" s="22">
        <f ca="1">IF(I100="Default",INDEX(Byproduct_EF,MATCH(F100,INDEX(Byproduct_EF,0,2),0),4),J100)</f>
        <v>0.13075611083282368</v>
      </c>
      <c r="L100" s="133" t="s">
        <v>331</v>
      </c>
      <c r="M100" s="130"/>
      <c r="N100" s="8">
        <f t="shared" ca="1" si="5"/>
        <v>0</v>
      </c>
      <c r="O100" s="112">
        <v>1</v>
      </c>
      <c r="P100" s="22">
        <f t="shared" ca="1" si="6"/>
        <v>-0.13075611083282368</v>
      </c>
      <c r="Q100" s="31">
        <f t="shared" ca="1" si="7"/>
        <v>0</v>
      </c>
    </row>
    <row r="101" spans="1:24" ht="15.75" customHeight="1">
      <c r="A101" s="484"/>
      <c r="B101" s="5" t="s">
        <v>360</v>
      </c>
      <c r="C101" s="430"/>
      <c r="D101" s="8" t="s">
        <v>358</v>
      </c>
      <c r="E101" s="29"/>
      <c r="F101" s="437" t="s">
        <v>359</v>
      </c>
      <c r="G101" s="442"/>
      <c r="H101" s="8" t="str">
        <f ca="1">INDEX(Byproduct_EF,MATCH(F101,INDEX(Byproduct_EF,0,2),0),3)</f>
        <v>GJ</v>
      </c>
      <c r="I101" s="133" t="s">
        <v>285</v>
      </c>
      <c r="J101" s="130"/>
      <c r="K101" s="22">
        <f ca="1">IF(I101="Default",INDEX(Byproduct_EF,MATCH(F101,INDEX(Byproduct_EF,0,2),0),4),J101)</f>
        <v>0.13075611083282368</v>
      </c>
      <c r="L101" s="133" t="s">
        <v>331</v>
      </c>
      <c r="M101" s="130"/>
      <c r="N101" s="8">
        <f t="shared" ca="1" si="5"/>
        <v>0</v>
      </c>
      <c r="O101" s="112">
        <v>1</v>
      </c>
      <c r="P101" s="22">
        <f t="shared" ca="1" si="6"/>
        <v>-0.13075611083282368</v>
      </c>
      <c r="Q101" s="31">
        <f t="shared" ca="1" si="7"/>
        <v>0</v>
      </c>
    </row>
    <row r="102" spans="1:24" ht="15.75" customHeight="1">
      <c r="A102" s="476" t="s">
        <v>361</v>
      </c>
      <c r="B102" s="5" t="s">
        <v>362</v>
      </c>
      <c r="C102" s="448" t="s">
        <v>363</v>
      </c>
      <c r="D102" s="8" t="s">
        <v>61</v>
      </c>
      <c r="E102" s="29"/>
      <c r="F102" s="437" t="s">
        <v>364</v>
      </c>
      <c r="G102" s="438"/>
      <c r="H102" s="8" t="str">
        <f ca="1">INDEX(Byproduct_EF,MATCH(F102,INDEX(Byproduct_EF,0,2),0),3)</f>
        <v>t</v>
      </c>
      <c r="I102" s="133" t="s">
        <v>285</v>
      </c>
      <c r="J102" s="130"/>
      <c r="K102" s="22">
        <f ca="1">IF(I102="Default",INDEX(Byproduct_EF,MATCH(F102,INDEX(Byproduct_EF,0,2),0),4),J102)</f>
        <v>0.83799999999999997</v>
      </c>
      <c r="L102" s="133" t="s">
        <v>331</v>
      </c>
      <c r="M102" s="112">
        <v>0</v>
      </c>
      <c r="N102" s="8">
        <f t="shared" ca="1" si="5"/>
        <v>0</v>
      </c>
      <c r="O102" s="112">
        <v>1</v>
      </c>
      <c r="P102" s="22">
        <f t="shared" ca="1" si="6"/>
        <v>-0.83799999999999997</v>
      </c>
      <c r="Q102" s="31">
        <f t="shared" ca="1" si="7"/>
        <v>0</v>
      </c>
    </row>
    <row r="103" spans="1:24" ht="15.75" customHeight="1">
      <c r="A103" s="476"/>
      <c r="B103" s="5" t="s">
        <v>365</v>
      </c>
      <c r="C103" s="448"/>
      <c r="D103" s="8" t="s">
        <v>61</v>
      </c>
      <c r="E103" s="29"/>
      <c r="F103" s="437" t="s">
        <v>366</v>
      </c>
      <c r="G103" s="438"/>
      <c r="H103" s="8" t="str">
        <f ca="1">INDEX(Byproduct_EF,MATCH(F103,INDEX(Byproduct_EF,0,2),0),3)</f>
        <v>t</v>
      </c>
      <c r="I103" s="133" t="s">
        <v>285</v>
      </c>
      <c r="J103" s="130"/>
      <c r="K103" s="22">
        <f ca="1">IF(I103="Default",INDEX(Byproduct_EF,MATCH(F103,INDEX(Byproduct_EF,0,2),0),4),J103)</f>
        <v>6.1799999999999997E-3</v>
      </c>
      <c r="L103" s="133" t="s">
        <v>331</v>
      </c>
      <c r="M103" s="112">
        <v>0</v>
      </c>
      <c r="N103" s="8">
        <f t="shared" ca="1" si="5"/>
        <v>0</v>
      </c>
      <c r="O103" s="112">
        <v>1</v>
      </c>
      <c r="P103" s="22">
        <f t="shared" ca="1" si="6"/>
        <v>-6.1799999999999997E-3</v>
      </c>
      <c r="Q103" s="31">
        <f t="shared" ca="1" si="7"/>
        <v>0</v>
      </c>
      <c r="X103" s="88"/>
    </row>
    <row r="104" spans="1:24" ht="15.75" customHeight="1">
      <c r="A104" s="476"/>
      <c r="B104" s="5" t="s">
        <v>367</v>
      </c>
      <c r="C104" s="448"/>
      <c r="D104" s="8" t="s">
        <v>61</v>
      </c>
      <c r="E104" s="29"/>
      <c r="F104" s="437" t="s">
        <v>366</v>
      </c>
      <c r="G104" s="438"/>
      <c r="H104" s="8" t="str">
        <f ca="1">INDEX(Byproduct_EF,MATCH(F104,INDEX(Byproduct_EF,0,2),0),3)</f>
        <v>t</v>
      </c>
      <c r="I104" s="133" t="s">
        <v>285</v>
      </c>
      <c r="J104" s="130"/>
      <c r="K104" s="22">
        <f ca="1">IF(I104="Default",INDEX(Byproduct_EF,MATCH(F104,INDEX(Byproduct_EF,0,2),0),4),J104)</f>
        <v>6.1799999999999997E-3</v>
      </c>
      <c r="L104" s="133" t="s">
        <v>331</v>
      </c>
      <c r="M104" s="130"/>
      <c r="N104" s="8">
        <f t="shared" ca="1" si="5"/>
        <v>0</v>
      </c>
      <c r="O104" s="112">
        <v>1</v>
      </c>
      <c r="P104" s="22">
        <f t="shared" ca="1" si="6"/>
        <v>-6.1799999999999997E-3</v>
      </c>
      <c r="Q104" s="31">
        <f t="shared" ca="1" si="7"/>
        <v>0</v>
      </c>
      <c r="X104" s="88"/>
    </row>
    <row r="105" spans="1:24" ht="22.5" customHeight="1">
      <c r="A105" s="476"/>
      <c r="B105" s="5" t="s">
        <v>368</v>
      </c>
      <c r="C105" s="439" t="s">
        <v>369</v>
      </c>
      <c r="D105" s="8" t="s">
        <v>61</v>
      </c>
      <c r="E105" s="29"/>
      <c r="F105" s="437" t="s">
        <v>370</v>
      </c>
      <c r="G105" s="438"/>
      <c r="H105" s="8" t="str">
        <f ca="1">INDEX(Byproduct_EF,MATCH(F105,INDEX(Byproduct_EF,0,2),0),3)</f>
        <v>-</v>
      </c>
      <c r="I105" s="133" t="s">
        <v>331</v>
      </c>
      <c r="J105" s="130"/>
      <c r="K105" s="22">
        <f ca="1">IF(I105="Default",INDEX(Byproduct_EF,MATCH(F105,INDEX(Byproduct_EF,0,2),0),4),J105)</f>
        <v>0</v>
      </c>
      <c r="L105" s="133" t="s">
        <v>331</v>
      </c>
      <c r="M105" s="130"/>
      <c r="N105" s="8">
        <f t="shared" ca="1" si="5"/>
        <v>0</v>
      </c>
      <c r="O105" s="112">
        <v>1</v>
      </c>
      <c r="P105" s="22">
        <f t="shared" ca="1" si="6"/>
        <v>0</v>
      </c>
      <c r="Q105" s="31">
        <f t="shared" ca="1" si="7"/>
        <v>0</v>
      </c>
    </row>
    <row r="106" spans="1:24" ht="15.75" customHeight="1">
      <c r="A106" s="476" t="s">
        <v>371</v>
      </c>
      <c r="B106" s="5" t="s">
        <v>372</v>
      </c>
      <c r="C106" s="439"/>
      <c r="D106" s="8" t="s">
        <v>61</v>
      </c>
      <c r="E106" s="29"/>
      <c r="F106" s="437" t="s">
        <v>370</v>
      </c>
      <c r="G106" s="438"/>
      <c r="H106" s="8" t="str">
        <f ca="1">INDEX(Byproduct_EF,MATCH(F106,INDEX(Byproduct_EF,0,2),0),3)</f>
        <v>-</v>
      </c>
      <c r="I106" s="133" t="s">
        <v>331</v>
      </c>
      <c r="J106" s="130"/>
      <c r="K106" s="22">
        <f ca="1">IF(I106="Default",INDEX(Byproduct_EF,MATCH(F106,INDEX(Byproduct_EF,0,2),0),4),J106)</f>
        <v>0</v>
      </c>
      <c r="L106" s="133" t="s">
        <v>331</v>
      </c>
      <c r="M106" s="130"/>
      <c r="N106" s="8">
        <f t="shared" ca="1" si="5"/>
        <v>0</v>
      </c>
      <c r="O106" s="112">
        <v>1</v>
      </c>
      <c r="P106" s="22">
        <f t="shared" ca="1" si="6"/>
        <v>0</v>
      </c>
      <c r="Q106" s="31">
        <f t="shared" ca="1" si="7"/>
        <v>0</v>
      </c>
    </row>
    <row r="107" spans="1:24" ht="15.75" customHeight="1">
      <c r="A107" s="476"/>
      <c r="B107" s="5" t="s">
        <v>373</v>
      </c>
      <c r="C107" s="439"/>
      <c r="D107" s="8" t="s">
        <v>61</v>
      </c>
      <c r="E107" s="29"/>
      <c r="F107" s="437" t="s">
        <v>370</v>
      </c>
      <c r="G107" s="438"/>
      <c r="H107" s="8" t="str">
        <f ca="1">INDEX(Byproduct_EF,MATCH(F107,INDEX(Byproduct_EF,0,2),0),3)</f>
        <v>-</v>
      </c>
      <c r="I107" s="133" t="s">
        <v>331</v>
      </c>
      <c r="J107" s="130"/>
      <c r="K107" s="22">
        <f ca="1">IF(I107="Default",INDEX(Byproduct_EF,MATCH(F107,INDEX(Byproduct_EF,0,2),0),4),J107)</f>
        <v>0</v>
      </c>
      <c r="L107" s="133" t="s">
        <v>331</v>
      </c>
      <c r="M107" s="130"/>
      <c r="N107" s="8">
        <f t="shared" ca="1" si="5"/>
        <v>0</v>
      </c>
      <c r="O107" s="112">
        <v>1</v>
      </c>
      <c r="P107" s="22">
        <f t="shared" ca="1" si="6"/>
        <v>0</v>
      </c>
      <c r="Q107" s="31">
        <f t="shared" ca="1" si="7"/>
        <v>0</v>
      </c>
      <c r="X107" s="88"/>
    </row>
    <row r="108" spans="1:24" ht="15.75" customHeight="1">
      <c r="A108" s="476"/>
      <c r="B108" s="5" t="s">
        <v>374</v>
      </c>
      <c r="C108" s="439"/>
      <c r="D108" s="8" t="s">
        <v>61</v>
      </c>
      <c r="E108" s="29"/>
      <c r="F108" s="437" t="s">
        <v>370</v>
      </c>
      <c r="G108" s="438"/>
      <c r="H108" s="8" t="str">
        <f ca="1">INDEX(Byproduct_EF,MATCH(F108,INDEX(Byproduct_EF,0,2),0),3)</f>
        <v>-</v>
      </c>
      <c r="I108" s="133" t="s">
        <v>331</v>
      </c>
      <c r="J108" s="130"/>
      <c r="K108" s="22">
        <f ca="1">IF(I108="Default",INDEX(Byproduct_EF,MATCH(F108,INDEX(Byproduct_EF,0,2),0),4),J108)</f>
        <v>0</v>
      </c>
      <c r="L108" s="133" t="s">
        <v>331</v>
      </c>
      <c r="M108" s="130"/>
      <c r="N108" s="8">
        <f t="shared" ca="1" si="5"/>
        <v>0</v>
      </c>
      <c r="O108" s="112">
        <v>1</v>
      </c>
      <c r="P108" s="22">
        <f t="shared" ca="1" si="6"/>
        <v>0</v>
      </c>
      <c r="Q108" s="31">
        <f t="shared" ca="1" si="7"/>
        <v>0</v>
      </c>
    </row>
    <row r="109" spans="1:24" ht="15.75" customHeight="1">
      <c r="A109" s="485" t="s">
        <v>375</v>
      </c>
      <c r="B109" s="5" t="s">
        <v>376</v>
      </c>
      <c r="C109" s="439"/>
      <c r="D109" s="8" t="s">
        <v>61</v>
      </c>
      <c r="E109" s="29"/>
      <c r="F109" s="437" t="s">
        <v>370</v>
      </c>
      <c r="G109" s="438"/>
      <c r="H109" s="8" t="str">
        <f ca="1">INDEX(Byproduct_EF,MATCH(F109,INDEX(Byproduct_EF,0,2),0),3)</f>
        <v>-</v>
      </c>
      <c r="I109" s="133" t="s">
        <v>331</v>
      </c>
      <c r="J109" s="130"/>
      <c r="K109" s="22">
        <f ca="1">IF(I109="Default",INDEX(Byproduct_EF,MATCH(F109,INDEX(Byproduct_EF,0,2),0),4),J109)</f>
        <v>0</v>
      </c>
      <c r="L109" s="133" t="s">
        <v>331</v>
      </c>
      <c r="M109" s="130"/>
      <c r="N109" s="8">
        <f t="shared" ca="1" si="5"/>
        <v>0</v>
      </c>
      <c r="O109" s="112">
        <v>1</v>
      </c>
      <c r="P109" s="22">
        <f t="shared" ca="1" si="6"/>
        <v>0</v>
      </c>
      <c r="Q109" s="31">
        <f t="shared" ca="1" si="7"/>
        <v>0</v>
      </c>
    </row>
    <row r="110" spans="1:24" ht="15.75" customHeight="1">
      <c r="A110" s="485"/>
      <c r="B110" s="5" t="s">
        <v>377</v>
      </c>
      <c r="C110" s="139" t="s">
        <v>378</v>
      </c>
      <c r="D110" s="8" t="s">
        <v>61</v>
      </c>
      <c r="E110" s="29"/>
      <c r="F110" s="437" t="s">
        <v>370</v>
      </c>
      <c r="G110" s="438"/>
      <c r="H110" s="8" t="str">
        <f ca="1">INDEX(Byproduct_EF,MATCH(F110,INDEX(Byproduct_EF,0,2),0),3)</f>
        <v>-</v>
      </c>
      <c r="I110" s="133" t="s">
        <v>331</v>
      </c>
      <c r="J110" s="130"/>
      <c r="K110" s="22">
        <f ca="1">IF(I110="Default",INDEX(Byproduct_EF,MATCH(F110,INDEX(Byproduct_EF,0,2),0),4),J110)</f>
        <v>0</v>
      </c>
      <c r="L110" s="133" t="s">
        <v>331</v>
      </c>
      <c r="M110" s="130"/>
      <c r="N110" s="8">
        <f t="shared" ca="1" si="5"/>
        <v>0</v>
      </c>
      <c r="O110" s="112">
        <v>1</v>
      </c>
      <c r="P110" s="22">
        <f t="shared" ca="1" si="6"/>
        <v>0</v>
      </c>
      <c r="Q110" s="31">
        <f t="shared" ca="1" si="7"/>
        <v>0</v>
      </c>
    </row>
    <row r="111" spans="1:24" ht="15.75" customHeight="1">
      <c r="A111" s="485"/>
      <c r="B111" s="5" t="s">
        <v>379</v>
      </c>
      <c r="C111" s="448" t="s">
        <v>380</v>
      </c>
      <c r="D111" s="8" t="s">
        <v>239</v>
      </c>
      <c r="E111" s="29"/>
      <c r="F111" s="437" t="s">
        <v>356</v>
      </c>
      <c r="G111" s="438"/>
      <c r="H111" s="8" t="str">
        <f ca="1">INDEX(Byproduct_EF,MATCH(F111,INDEX(Byproduct_EF,0,2),0),3)</f>
        <v>MWh</v>
      </c>
      <c r="I111" s="133" t="s">
        <v>285</v>
      </c>
      <c r="J111" s="130"/>
      <c r="K111" s="22">
        <f ca="1">IF(I111="Default",INDEX(Byproduct_EF,MATCH(F111,INDEX(Byproduct_EF,0,2),0),4),J111)</f>
        <v>0</v>
      </c>
      <c r="L111" s="133" t="s">
        <v>331</v>
      </c>
      <c r="M111" s="112">
        <v>2.1</v>
      </c>
      <c r="N111" s="8">
        <f t="shared" ca="1" si="5"/>
        <v>2.1</v>
      </c>
      <c r="O111" s="112">
        <v>1</v>
      </c>
      <c r="P111" s="22">
        <f t="shared" ca="1" si="6"/>
        <v>2.1</v>
      </c>
      <c r="Q111" s="31">
        <f t="shared" ca="1" si="7"/>
        <v>0</v>
      </c>
    </row>
    <row r="112" spans="1:24" ht="15.75" customHeight="1">
      <c r="A112" s="485"/>
      <c r="B112" s="5" t="s">
        <v>323</v>
      </c>
      <c r="C112" s="428"/>
      <c r="D112" s="8" t="s">
        <v>358</v>
      </c>
      <c r="E112" s="29"/>
      <c r="F112" s="437" t="s">
        <v>359</v>
      </c>
      <c r="G112" s="438"/>
      <c r="H112" s="8" t="str">
        <f ca="1">INDEX(Byproduct_EF,MATCH(F112,INDEX(Byproduct_EF,0,2),0),3)</f>
        <v>GJ</v>
      </c>
      <c r="I112" s="133" t="s">
        <v>285</v>
      </c>
      <c r="J112" s="130"/>
      <c r="K112" s="22">
        <f ca="1">IF(I112="Default",INDEX(Byproduct_EF,MATCH(F112,INDEX(Byproduct_EF,0,2),0),4),J112)</f>
        <v>0.13075611083282368</v>
      </c>
      <c r="L112" s="133" t="s">
        <v>331</v>
      </c>
      <c r="M112" s="130"/>
      <c r="N112" s="8">
        <f t="shared" ca="1" si="5"/>
        <v>0</v>
      </c>
      <c r="O112" s="112">
        <v>0.85</v>
      </c>
      <c r="P112" s="22">
        <f t="shared" ca="1" si="6"/>
        <v>-0.11114269420790013</v>
      </c>
      <c r="Q112" s="31">
        <f t="shared" ca="1" si="7"/>
        <v>0</v>
      </c>
    </row>
    <row r="113" spans="1:24" ht="15.75" customHeight="1">
      <c r="A113" s="485"/>
      <c r="B113" s="5" t="s">
        <v>381</v>
      </c>
      <c r="C113" s="448" t="s">
        <v>370</v>
      </c>
      <c r="D113" s="8" t="s">
        <v>61</v>
      </c>
      <c r="E113" s="29"/>
      <c r="F113" s="437" t="s">
        <v>370</v>
      </c>
      <c r="G113" s="438"/>
      <c r="H113" s="8" t="str">
        <f ca="1">INDEX(Byproduct_EF,MATCH(F113,INDEX(Byproduct_EF,0,2),0),3)</f>
        <v>-</v>
      </c>
      <c r="I113" s="133" t="s">
        <v>331</v>
      </c>
      <c r="J113" s="130"/>
      <c r="K113" s="22">
        <f ca="1">IF(I113="Default",INDEX(Byproduct_EF,MATCH(F113,INDEX(Byproduct_EF,0,2),0),4),J113)</f>
        <v>0</v>
      </c>
      <c r="L113" s="133" t="s">
        <v>331</v>
      </c>
      <c r="M113" s="130"/>
      <c r="N113" s="8">
        <f t="shared" ca="1" si="5"/>
        <v>0</v>
      </c>
      <c r="O113" s="112">
        <v>1</v>
      </c>
      <c r="P113" s="22">
        <f t="shared" ca="1" si="6"/>
        <v>0</v>
      </c>
      <c r="Q113" s="31">
        <f t="shared" ca="1" si="7"/>
        <v>0</v>
      </c>
    </row>
    <row r="114" spans="1:24" ht="15.75" customHeight="1">
      <c r="B114" s="5" t="s">
        <v>382</v>
      </c>
      <c r="C114" s="448"/>
      <c r="D114" s="8" t="s">
        <v>61</v>
      </c>
      <c r="E114" s="29"/>
      <c r="F114" s="437" t="s">
        <v>370</v>
      </c>
      <c r="G114" s="438"/>
      <c r="H114" s="8" t="str">
        <f ca="1">INDEX(Byproduct_EF,MATCH(F114,INDEX(Byproduct_EF,0,2),0),3)</f>
        <v>-</v>
      </c>
      <c r="I114" s="133" t="s">
        <v>331</v>
      </c>
      <c r="J114" s="130"/>
      <c r="K114" s="22">
        <f ca="1">IF(I114="Default",INDEX(Byproduct_EF,MATCH(F114,INDEX(Byproduct_EF,0,2),0),4),J114)</f>
        <v>0</v>
      </c>
      <c r="L114" s="133" t="s">
        <v>331</v>
      </c>
      <c r="M114" s="130"/>
      <c r="N114" s="8">
        <f t="shared" ca="1" si="5"/>
        <v>0</v>
      </c>
      <c r="O114" s="112">
        <v>1</v>
      </c>
      <c r="P114" s="22">
        <f t="shared" ca="1" si="6"/>
        <v>0</v>
      </c>
      <c r="Q114" s="31">
        <f t="shared" ca="1" si="7"/>
        <v>0</v>
      </c>
      <c r="X114" s="88"/>
    </row>
    <row r="115" spans="1:24" ht="15.75" customHeight="1">
      <c r="B115" s="6" t="s">
        <v>383</v>
      </c>
      <c r="C115" s="448"/>
      <c r="D115" s="119" t="s">
        <v>61</v>
      </c>
      <c r="E115" s="126"/>
      <c r="F115" s="479" t="s">
        <v>370</v>
      </c>
      <c r="G115" s="480"/>
      <c r="H115" s="119" t="str">
        <f ca="1">INDEX(Byproduct_EF,MATCH(F115,INDEX(Byproduct_EF,0,2),0),3)</f>
        <v>-</v>
      </c>
      <c r="I115" s="135" t="s">
        <v>331</v>
      </c>
      <c r="J115" s="131"/>
      <c r="K115" s="138">
        <f ca="1">IF(I115="Default",INDEX(Byproduct_EF,MATCH(F115,INDEX(Byproduct_EF,0,2),0),4),J115)</f>
        <v>0</v>
      </c>
      <c r="L115" s="135" t="s">
        <v>331</v>
      </c>
      <c r="M115" s="131"/>
      <c r="N115" s="119">
        <f t="shared" ca="1" si="5"/>
        <v>0</v>
      </c>
      <c r="O115" s="134">
        <v>1</v>
      </c>
      <c r="P115" s="344">
        <f t="shared" ca="1" si="6"/>
        <v>0</v>
      </c>
      <c r="Q115" s="146">
        <f t="shared" ca="1" si="7"/>
        <v>0</v>
      </c>
      <c r="X115" s="88"/>
    </row>
    <row r="116" spans="1:24" ht="15.75" customHeight="1">
      <c r="E116" t="s">
        <v>384</v>
      </c>
      <c r="F116" s="88"/>
    </row>
    <row r="117" spans="1:24" ht="15.75" customHeight="1">
      <c r="F117" s="88"/>
    </row>
    <row r="118" spans="1:24" ht="15.75" customHeight="1">
      <c r="F118" s="88"/>
    </row>
    <row r="119" spans="1:24" s="301" customFormat="1" ht="27" customHeight="1">
      <c r="A119" s="343" t="s">
        <v>385</v>
      </c>
      <c r="F119" s="340"/>
    </row>
    <row r="120" spans="1:24" ht="15.75" customHeight="1">
      <c r="A120" s="345"/>
      <c r="B120" s="113" t="s">
        <v>386</v>
      </c>
      <c r="F120" s="88"/>
    </row>
    <row r="121" spans="1:24" ht="15.75" customHeight="1">
      <c r="A121" s="410" t="s">
        <v>387</v>
      </c>
      <c r="B121" s="431" t="s">
        <v>386</v>
      </c>
      <c r="C121" s="432"/>
      <c r="D121" s="277" t="s">
        <v>388</v>
      </c>
      <c r="E121" s="277"/>
      <c r="F121" s="277"/>
      <c r="G121" s="277"/>
      <c r="H121" s="277"/>
      <c r="I121" s="277"/>
      <c r="J121" s="277"/>
      <c r="K121" s="277"/>
      <c r="L121" s="277"/>
      <c r="M121" s="277"/>
      <c r="N121" s="277"/>
      <c r="O121" s="376"/>
    </row>
    <row r="122" spans="1:24" ht="15.75" customHeight="1">
      <c r="A122" s="410"/>
      <c r="B122" s="433"/>
      <c r="C122" s="434"/>
      <c r="D122" s="481" t="s">
        <v>389</v>
      </c>
      <c r="E122" s="482"/>
      <c r="F122" s="482"/>
      <c r="G122" s="483"/>
      <c r="H122" s="298" t="s">
        <v>390</v>
      </c>
      <c r="I122" s="292"/>
      <c r="J122" s="292"/>
      <c r="K122" s="292"/>
      <c r="L122" s="292"/>
      <c r="M122" s="292"/>
      <c r="N122" s="298" t="s">
        <v>391</v>
      </c>
      <c r="O122" s="91"/>
    </row>
    <row r="123" spans="1:24" ht="36.950000000000003" customHeight="1">
      <c r="A123" s="410"/>
      <c r="B123" s="435"/>
      <c r="C123" s="436"/>
      <c r="D123" s="34" t="s">
        <v>392</v>
      </c>
      <c r="E123" s="280" t="s">
        <v>393</v>
      </c>
      <c r="F123" s="299" t="s">
        <v>394</v>
      </c>
      <c r="G123" s="89" t="s">
        <v>395</v>
      </c>
      <c r="H123" s="34" t="s">
        <v>396</v>
      </c>
      <c r="I123" s="277" t="s">
        <v>397</v>
      </c>
      <c r="J123" s="280" t="s">
        <v>398</v>
      </c>
      <c r="K123" s="277" t="s">
        <v>399</v>
      </c>
      <c r="L123" s="287" t="s">
        <v>394</v>
      </c>
      <c r="M123" s="276" t="s">
        <v>400</v>
      </c>
      <c r="N123" s="377" t="s">
        <v>401</v>
      </c>
    </row>
    <row r="124" spans="1:24" ht="15" customHeight="1">
      <c r="A124" s="474" t="s">
        <v>402</v>
      </c>
      <c r="B124" s="346" t="s">
        <v>403</v>
      </c>
      <c r="C124" s="279"/>
      <c r="D124" s="282">
        <v>20000</v>
      </c>
      <c r="E124" s="354">
        <f ca="1">SUM(E147:G147)</f>
        <v>2.2527529411764706</v>
      </c>
      <c r="F124" s="348">
        <f ca="1">E124*D124</f>
        <v>45055.058823529413</v>
      </c>
      <c r="G124" s="380">
        <f>SUM($N$53:$N$56)/$H$18</f>
        <v>0.1589825119236884</v>
      </c>
      <c r="H124" s="269">
        <v>5000</v>
      </c>
      <c r="I124" t="s">
        <v>404</v>
      </c>
      <c r="J124" s="355">
        <v>1.5</v>
      </c>
      <c r="K124" s="351">
        <f>IF(I124="known source",#REF!,15%)</f>
        <v>0.15</v>
      </c>
      <c r="L124" s="284">
        <f t="shared" ref="L124:L130" ca="1" si="8">IF(I124="known source", H124*J124, IF(I124="unknown source", H124*E124, 0))</f>
        <v>11263.764705882353</v>
      </c>
      <c r="M124" s="285">
        <f t="shared" ref="M124:M129" si="9">H124-D124</f>
        <v>-15000</v>
      </c>
      <c r="N124" s="378">
        <f t="shared" ref="N124:N129" ca="1" si="10">L124-F124</f>
        <v>-33791.294117647063</v>
      </c>
    </row>
    <row r="125" spans="1:24" ht="15.75" customHeight="1">
      <c r="A125" s="474"/>
      <c r="B125" s="293" t="s">
        <v>183</v>
      </c>
      <c r="C125" s="212"/>
      <c r="D125" s="269">
        <v>20000</v>
      </c>
      <c r="E125" s="285">
        <f ca="1">SUM(E147:H147)+M147</f>
        <v>2.3014979811183731</v>
      </c>
      <c r="F125" s="348">
        <f ca="1">E125*D125</f>
        <v>46029.95962236746</v>
      </c>
      <c r="G125" s="375">
        <f t="shared" ref="G125:G129" si="11">SUM($N$53:$N$56)/$H$18</f>
        <v>0.1589825119236884</v>
      </c>
      <c r="H125" s="269">
        <v>500</v>
      </c>
      <c r="I125" t="s">
        <v>404</v>
      </c>
      <c r="J125" s="269"/>
      <c r="K125" s="351">
        <f>IF(I125="known source",#REF!,15%)</f>
        <v>0.15</v>
      </c>
      <c r="L125" s="284">
        <f t="shared" ca="1" si="8"/>
        <v>1150.7489905591865</v>
      </c>
      <c r="M125" s="285">
        <f t="shared" si="9"/>
        <v>-19500</v>
      </c>
      <c r="N125" s="378">
        <f t="shared" ca="1" si="10"/>
        <v>-44879.210631808273</v>
      </c>
    </row>
    <row r="126" spans="1:24" ht="15.75" customHeight="1">
      <c r="A126" s="474"/>
      <c r="B126" s="293" t="s">
        <v>185</v>
      </c>
      <c r="C126" s="212"/>
      <c r="D126" s="269">
        <v>10000</v>
      </c>
      <c r="E126" s="285">
        <f ca="1">SUM(E147:H147)+M147</f>
        <v>2.3014979811183731</v>
      </c>
      <c r="F126" s="349">
        <f t="shared" ref="F126:F129" ca="1" si="12">E126*D126</f>
        <v>23014.97981118373</v>
      </c>
      <c r="G126" s="375">
        <f t="shared" si="11"/>
        <v>0.1589825119236884</v>
      </c>
      <c r="H126" s="269">
        <v>7000</v>
      </c>
      <c r="I126" t="s">
        <v>404</v>
      </c>
      <c r="J126" s="269"/>
      <c r="K126" s="296">
        <f>IF(I126="known source",#REF!,15%)</f>
        <v>0.15</v>
      </c>
      <c r="L126" s="284">
        <f t="shared" ca="1" si="8"/>
        <v>16110.485867828611</v>
      </c>
      <c r="M126" s="285">
        <f t="shared" si="9"/>
        <v>-3000</v>
      </c>
      <c r="N126" s="378">
        <f t="shared" ca="1" si="10"/>
        <v>-6904.493943355119</v>
      </c>
    </row>
    <row r="127" spans="1:24" ht="15.75" customHeight="1">
      <c r="A127" s="474"/>
      <c r="B127" s="293" t="s">
        <v>188</v>
      </c>
      <c r="C127" s="212"/>
      <c r="D127" s="269">
        <v>1000</v>
      </c>
      <c r="E127" s="285">
        <f ca="1">SUM(E147:H147)+M147</f>
        <v>2.3014979811183731</v>
      </c>
      <c r="F127" s="349">
        <f t="shared" ca="1" si="12"/>
        <v>2301.497981118373</v>
      </c>
      <c r="G127" s="375">
        <f t="shared" si="11"/>
        <v>0.1589825119236884</v>
      </c>
      <c r="H127" s="269">
        <v>400</v>
      </c>
      <c r="I127" t="s">
        <v>404</v>
      </c>
      <c r="J127" s="269"/>
      <c r="K127" s="296">
        <f>IF(I127="known source",#REF!,15%)</f>
        <v>0.15</v>
      </c>
      <c r="L127" s="284">
        <f t="shared" ca="1" si="8"/>
        <v>920.5991924473492</v>
      </c>
      <c r="M127" s="285">
        <f t="shared" si="9"/>
        <v>-600</v>
      </c>
      <c r="N127" s="378">
        <f t="shared" ca="1" si="10"/>
        <v>-1380.8987886710238</v>
      </c>
    </row>
    <row r="128" spans="1:24" ht="15.75" customHeight="1">
      <c r="B128" s="293" t="s">
        <v>191</v>
      </c>
      <c r="C128" s="212"/>
      <c r="D128" s="269"/>
      <c r="E128" s="285">
        <f ca="1">SUM(E147:J147)+M147</f>
        <v>2.2750266356618951</v>
      </c>
      <c r="F128" s="348">
        <f t="shared" ca="1" si="12"/>
        <v>0</v>
      </c>
      <c r="G128" s="375">
        <f t="shared" si="11"/>
        <v>0.1589825119236884</v>
      </c>
      <c r="H128" s="269">
        <v>2000</v>
      </c>
      <c r="I128" t="s">
        <v>404</v>
      </c>
      <c r="J128" s="269"/>
      <c r="K128" s="296">
        <f>IF(I128="known source",#REF!,15%)</f>
        <v>0.15</v>
      </c>
      <c r="L128" s="284">
        <f t="shared" ca="1" si="8"/>
        <v>4550.0532713237899</v>
      </c>
      <c r="M128" s="285">
        <f t="shared" si="9"/>
        <v>2000</v>
      </c>
      <c r="N128" s="378">
        <f t="shared" ca="1" si="10"/>
        <v>4550.0532713237899</v>
      </c>
    </row>
    <row r="129" spans="1:14" ht="15.75" customHeight="1">
      <c r="B129" s="294" t="s">
        <v>195</v>
      </c>
      <c r="C129" s="295"/>
      <c r="D129" s="278"/>
      <c r="E129" s="286">
        <f ca="1">SUM(E147:K147)+M147</f>
        <v>2.2773237142520224</v>
      </c>
      <c r="F129" s="350">
        <f t="shared" ca="1" si="12"/>
        <v>0</v>
      </c>
      <c r="G129" s="375">
        <f t="shared" si="11"/>
        <v>0.1589825119236884</v>
      </c>
      <c r="H129" s="269"/>
      <c r="I129" t="s">
        <v>404</v>
      </c>
      <c r="J129" s="278"/>
      <c r="K129" s="297">
        <f>IF(I129="known source",#REF!,15%)</f>
        <v>0.15</v>
      </c>
      <c r="L129" s="284">
        <f t="shared" ca="1" si="8"/>
        <v>0</v>
      </c>
      <c r="M129" s="285">
        <f t="shared" si="9"/>
        <v>0</v>
      </c>
      <c r="N129" s="378">
        <f t="shared" ca="1" si="10"/>
        <v>0</v>
      </c>
    </row>
    <row r="130" spans="1:14" ht="15.75" customHeight="1">
      <c r="B130" s="451" t="s">
        <v>405</v>
      </c>
      <c r="C130" s="452"/>
      <c r="D130" s="277" t="s">
        <v>406</v>
      </c>
      <c r="E130" s="277"/>
      <c r="F130" s="277"/>
      <c r="G130" s="277"/>
      <c r="H130" s="277"/>
      <c r="I130" s="277"/>
      <c r="J130" s="277"/>
      <c r="K130" s="277"/>
      <c r="L130" s="284">
        <f t="shared" si="8"/>
        <v>0</v>
      </c>
      <c r="M130" s="286">
        <f>SUM(M125:M129)</f>
        <v>-21100</v>
      </c>
      <c r="N130" s="379">
        <f ca="1">SUM(N125:N129)</f>
        <v>-48614.550092510624</v>
      </c>
    </row>
    <row r="131" spans="1:14" ht="15.75" customHeight="1">
      <c r="F131" s="88"/>
    </row>
    <row r="132" spans="1:14" ht="15.75" customHeight="1">
      <c r="B132" s="453" t="s">
        <v>407</v>
      </c>
      <c r="C132" s="453"/>
      <c r="D132" s="453"/>
      <c r="E132" s="453"/>
      <c r="F132" s="453"/>
    </row>
    <row r="133" spans="1:14" ht="15.75" customHeight="1">
      <c r="B133" t="s">
        <v>408</v>
      </c>
    </row>
    <row r="134" spans="1:14" ht="15.75" customHeight="1">
      <c r="B134" s="453" t="s">
        <v>409</v>
      </c>
      <c r="C134" s="453"/>
      <c r="D134" s="453"/>
      <c r="E134" s="453"/>
      <c r="F134" s="453"/>
      <c r="G134" s="453"/>
      <c r="H134" s="453"/>
    </row>
    <row r="135" spans="1:14" ht="15.75" customHeight="1">
      <c r="B135" s="37"/>
      <c r="C135" s="37"/>
      <c r="D135" s="37"/>
      <c r="E135" s="37"/>
      <c r="F135" s="37"/>
      <c r="G135" s="37"/>
      <c r="H135" s="37"/>
    </row>
    <row r="136" spans="1:14" ht="15.75" customHeight="1">
      <c r="B136" s="37"/>
      <c r="C136" s="37"/>
      <c r="D136" s="37"/>
      <c r="E136" s="37"/>
      <c r="F136" s="37"/>
      <c r="G136" s="37"/>
      <c r="H136" s="37"/>
    </row>
    <row r="137" spans="1:14" ht="15.75" customHeight="1">
      <c r="B137" s="37"/>
      <c r="C137" s="37"/>
      <c r="D137" s="37"/>
      <c r="E137" s="37"/>
      <c r="F137" s="37"/>
      <c r="G137" s="37"/>
      <c r="H137" s="37"/>
    </row>
    <row r="138" spans="1:14" ht="15.75" customHeight="1">
      <c r="B138" s="37"/>
      <c r="C138" s="37"/>
      <c r="D138" s="37"/>
      <c r="E138" s="37"/>
      <c r="F138" s="37"/>
      <c r="G138" s="37"/>
      <c r="H138" s="37"/>
    </row>
    <row r="139" spans="1:14" s="301" customFormat="1" ht="29.1" customHeight="1">
      <c r="A139" s="343" t="s">
        <v>410</v>
      </c>
      <c r="B139" s="447"/>
      <c r="C139" s="447"/>
      <c r="D139" s="447"/>
    </row>
    <row r="140" spans="1:14" ht="21.95" customHeight="1">
      <c r="A140" s="345"/>
      <c r="B140" s="357" t="s">
        <v>411</v>
      </c>
      <c r="C140" s="356"/>
      <c r="D140" s="356"/>
    </row>
    <row r="141" spans="1:14" ht="33.950000000000003" customHeight="1">
      <c r="B141" s="120" t="s">
        <v>412</v>
      </c>
      <c r="C141" s="121"/>
      <c r="D141" s="121"/>
      <c r="E141" s="122" t="str">
        <f>E51</f>
        <v>Mining/Fuel Extraction</v>
      </c>
      <c r="F141" s="122" t="str">
        <f>F51</f>
        <v>Raw Material Preparation</v>
      </c>
      <c r="G141" s="122" t="str">
        <f>G51</f>
        <v>Iron Making</v>
      </c>
      <c r="H141" s="122" t="str">
        <f>H51</f>
        <v>Steel Making</v>
      </c>
      <c r="I141" s="122" t="s">
        <v>254</v>
      </c>
      <c r="J141" s="122" t="str">
        <f>J51</f>
        <v xml:space="preserve">Hot Rolling </v>
      </c>
      <c r="K141" s="122" t="str">
        <f>K51</f>
        <v>Cold Rolling</v>
      </c>
      <c r="L141" s="122" t="str">
        <f>L51</f>
        <v>Other Downstream Processes</v>
      </c>
      <c r="M141" s="123" t="str">
        <f>M51</f>
        <v>downstream Auxilliary Processes</v>
      </c>
    </row>
    <row r="142" spans="1:14" ht="21.95" customHeight="1">
      <c r="B142" s="275" t="s">
        <v>413</v>
      </c>
      <c r="C142" s="279" t="s">
        <v>219</v>
      </c>
      <c r="D142" s="279" t="s">
        <v>414</v>
      </c>
      <c r="E142" s="302">
        <f>C5</f>
        <v>2040000</v>
      </c>
      <c r="F142" s="302">
        <f>C5</f>
        <v>2040000</v>
      </c>
      <c r="G142" s="302">
        <f>C5</f>
        <v>2040000</v>
      </c>
      <c r="H142" s="302">
        <f>G142+M124</f>
        <v>2025000</v>
      </c>
      <c r="I142" s="353">
        <f>H142</f>
        <v>2025000</v>
      </c>
      <c r="J142" s="303">
        <f>I142+SUM(M125:M127)</f>
        <v>2001900</v>
      </c>
      <c r="K142" s="304">
        <f>J142+SUM(M125:M128)</f>
        <v>1980800</v>
      </c>
      <c r="L142" s="302">
        <f>H142+SUM(M125:M129)</f>
        <v>2003900</v>
      </c>
      <c r="M142" s="302">
        <f>L142</f>
        <v>2003900</v>
      </c>
    </row>
    <row r="143" spans="1:14" ht="15.95" customHeight="1">
      <c r="B143" s="64" t="s">
        <v>415</v>
      </c>
      <c r="C143" s="1" t="s">
        <v>219</v>
      </c>
      <c r="D143" s="1" t="s">
        <v>416</v>
      </c>
      <c r="E143" s="305">
        <f t="shared" ref="E143:M143" ca="1" si="13">SUMPRODUCT(E52:E91,$Q$52:$Q$91)</f>
        <v>0</v>
      </c>
      <c r="F143" s="305">
        <f t="shared" ca="1" si="13"/>
        <v>2424220</v>
      </c>
      <c r="G143" s="305">
        <f t="shared" ca="1" si="13"/>
        <v>1386477</v>
      </c>
      <c r="H143" s="305">
        <f t="shared" ca="1" si="13"/>
        <v>5499.9999999999991</v>
      </c>
      <c r="I143" s="305">
        <f t="shared" ca="1" si="13"/>
        <v>0</v>
      </c>
      <c r="J143" s="305">
        <f t="shared" ca="1" si="13"/>
        <v>132.68435013262601</v>
      </c>
      <c r="K143" s="305">
        <f t="shared" ca="1" si="13"/>
        <v>0</v>
      </c>
      <c r="L143" s="305">
        <f t="shared" ca="1" si="13"/>
        <v>0</v>
      </c>
      <c r="M143" s="305">
        <f t="shared" ca="1" si="13"/>
        <v>0</v>
      </c>
    </row>
    <row r="144" spans="1:14" ht="15.95" customHeight="1">
      <c r="B144" s="64" t="s">
        <v>417</v>
      </c>
      <c r="C144" s="1" t="s">
        <v>219</v>
      </c>
      <c r="D144" s="1" t="s">
        <v>416</v>
      </c>
      <c r="E144" s="305">
        <f t="shared" ref="E144:M144" ca="1" si="14">SUMPRODUCT(E52:E91,$V$52:$V$91)</f>
        <v>219</v>
      </c>
      <c r="F144" s="305">
        <f t="shared" ca="1" si="14"/>
        <v>304800</v>
      </c>
      <c r="G144" s="305">
        <f t="shared" ca="1" si="14"/>
        <v>479900</v>
      </c>
      <c r="H144" s="305">
        <f t="shared" ca="1" si="14"/>
        <v>127000</v>
      </c>
      <c r="I144" s="305">
        <f t="shared" ca="1" si="14"/>
        <v>0</v>
      </c>
      <c r="J144" s="305">
        <f t="shared" ca="1" si="14"/>
        <v>38.932544378698225</v>
      </c>
      <c r="K144" s="305">
        <f t="shared" ca="1" si="14"/>
        <v>0</v>
      </c>
      <c r="L144" s="305">
        <f t="shared" ca="1" si="14"/>
        <v>0</v>
      </c>
      <c r="M144" s="305">
        <f t="shared" ca="1" si="14"/>
        <v>0</v>
      </c>
    </row>
    <row r="145" spans="2:21" ht="15.95" customHeight="1">
      <c r="B145" s="64" t="s">
        <v>418</v>
      </c>
      <c r="C145" s="1" t="s">
        <v>219</v>
      </c>
      <c r="D145" s="1" t="s">
        <v>416</v>
      </c>
      <c r="E145" s="305">
        <v>0</v>
      </c>
      <c r="F145" s="305">
        <v>0</v>
      </c>
      <c r="G145" s="305">
        <v>0</v>
      </c>
      <c r="H145" s="305">
        <f ca="1">N124</f>
        <v>-33791.294117647063</v>
      </c>
      <c r="I145" s="352">
        <v>0</v>
      </c>
      <c r="J145" s="305">
        <f ca="1">SUM(N125:N127)</f>
        <v>-53164.603363834416</v>
      </c>
      <c r="K145" s="305">
        <f ca="1">N128</f>
        <v>4550.0532713237899</v>
      </c>
      <c r="L145" s="305">
        <f ca="1">N129</f>
        <v>0</v>
      </c>
      <c r="M145" s="305">
        <v>0</v>
      </c>
    </row>
    <row r="146" spans="2:21" ht="15.95" customHeight="1">
      <c r="B146" s="64" t="s">
        <v>419</v>
      </c>
      <c r="C146" s="1" t="s">
        <v>219</v>
      </c>
      <c r="D146" s="1" t="s">
        <v>416</v>
      </c>
      <c r="E146" s="305">
        <f ca="1">SUM(E143:E145)</f>
        <v>219</v>
      </c>
      <c r="F146" s="305">
        <f ca="1">SUM(F143:F145)</f>
        <v>2729020</v>
      </c>
      <c r="G146" s="305">
        <f t="shared" ref="G146" ca="1" si="15">SUM(G143:G145)</f>
        <v>1866377</v>
      </c>
      <c r="H146" s="305">
        <f ca="1">SUM(H143:H145)</f>
        <v>98708.705882352937</v>
      </c>
      <c r="I146" s="305">
        <f t="shared" ref="I146:M146" ca="1" si="16">SUM(I143:I145)</f>
        <v>0</v>
      </c>
      <c r="J146" s="305">
        <f ca="1">SUM(J143:J145)</f>
        <v>-52992.986469323092</v>
      </c>
      <c r="K146" s="305">
        <f t="shared" ca="1" si="16"/>
        <v>4550.0532713237899</v>
      </c>
      <c r="L146" s="305">
        <f t="shared" ca="1" si="16"/>
        <v>0</v>
      </c>
      <c r="M146" s="305">
        <f t="shared" ca="1" si="16"/>
        <v>0</v>
      </c>
    </row>
    <row r="147" spans="2:21" ht="15.95" customHeight="1">
      <c r="B147" s="65" t="s">
        <v>420</v>
      </c>
      <c r="C147" s="66" t="s">
        <v>219</v>
      </c>
      <c r="D147" s="66" t="s">
        <v>421</v>
      </c>
      <c r="E147" s="306">
        <f ca="1">E146/E142</f>
        <v>1.0735294117647059E-4</v>
      </c>
      <c r="F147" s="306">
        <f ca="1">F146/F142</f>
        <v>1.3377549019607844</v>
      </c>
      <c r="G147" s="306">
        <f ca="1">G146/G142</f>
        <v>0.91489068627450976</v>
      </c>
      <c r="H147" s="306">
        <f ca="1">H146/H142</f>
        <v>4.8745039941902685E-2</v>
      </c>
      <c r="I147" s="306">
        <f ca="1">I146/I142</f>
        <v>0</v>
      </c>
      <c r="J147" s="306">
        <f t="shared" ref="J147:L147" ca="1" si="17">J146/J142</f>
        <v>-2.6471345456477891E-2</v>
      </c>
      <c r="K147" s="306">
        <f ca="1">K146/K142</f>
        <v>2.2970785901271153E-3</v>
      </c>
      <c r="L147" s="306">
        <f t="shared" ca="1" si="17"/>
        <v>0</v>
      </c>
      <c r="M147" s="306">
        <f ca="1">M146/M142</f>
        <v>0</v>
      </c>
    </row>
    <row r="148" spans="2:21" ht="15.95" customHeight="1">
      <c r="C148" s="1"/>
      <c r="D148" s="1"/>
      <c r="E148" s="21"/>
      <c r="F148" s="21"/>
      <c r="G148" s="21"/>
      <c r="H148" s="21"/>
      <c r="I148" s="21"/>
      <c r="J148" s="21"/>
      <c r="K148" s="80"/>
      <c r="L148" s="80"/>
    </row>
    <row r="149" spans="2:21" ht="15.95" customHeight="1">
      <c r="C149" s="1"/>
      <c r="D149" s="1"/>
      <c r="E149" s="21"/>
      <c r="F149" s="21"/>
      <c r="G149" s="21"/>
      <c r="H149" s="21"/>
      <c r="I149" s="21"/>
      <c r="J149" s="21"/>
      <c r="K149" s="80"/>
      <c r="L149" s="80"/>
    </row>
    <row r="150" spans="2:21" ht="15.95">
      <c r="U150" s="86"/>
    </row>
    <row r="151" spans="2:21" ht="15.95">
      <c r="K151" s="443"/>
      <c r="L151" s="443"/>
      <c r="M151" s="443"/>
      <c r="N151" s="443"/>
      <c r="O151" s="443"/>
    </row>
    <row r="152" spans="2:21" ht="20.25" customHeight="1">
      <c r="B152" t="s">
        <v>12</v>
      </c>
      <c r="I152" s="78"/>
      <c r="J152" s="78"/>
    </row>
    <row r="153" spans="2:21" ht="20.25" customHeight="1">
      <c r="B153" s="409" t="s">
        <v>422</v>
      </c>
      <c r="C153" s="409"/>
      <c r="D153" s="409"/>
      <c r="E153" s="409"/>
      <c r="F153" s="409"/>
      <c r="I153" s="78"/>
      <c r="J153" s="78"/>
      <c r="L153" s="88"/>
      <c r="N153" s="18"/>
    </row>
    <row r="154" spans="2:21" ht="20.25" customHeight="1">
      <c r="B154" s="409" t="s">
        <v>423</v>
      </c>
      <c r="C154" s="409"/>
      <c r="D154" s="409"/>
      <c r="E154" s="409"/>
      <c r="F154" s="409"/>
      <c r="N154" s="18"/>
    </row>
    <row r="155" spans="2:21" ht="20.25" customHeight="1">
      <c r="B155" s="409" t="s">
        <v>424</v>
      </c>
      <c r="C155" s="409"/>
      <c r="D155" s="409"/>
      <c r="E155" s="409"/>
      <c r="F155" s="409"/>
      <c r="M155" s="443"/>
      <c r="N155" s="443"/>
      <c r="O155" s="443"/>
    </row>
    <row r="156" spans="2:21" ht="20.25" customHeight="1">
      <c r="B156" s="409" t="s">
        <v>425</v>
      </c>
      <c r="C156" s="409"/>
      <c r="D156" s="409"/>
      <c r="E156" s="409"/>
      <c r="F156" s="409"/>
      <c r="G156" s="409"/>
      <c r="H156" s="409"/>
      <c r="I156" s="409"/>
    </row>
    <row r="157" spans="2:21" ht="20.25" customHeight="1">
      <c r="B157" t="s">
        <v>426</v>
      </c>
      <c r="G157" s="88"/>
    </row>
    <row r="158" spans="2:21" ht="20.25" customHeight="1">
      <c r="E158" s="110"/>
    </row>
    <row r="159" spans="2:21" ht="20.25" customHeight="1">
      <c r="E159" s="110"/>
    </row>
    <row r="160" spans="2:21" ht="20.25" customHeight="1">
      <c r="G160" s="84"/>
    </row>
    <row r="161" spans="7:8" ht="15.75" customHeight="1">
      <c r="G161" s="124"/>
      <c r="H161" s="78"/>
    </row>
  </sheetData>
  <mergeCells count="78">
    <mergeCell ref="A102:A105"/>
    <mergeCell ref="A106:A108"/>
    <mergeCell ref="A109:A113"/>
    <mergeCell ref="K3:P3"/>
    <mergeCell ref="A121:A123"/>
    <mergeCell ref="A2:A4"/>
    <mergeCell ref="B9:C9"/>
    <mergeCell ref="B10:C10"/>
    <mergeCell ref="B11:C11"/>
    <mergeCell ref="C4:D4"/>
    <mergeCell ref="A24:A26"/>
    <mergeCell ref="D14:E14"/>
    <mergeCell ref="A41:A42"/>
    <mergeCell ref="A52:A61"/>
    <mergeCell ref="D15:E15"/>
    <mergeCell ref="A124:A127"/>
    <mergeCell ref="A62:A75"/>
    <mergeCell ref="F101:G101"/>
    <mergeCell ref="F102:G102"/>
    <mergeCell ref="F98:G98"/>
    <mergeCell ref="C79:C86"/>
    <mergeCell ref="C57:C63"/>
    <mergeCell ref="F112:G112"/>
    <mergeCell ref="F109:G109"/>
    <mergeCell ref="F113:G113"/>
    <mergeCell ref="F114:G114"/>
    <mergeCell ref="F115:G115"/>
    <mergeCell ref="D122:G122"/>
    <mergeCell ref="F105:G105"/>
    <mergeCell ref="A95:A98"/>
    <mergeCell ref="A99:A101"/>
    <mergeCell ref="X50:X51"/>
    <mergeCell ref="J97:Q97"/>
    <mergeCell ref="C5:D5"/>
    <mergeCell ref="C6:D6"/>
    <mergeCell ref="B50:D50"/>
    <mergeCell ref="I24:I28"/>
    <mergeCell ref="C89:C91"/>
    <mergeCell ref="C64:C68"/>
    <mergeCell ref="C52:C56"/>
    <mergeCell ref="S50:W50"/>
    <mergeCell ref="F97:I97"/>
    <mergeCell ref="O50:R50"/>
    <mergeCell ref="E50:N50"/>
    <mergeCell ref="B12:C12"/>
    <mergeCell ref="B13:C13"/>
    <mergeCell ref="B14:C14"/>
    <mergeCell ref="M155:O155"/>
    <mergeCell ref="B155:F155"/>
    <mergeCell ref="K151:O151"/>
    <mergeCell ref="B24:D24"/>
    <mergeCell ref="B30:D30"/>
    <mergeCell ref="B139:D139"/>
    <mergeCell ref="C113:C115"/>
    <mergeCell ref="C111:C112"/>
    <mergeCell ref="B97:D97"/>
    <mergeCell ref="C69:C73"/>
    <mergeCell ref="C102:C104"/>
    <mergeCell ref="C74:C78"/>
    <mergeCell ref="B130:C130"/>
    <mergeCell ref="B132:F132"/>
    <mergeCell ref="B134:H134"/>
    <mergeCell ref="I30:I32"/>
    <mergeCell ref="B156:I156"/>
    <mergeCell ref="C99:C101"/>
    <mergeCell ref="B121:C123"/>
    <mergeCell ref="F103:G103"/>
    <mergeCell ref="F110:G110"/>
    <mergeCell ref="B153:F153"/>
    <mergeCell ref="B154:F154"/>
    <mergeCell ref="F107:G107"/>
    <mergeCell ref="C105:C109"/>
    <mergeCell ref="F106:G106"/>
    <mergeCell ref="F111:G111"/>
    <mergeCell ref="F104:G104"/>
    <mergeCell ref="F99:G99"/>
    <mergeCell ref="F100:G100"/>
    <mergeCell ref="F108:G108"/>
  </mergeCells>
  <dataValidations count="11">
    <dataValidation type="list" allowBlank="1" showInputMessage="1" showErrorMessage="1" sqref="I99:I115 L99:L115 L93:L95 O52:O92" xr:uid="{38BFD66C-BF7D-A549-87D9-212DA0CDFC83}">
      <formula1>"Default,Site Specific"</formula1>
    </dataValidation>
    <dataValidation type="list" allowBlank="1" showInputMessage="1" showErrorMessage="1" sqref="B74:B78" xr:uid="{E3E4E317-7096-D347-AAA9-0AFB3204C6C8}">
      <formula1>INDEX(Ferroalloys,0,1)</formula1>
    </dataValidation>
    <dataValidation type="list" allowBlank="1" showInputMessage="1" showErrorMessage="1" sqref="C4" xr:uid="{5C8B1084-69BD-1E4C-9DC7-B56B138E0422}">
      <formula1>"Hot Rolled Product (HRP),Crude Steel"</formula1>
    </dataValidation>
    <dataValidation type="list" allowBlank="1" showInputMessage="1" showErrorMessage="1" sqref="F100:G115" xr:uid="{8CB4B1CC-2D1B-014D-ADEE-899B2B143AEB}">
      <formula1>INDEX(Byproduct_EF,0,2)</formula1>
    </dataValidation>
    <dataValidation type="list" allowBlank="1" showInputMessage="1" showErrorMessage="1" sqref="F99:G99" xr:uid="{9CC292CA-48CF-8B40-B660-FF10B386F9A5}">
      <formula1>_xlfn.DROP(INDEX(Byproduct_EF,0,2),1)</formula1>
    </dataValidation>
    <dataValidation type="list" allowBlank="1" showInputMessage="1" showErrorMessage="1" sqref="O12 G25" xr:uid="{0BE6E649-1F2D-EC4B-8EB7-77316E35DC55}">
      <formula1>"Country,Global,Region Specific"</formula1>
    </dataValidation>
    <dataValidation type="list" allowBlank="1" showInputMessage="1" showErrorMessage="1" sqref="O13 G26" xr:uid="{1F5E1574-FB1A-A044-8690-34BFB4828DF8}">
      <formula1>INDEX(Electricity_EF,0,1)</formula1>
    </dataValidation>
    <dataValidation type="list" allowBlank="1" showInputMessage="1" showErrorMessage="1" sqref="D14" xr:uid="{421320C2-07E1-1E46-B52F-CFE573EE1400}">
      <formula1>"Not Applicable,Carbon Capture &amp; Storage,Carbon Capture &amp; Use,Renewable Hydrogen,Renewable Electricity,Bioenergy"</formula1>
    </dataValidation>
    <dataValidation type="list" allowBlank="1" showInputMessage="1" showErrorMessage="1" sqref="P93:P95 S52:S88 S90:S92" xr:uid="{754CF740-CC49-4740-81CA-5044140EA642}">
      <formula1>"Default,Site Specific,Included"</formula1>
    </dataValidation>
    <dataValidation type="list" allowBlank="1" showInputMessage="1" showErrorMessage="1" sqref="E43:M44" xr:uid="{E9CB5D17-8C24-5749-BAE6-41F60A56B09F}">
      <formula1>"TRUE,FALSE"</formula1>
    </dataValidation>
    <dataValidation type="list" allowBlank="1" showInputMessage="1" showErrorMessage="1" sqref="I124:I129" xr:uid="{392FBFA0-A8A8-7049-A193-287C555FD78A}">
      <formula1>"Known source, Unknown source"</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90CE38-0309-4D5F-B848-7A2AC4B480AC}">
  <dimension ref="A1:W119"/>
  <sheetViews>
    <sheetView zoomScaleNormal="100" workbookViewId="0">
      <selection activeCell="H13" sqref="H13"/>
    </sheetView>
  </sheetViews>
  <sheetFormatPr defaultColWidth="11" defaultRowHeight="15.75" customHeight="1"/>
  <cols>
    <col min="1" max="1" width="30.625" customWidth="1"/>
    <col min="2" max="22" width="15.875" customWidth="1"/>
  </cols>
  <sheetData>
    <row r="1" spans="1:12" ht="15.95">
      <c r="A1" s="113" t="s">
        <v>427</v>
      </c>
    </row>
    <row r="2" spans="1:12" ht="15.75" customHeight="1">
      <c r="F2" s="73" t="s">
        <v>166</v>
      </c>
      <c r="G2" s="77"/>
      <c r="H2" s="74"/>
      <c r="J2" s="169" t="s">
        <v>198</v>
      </c>
      <c r="K2" s="74"/>
    </row>
    <row r="3" spans="1:12" ht="15.75" customHeight="1">
      <c r="A3" s="3" t="s">
        <v>168</v>
      </c>
      <c r="B3" s="199" t="s">
        <v>428</v>
      </c>
      <c r="C3" s="200"/>
      <c r="F3" s="5" t="s">
        <v>171</v>
      </c>
      <c r="G3" s="9" t="s">
        <v>172</v>
      </c>
      <c r="H3" s="10" t="s">
        <v>173</v>
      </c>
      <c r="J3" s="4" t="s">
        <v>200</v>
      </c>
      <c r="K3" s="226">
        <f>SUM(J23:J26)/K8</f>
        <v>0.16528925619834711</v>
      </c>
    </row>
    <row r="4" spans="1:12" ht="15.95" customHeight="1">
      <c r="A4" s="3" t="s">
        <v>178</v>
      </c>
      <c r="B4" s="458">
        <v>2040000</v>
      </c>
      <c r="C4" s="459"/>
      <c r="F4" s="4" t="s">
        <v>179</v>
      </c>
      <c r="G4" s="28">
        <f t="shared" ref="G4:G9" si="0">INDEX($J$22:$J$60,MATCH(F4,$A$22:$A$60,0))</f>
        <v>2500000</v>
      </c>
      <c r="H4" s="14">
        <v>0.6</v>
      </c>
      <c r="J4" s="155" t="s">
        <v>202</v>
      </c>
      <c r="K4" s="227">
        <f>J24/SUM(J23:J26)</f>
        <v>0.3125</v>
      </c>
    </row>
    <row r="5" spans="1:12" ht="15.95">
      <c r="A5" s="3" t="s">
        <v>181</v>
      </c>
      <c r="B5" s="458">
        <v>2000000</v>
      </c>
      <c r="C5" s="459"/>
      <c r="F5" s="5" t="s">
        <v>182</v>
      </c>
      <c r="G5" s="17">
        <f t="shared" si="0"/>
        <v>800000</v>
      </c>
      <c r="H5" s="15">
        <v>0.65</v>
      </c>
      <c r="J5" s="5" t="s">
        <v>204</v>
      </c>
      <c r="K5" s="227">
        <f>J26/SUM(J23:J26)</f>
        <v>0.375</v>
      </c>
    </row>
    <row r="6" spans="1:12" ht="15.95">
      <c r="B6" s="18"/>
      <c r="F6" s="5" t="s">
        <v>184</v>
      </c>
      <c r="G6" s="17">
        <f t="shared" si="0"/>
        <v>0</v>
      </c>
      <c r="H6" s="15">
        <v>0.8</v>
      </c>
      <c r="J6" s="71" t="s">
        <v>205</v>
      </c>
      <c r="K6" s="106">
        <f>SUMPRODUCT(H4:H9,G4:G9)</f>
        <v>2020000</v>
      </c>
    </row>
    <row r="7" spans="1:12" ht="15.95">
      <c r="A7" s="142" t="s">
        <v>186</v>
      </c>
      <c r="B7" s="143"/>
      <c r="C7" s="143"/>
      <c r="D7" s="144"/>
      <c r="F7" s="5" t="s">
        <v>187</v>
      </c>
      <c r="G7" s="17">
        <f t="shared" si="0"/>
        <v>0</v>
      </c>
      <c r="H7" s="15">
        <v>0.95</v>
      </c>
      <c r="J7" s="71" t="s">
        <v>206</v>
      </c>
      <c r="K7" s="106">
        <f>SUM(J23:J26)</f>
        <v>400000</v>
      </c>
    </row>
    <row r="8" spans="1:12" ht="15.95">
      <c r="A8" s="487" t="s">
        <v>189</v>
      </c>
      <c r="B8" s="488"/>
      <c r="C8" s="164">
        <f ca="1">C17</f>
        <v>2.3115140278894666</v>
      </c>
      <c r="D8" s="156" t="str">
        <f>"tCO2e/"&amp;IF(B3="Crude Steel","t crude","t HRP")</f>
        <v>tCO2e/t HRP</v>
      </c>
      <c r="F8" s="5" t="s">
        <v>190</v>
      </c>
      <c r="G8" s="17">
        <f t="shared" si="0"/>
        <v>0</v>
      </c>
      <c r="H8" s="15">
        <v>0.95</v>
      </c>
      <c r="J8" s="72" t="s">
        <v>207</v>
      </c>
      <c r="K8" s="107">
        <f>SUM(K6:K7)</f>
        <v>2420000</v>
      </c>
    </row>
    <row r="9" spans="1:12" ht="15.95">
      <c r="A9" s="470" t="s">
        <v>192</v>
      </c>
      <c r="B9" s="471"/>
      <c r="C9" s="165" t="e">
        <f ca="1">C18+C12</f>
        <v>#N/A</v>
      </c>
      <c r="D9" s="157" t="s">
        <v>193</v>
      </c>
      <c r="F9" s="6" t="s">
        <v>194</v>
      </c>
      <c r="G9" s="32">
        <f t="shared" si="0"/>
        <v>0</v>
      </c>
      <c r="H9" s="19">
        <v>0.95</v>
      </c>
    </row>
    <row r="10" spans="1:12" ht="15.95">
      <c r="A10" s="470" t="s">
        <v>196</v>
      </c>
      <c r="B10" s="471"/>
      <c r="C10" s="166" cm="1">
        <f t="array" aca="1" ref="C10" ca="1">SUM(N22:N61,(O22:O61="Site Specific")*$S$22:$S$61*$Q$22:$Q$61)/B18</f>
        <v>0.80931797198642375</v>
      </c>
      <c r="D10" s="157" t="s">
        <v>197</v>
      </c>
      <c r="J10" s="147" t="s">
        <v>429</v>
      </c>
      <c r="K10" s="148"/>
      <c r="L10" s="149"/>
    </row>
    <row r="11" spans="1:12" ht="15.95" customHeight="1">
      <c r="A11" s="470" t="s">
        <v>107</v>
      </c>
      <c r="B11" s="471"/>
      <c r="C11" s="167">
        <f>K3</f>
        <v>0.16528925619834711</v>
      </c>
      <c r="D11" s="157" t="s">
        <v>197</v>
      </c>
      <c r="F11" s="62" t="s">
        <v>430</v>
      </c>
      <c r="G11" s="53" t="s">
        <v>229</v>
      </c>
      <c r="H11" s="53" t="s">
        <v>230</v>
      </c>
      <c r="J11" s="52" t="s">
        <v>171</v>
      </c>
      <c r="K11" s="150" t="s">
        <v>221</v>
      </c>
      <c r="L11" s="151" t="s">
        <v>219</v>
      </c>
    </row>
    <row r="12" spans="1:12" ht="15.95">
      <c r="A12" s="470" t="s">
        <v>199</v>
      </c>
      <c r="B12" s="471"/>
      <c r="C12" s="165" t="e">
        <f ca="1">SUM(P65:P81)/B5</f>
        <v>#N/A</v>
      </c>
      <c r="D12" s="157" t="s">
        <v>193</v>
      </c>
      <c r="F12" s="64" t="s">
        <v>235</v>
      </c>
      <c r="G12" s="40">
        <v>1</v>
      </c>
      <c r="H12" s="114">
        <f>1-G12</f>
        <v>0</v>
      </c>
      <c r="J12" s="33" t="s">
        <v>221</v>
      </c>
      <c r="K12" s="41" t="s">
        <v>431</v>
      </c>
      <c r="L12" s="152" t="s">
        <v>219</v>
      </c>
    </row>
    <row r="13" spans="1:12" ht="15.95">
      <c r="A13" s="472" t="s">
        <v>110</v>
      </c>
      <c r="B13" s="473"/>
      <c r="C13" s="217" t="s">
        <v>201</v>
      </c>
      <c r="D13" s="218"/>
      <c r="F13" s="65" t="s">
        <v>237</v>
      </c>
      <c r="G13" s="115">
        <v>1</v>
      </c>
      <c r="H13" s="116">
        <f>1-G13</f>
        <v>0</v>
      </c>
      <c r="J13" s="33" t="s">
        <v>331</v>
      </c>
      <c r="K13" s="41"/>
      <c r="L13" s="152" t="s">
        <v>224</v>
      </c>
    </row>
    <row r="14" spans="1:12" ht="15.95">
      <c r="B14" s="75"/>
      <c r="C14" s="76"/>
      <c r="G14" s="75"/>
      <c r="H14" s="76"/>
      <c r="J14" s="34" t="s">
        <v>223</v>
      </c>
      <c r="K14" s="153">
        <f ca="1">IF(K11="Site Specific",K13,IF(K11="Country",INDEX(Electricity_EF,MATCH(K12,INDEX(Electricity_EF,0,1),0),2),INDEX(Electricity_EF,MATCH("World",INDEX(Electricity_EF,0,1),0),2)))</f>
        <v>0.40106637000000001</v>
      </c>
      <c r="L14" s="154" t="s">
        <v>224</v>
      </c>
    </row>
    <row r="15" spans="1:12" ht="17.100000000000001">
      <c r="A15" s="96" t="s">
        <v>432</v>
      </c>
      <c r="B15" s="18"/>
      <c r="G15" s="75"/>
      <c r="H15" s="76"/>
      <c r="I15" s="76"/>
    </row>
    <row r="16" spans="1:12" ht="33.950000000000003">
      <c r="A16" s="99" t="s">
        <v>247</v>
      </c>
      <c r="B16" s="97" t="s">
        <v>248</v>
      </c>
      <c r="C16" s="97" t="s">
        <v>249</v>
      </c>
      <c r="D16" s="97" t="str">
        <f t="shared" ref="D16:I16" si="1">D21</f>
        <v>Mining/Fuel Extraction</v>
      </c>
      <c r="E16" s="97" t="str">
        <f t="shared" si="1"/>
        <v>Raw Material Processing</v>
      </c>
      <c r="F16" s="97" t="str">
        <f t="shared" si="1"/>
        <v>Iron- and Steel-making</v>
      </c>
      <c r="G16" s="97" t="str">
        <f t="shared" si="1"/>
        <v>Hot Rolling</v>
      </c>
      <c r="H16" s="87" t="str">
        <f t="shared" si="1"/>
        <v>Downstream Processing</v>
      </c>
      <c r="I16" s="87" t="str">
        <f t="shared" si="1"/>
        <v>Not Used</v>
      </c>
    </row>
    <row r="17" spans="1:20" ht="15.95">
      <c r="A17" s="4" t="s">
        <v>259</v>
      </c>
      <c r="B17" s="100" cm="1">
        <f t="array" aca="1" ref="B17" ca="1">SUMPRODUCT(D17:H17*1,D93:H93)</f>
        <v>4715488.6168945115</v>
      </c>
      <c r="C17" s="100">
        <f ca="1">B17/B4</f>
        <v>2.3115140278894666</v>
      </c>
      <c r="D17" s="101" t="b">
        <v>1</v>
      </c>
      <c r="E17" s="102" t="b">
        <v>1</v>
      </c>
      <c r="F17" s="102" t="b">
        <v>1</v>
      </c>
      <c r="G17" s="102" t="b">
        <v>1</v>
      </c>
      <c r="H17" s="102" t="b">
        <v>0</v>
      </c>
      <c r="I17" s="102" t="b">
        <v>0</v>
      </c>
      <c r="J17" t="s">
        <v>433</v>
      </c>
    </row>
    <row r="18" spans="1:20" ht="15.95">
      <c r="A18" s="6" t="s">
        <v>260</v>
      </c>
      <c r="B18" s="103" cm="1">
        <f t="array" aca="1" ref="B18" ca="1">SUMPRODUCT(D18:H18*1,D93:H93)</f>
        <v>4715488.6168945115</v>
      </c>
      <c r="C18" s="103">
        <f ca="1">B18/B5</f>
        <v>2.3577443084472556</v>
      </c>
      <c r="D18" s="104" t="b">
        <v>1</v>
      </c>
      <c r="E18" s="104" t="b">
        <v>1</v>
      </c>
      <c r="F18" s="104" t="b">
        <v>1</v>
      </c>
      <c r="G18" s="104" t="b">
        <v>1</v>
      </c>
      <c r="H18" s="104" t="b">
        <v>1</v>
      </c>
      <c r="I18" s="104" t="b">
        <v>1</v>
      </c>
    </row>
    <row r="19" spans="1:20" ht="15.95"/>
    <row r="20" spans="1:20" ht="16.5" customHeight="1">
      <c r="A20" s="460" t="s">
        <v>264</v>
      </c>
      <c r="B20" s="461"/>
      <c r="C20" s="493"/>
      <c r="D20" s="460" t="s">
        <v>265</v>
      </c>
      <c r="E20" s="461"/>
      <c r="F20" s="461"/>
      <c r="G20" s="461"/>
      <c r="H20" s="461"/>
      <c r="I20" s="461"/>
      <c r="J20" s="461"/>
      <c r="K20" s="460" t="s">
        <v>266</v>
      </c>
      <c r="L20" s="461"/>
      <c r="M20" s="445"/>
      <c r="N20" s="461"/>
      <c r="O20" s="460" t="s">
        <v>267</v>
      </c>
      <c r="P20" s="461"/>
      <c r="Q20" s="461"/>
      <c r="R20" s="461"/>
      <c r="S20" s="461"/>
      <c r="T20" s="425" t="s">
        <v>268</v>
      </c>
    </row>
    <row r="21" spans="1:20" ht="33.950000000000003">
      <c r="A21" s="23" t="s">
        <v>269</v>
      </c>
      <c r="B21" s="24" t="s">
        <v>25</v>
      </c>
      <c r="C21" s="24" t="s">
        <v>234</v>
      </c>
      <c r="D21" s="98" t="s">
        <v>250</v>
      </c>
      <c r="E21" s="98" t="s">
        <v>434</v>
      </c>
      <c r="F21" s="98" t="s">
        <v>435</v>
      </c>
      <c r="G21" s="98" t="s">
        <v>255</v>
      </c>
      <c r="H21" s="98" t="s">
        <v>436</v>
      </c>
      <c r="I21" s="98" t="s">
        <v>437</v>
      </c>
      <c r="J21" s="24" t="s">
        <v>273</v>
      </c>
      <c r="K21" s="24" t="s">
        <v>274</v>
      </c>
      <c r="L21" s="25" t="s">
        <v>275</v>
      </c>
      <c r="M21" s="2" t="s">
        <v>276</v>
      </c>
      <c r="N21" s="24" t="s">
        <v>277</v>
      </c>
      <c r="O21" s="24" t="s">
        <v>278</v>
      </c>
      <c r="P21" s="24" t="s">
        <v>279</v>
      </c>
      <c r="Q21" s="24" t="s">
        <v>280</v>
      </c>
      <c r="R21" s="24" t="s">
        <v>281</v>
      </c>
      <c r="S21" s="25" t="s">
        <v>282</v>
      </c>
      <c r="T21" s="427"/>
    </row>
    <row r="22" spans="1:20" ht="15.95" customHeight="1">
      <c r="A22" s="4" t="s">
        <v>179</v>
      </c>
      <c r="B22" s="425" t="s">
        <v>438</v>
      </c>
      <c r="C22" s="9" t="s">
        <v>61</v>
      </c>
      <c r="D22" s="27"/>
      <c r="E22" s="27">
        <v>2500000</v>
      </c>
      <c r="F22" s="27"/>
      <c r="G22" s="27"/>
      <c r="H22" s="27"/>
      <c r="I22" s="27"/>
      <c r="J22" s="28">
        <f>SUM(D22:I22)</f>
        <v>2500000</v>
      </c>
      <c r="K22" s="11" t="s">
        <v>285</v>
      </c>
      <c r="L22" s="11"/>
      <c r="M22" s="9">
        <f ca="1">IFERROR(IF(K22="Default",INDEX(Direct_Lookup,MATCH(A22,INDEX(Direct_Lookup,0,1),0),2),L22),0)</f>
        <v>3.6999999999999998E-2</v>
      </c>
      <c r="N22" s="28">
        <f ca="1">J22*M22</f>
        <v>92500</v>
      </c>
      <c r="O22" s="111" t="s">
        <v>286</v>
      </c>
      <c r="P22" s="11"/>
      <c r="Q22" s="14">
        <v>1</v>
      </c>
      <c r="R22" s="9">
        <f ca="1">IF(O22="Default",INDEX(Indirect_Lookup,MATCH(A22,INDEX(Indirect_Lookup,0,1),0),2),IF(O22="Included",0,P22))</f>
        <v>0</v>
      </c>
      <c r="S22" s="28">
        <f ca="1">R22*J22</f>
        <v>0</v>
      </c>
      <c r="T22" s="30">
        <f ca="1">N22+S22</f>
        <v>92500</v>
      </c>
    </row>
    <row r="23" spans="1:20" ht="17.100000000000001">
      <c r="A23" s="155" t="s">
        <v>287</v>
      </c>
      <c r="B23" s="426"/>
      <c r="C23" s="7" t="s">
        <v>61</v>
      </c>
      <c r="D23" s="29"/>
      <c r="E23" s="29"/>
      <c r="F23" s="29">
        <v>50000</v>
      </c>
      <c r="G23" s="29"/>
      <c r="H23" s="29"/>
      <c r="I23" s="29"/>
      <c r="J23" s="35">
        <f t="shared" ref="J23:J25" si="2">SUM(D23:I23)</f>
        <v>50000</v>
      </c>
      <c r="K23" s="109" t="s">
        <v>285</v>
      </c>
      <c r="L23" s="12"/>
      <c r="M23" s="7">
        <f ca="1">IFERROR(IF(K23="Default",INDEX(Direct_Lookup,MATCH(A23,INDEX(Direct_Lookup,0,1),0),2),L23),0)</f>
        <v>0</v>
      </c>
      <c r="N23" s="17">
        <f ca="1">J23*M23</f>
        <v>0</v>
      </c>
      <c r="O23" s="112" t="s">
        <v>285</v>
      </c>
      <c r="P23" s="12"/>
      <c r="Q23" s="15">
        <v>1</v>
      </c>
      <c r="R23" s="7">
        <f ca="1">IF(O23="Default",INDEX(Indirect_Lookup,MATCH(A23,INDEX(Indirect_Lookup,0,1),0),2),IF(O23="Included",0,P23))</f>
        <v>0</v>
      </c>
      <c r="S23" s="17">
        <f t="shared" ref="S23:S24" ca="1" si="3">R23*J23</f>
        <v>0</v>
      </c>
      <c r="T23" s="31">
        <f t="shared" ref="T23:T24" ca="1" si="4">N23+S23</f>
        <v>0</v>
      </c>
    </row>
    <row r="24" spans="1:20" ht="15.95" customHeight="1">
      <c r="A24" s="5" t="s">
        <v>288</v>
      </c>
      <c r="B24" s="426"/>
      <c r="C24" s="7" t="s">
        <v>61</v>
      </c>
      <c r="D24" s="29"/>
      <c r="E24" s="29"/>
      <c r="F24" s="29">
        <v>125000</v>
      </c>
      <c r="G24" s="29"/>
      <c r="H24" s="29"/>
      <c r="I24" s="29"/>
      <c r="J24" s="35">
        <f t="shared" si="2"/>
        <v>125000</v>
      </c>
      <c r="K24" s="109" t="s">
        <v>285</v>
      </c>
      <c r="L24" s="12"/>
      <c r="M24" s="7">
        <f ca="1">IFERROR(IF(K24="Default",INDEX(Direct_Lookup,MATCH(A24,INDEX(Direct_Lookup,0,1),0),2),L24),0)</f>
        <v>0</v>
      </c>
      <c r="N24" s="31">
        <f t="shared" ref="N24" ca="1" si="5">J24*M24</f>
        <v>0</v>
      </c>
      <c r="O24" s="194" t="s">
        <v>285</v>
      </c>
      <c r="P24" s="12"/>
      <c r="Q24" s="196">
        <v>1</v>
      </c>
      <c r="R24" s="7">
        <f ca="1">IF(O24="Default",INDEX(Indirect_Lookup,MATCH(A24,INDEX(Indirect_Lookup,0,1),0),2),IF(O24="Included",0,P24))</f>
        <v>0</v>
      </c>
      <c r="S24" s="17">
        <f t="shared" ca="1" si="3"/>
        <v>0</v>
      </c>
      <c r="T24" s="31">
        <f t="shared" ca="1" si="4"/>
        <v>0</v>
      </c>
    </row>
    <row r="25" spans="1:20" ht="17.100000000000001">
      <c r="A25" s="155" t="s">
        <v>289</v>
      </c>
      <c r="B25" s="426"/>
      <c r="C25" s="7" t="s">
        <v>61</v>
      </c>
      <c r="D25" s="29"/>
      <c r="E25" s="29"/>
      <c r="F25" s="29">
        <v>75000</v>
      </c>
      <c r="G25" s="29"/>
      <c r="H25" s="29"/>
      <c r="I25" s="29"/>
      <c r="J25" s="35">
        <f t="shared" si="2"/>
        <v>75000</v>
      </c>
      <c r="K25" s="109" t="s">
        <v>331</v>
      </c>
      <c r="L25" s="12"/>
      <c r="M25" s="7">
        <f ca="1">IFERROR(IF(K25="Default",INDEX(Direct_Lookup,MATCH(A25,INDEX(Direct_Lookup,0,1),0),2),L25),0)</f>
        <v>0</v>
      </c>
      <c r="N25" s="17">
        <f ca="1">J25*M25</f>
        <v>0</v>
      </c>
      <c r="O25" s="112" t="s">
        <v>285</v>
      </c>
      <c r="P25" s="12"/>
      <c r="Q25" s="15">
        <v>1</v>
      </c>
      <c r="R25" s="7">
        <f ca="1">IF(O25="Default",INDEX(Indirect_Lookup,MATCH(A25,INDEX(Indirect_Lookup,0,1),0),2),IF(O25="Included",0,P25))</f>
        <v>0</v>
      </c>
      <c r="S25" s="17">
        <f ca="1">R25*J25</f>
        <v>0</v>
      </c>
      <c r="T25" s="31">
        <f ca="1">N25+S25</f>
        <v>0</v>
      </c>
    </row>
    <row r="26" spans="1:20" ht="15.95" customHeight="1">
      <c r="A26" s="6" t="s">
        <v>290</v>
      </c>
      <c r="B26" s="427"/>
      <c r="C26" s="7" t="s">
        <v>61</v>
      </c>
      <c r="D26" s="29"/>
      <c r="E26" s="29"/>
      <c r="F26" s="29">
        <v>150000</v>
      </c>
      <c r="G26" s="29"/>
      <c r="H26" s="29"/>
      <c r="I26" s="29"/>
      <c r="J26" s="17">
        <f t="shared" ref="J26:J59" si="6">SUM(D26:I26)</f>
        <v>150000</v>
      </c>
      <c r="K26" s="12" t="s">
        <v>285</v>
      </c>
      <c r="L26" s="13"/>
      <c r="M26" s="7">
        <f ca="1">IFERROR(IF(K26="Default",INDEX(Direct_Lookup,MATCH(A26,INDEX(Direct_Lookup,0,1),0),2),L26),0)</f>
        <v>0</v>
      </c>
      <c r="N26" s="17">
        <f t="shared" ref="N26:N59" ca="1" si="7">J26*M26</f>
        <v>0</v>
      </c>
      <c r="O26" s="112" t="s">
        <v>285</v>
      </c>
      <c r="P26" s="12"/>
      <c r="Q26" s="15">
        <v>1</v>
      </c>
      <c r="R26" s="7">
        <f ca="1">IF(O26="Default",INDEX(Indirect_Lookup,MATCH(A26,INDEX(Indirect_Lookup,0,1),0),2),IF(O26="Included",0,P26))</f>
        <v>0</v>
      </c>
      <c r="S26" s="17">
        <f t="shared" ref="S26:S59" ca="1" si="8">R26*J26</f>
        <v>0</v>
      </c>
      <c r="T26" s="31">
        <f t="shared" ref="T26:T60" ca="1" si="9">N26+S26</f>
        <v>0</v>
      </c>
    </row>
    <row r="27" spans="1:20" ht="15.95" customHeight="1">
      <c r="A27" s="5" t="s">
        <v>291</v>
      </c>
      <c r="B27" s="425" t="s">
        <v>292</v>
      </c>
      <c r="C27" s="7" t="s">
        <v>61</v>
      </c>
      <c r="D27" s="29"/>
      <c r="E27" s="29">
        <v>762000</v>
      </c>
      <c r="F27" s="29"/>
      <c r="G27" s="29"/>
      <c r="H27" s="29"/>
      <c r="I27" s="29"/>
      <c r="J27" s="17">
        <f t="shared" si="6"/>
        <v>762000</v>
      </c>
      <c r="K27" s="12" t="s">
        <v>285</v>
      </c>
      <c r="L27" s="13"/>
      <c r="M27" s="7">
        <f ca="1">IFERROR(IF(K27="Default",INDEX(Direct_Lookup,MATCH(A27,INDEX(Direct_Lookup,0,1),0),2),L27),0)</f>
        <v>3.06</v>
      </c>
      <c r="N27" s="17">
        <f t="shared" ca="1" si="7"/>
        <v>2331720</v>
      </c>
      <c r="O27" s="112" t="s">
        <v>285</v>
      </c>
      <c r="P27" s="16"/>
      <c r="Q27" s="15">
        <v>1</v>
      </c>
      <c r="R27" s="8">
        <f ca="1">IF(O27="Default",INDEX(Indirect_Lookup,MATCH(A27,INDEX(Indirect_Lookup,0,1),0),2),IF(O27="Included",0,P27))</f>
        <v>0.39999999999999997</v>
      </c>
      <c r="S27" s="17">
        <f t="shared" ca="1" si="8"/>
        <v>304800</v>
      </c>
      <c r="T27" s="31">
        <f t="shared" ca="1" si="9"/>
        <v>2636520</v>
      </c>
    </row>
    <row r="28" spans="1:20" ht="15.95" customHeight="1">
      <c r="A28" s="5" t="s">
        <v>293</v>
      </c>
      <c r="B28" s="426"/>
      <c r="C28" s="7" t="s">
        <v>61</v>
      </c>
      <c r="D28" s="29"/>
      <c r="E28" s="29"/>
      <c r="F28" s="29">
        <v>464000</v>
      </c>
      <c r="G28" s="29"/>
      <c r="H28" s="29"/>
      <c r="I28" s="29"/>
      <c r="J28" s="17">
        <f t="shared" si="6"/>
        <v>464000</v>
      </c>
      <c r="K28" s="12" t="s">
        <v>285</v>
      </c>
      <c r="L28" s="13"/>
      <c r="M28" s="7">
        <f ca="1">IFERROR(IF(K28="Default",INDEX(Direct_Lookup,MATCH(A28,INDEX(Direct_Lookup,0,1),0),2),L28),0)</f>
        <v>2.9529999999999998</v>
      </c>
      <c r="N28" s="17">
        <f ca="1">J28*M28</f>
        <v>1370192</v>
      </c>
      <c r="O28" s="112" t="s">
        <v>285</v>
      </c>
      <c r="P28" s="16"/>
      <c r="Q28" s="15">
        <v>1</v>
      </c>
      <c r="R28" s="8">
        <f ca="1">IF(O28="Default",INDEX(Indirect_Lookup,MATCH(A28,INDEX(Indirect_Lookup,0,1),0),2),IF(O28="Included",0,P28))</f>
        <v>0.39999999999999997</v>
      </c>
      <c r="S28" s="17">
        <f t="shared" ca="1" si="8"/>
        <v>185599.99999999997</v>
      </c>
      <c r="T28" s="31">
        <f t="shared" ca="1" si="9"/>
        <v>1555792</v>
      </c>
    </row>
    <row r="29" spans="1:20" ht="15.95" customHeight="1">
      <c r="A29" s="5" t="s">
        <v>294</v>
      </c>
      <c r="B29" s="426"/>
      <c r="C29" s="7" t="s">
        <v>61</v>
      </c>
      <c r="D29" s="29"/>
      <c r="E29" s="29"/>
      <c r="F29" s="29"/>
      <c r="G29" s="29"/>
      <c r="H29" s="29"/>
      <c r="I29" s="29"/>
      <c r="J29" s="17">
        <f t="shared" si="6"/>
        <v>0</v>
      </c>
      <c r="K29" s="12" t="s">
        <v>285</v>
      </c>
      <c r="L29" s="13"/>
      <c r="M29" s="7">
        <f ca="1">IFERROR(IF(K29="Default",INDEX(Direct_Lookup,MATCH(A29,INDEX(Direct_Lookup,0,1),0),2),L29),0)</f>
        <v>2.7850000000000001</v>
      </c>
      <c r="N29" s="17">
        <f ca="1">J29*M29</f>
        <v>0</v>
      </c>
      <c r="O29" s="112" t="s">
        <v>285</v>
      </c>
      <c r="P29" s="16"/>
      <c r="Q29" s="15">
        <v>1</v>
      </c>
      <c r="R29" s="8">
        <f ca="1">IF(O29="Default",INDEX(Indirect_Lookup,MATCH(A29,INDEX(Indirect_Lookup,0,1),0),2),IF(O29="Included",0,P29))</f>
        <v>0.39999999999999997</v>
      </c>
      <c r="S29" s="17">
        <f t="shared" ca="1" si="8"/>
        <v>0</v>
      </c>
      <c r="T29" s="31">
        <f t="shared" ca="1" si="9"/>
        <v>0</v>
      </c>
    </row>
    <row r="30" spans="1:20" ht="15.95" customHeight="1">
      <c r="A30" s="5" t="s">
        <v>295</v>
      </c>
      <c r="B30" s="426"/>
      <c r="C30" s="7" t="s">
        <v>61</v>
      </c>
      <c r="D30" s="29"/>
      <c r="E30" s="29"/>
      <c r="F30" s="29"/>
      <c r="G30" s="29"/>
      <c r="H30" s="29"/>
      <c r="I30" s="29"/>
      <c r="J30" s="17">
        <f t="shared" si="6"/>
        <v>0</v>
      </c>
      <c r="K30" s="12" t="s">
        <v>285</v>
      </c>
      <c r="L30" s="13"/>
      <c r="M30" s="7">
        <f ca="1">IFERROR(IF(K30="Default",INDEX(Direct_Lookup,MATCH(A30,INDEX(Direct_Lookup,0,1),0),2),L30),0)</f>
        <v>2.4620000000000002</v>
      </c>
      <c r="N30" s="17">
        <f t="shared" ref="N30" ca="1" si="10">J30*M30</f>
        <v>0</v>
      </c>
      <c r="O30" s="112" t="s">
        <v>285</v>
      </c>
      <c r="P30" s="16"/>
      <c r="Q30" s="15">
        <v>1</v>
      </c>
      <c r="R30" s="8">
        <f ca="1">IF(O30="Default",INDEX(Indirect_Lookup,MATCH(A30,INDEX(Indirect_Lookup,0,1),0),2),IF(O30="Included",0,P30))</f>
        <v>0.39999999999999997</v>
      </c>
      <c r="S30" s="17">
        <f t="shared" ca="1" si="8"/>
        <v>0</v>
      </c>
      <c r="T30" s="31">
        <f t="shared" ca="1" si="9"/>
        <v>0</v>
      </c>
    </row>
    <row r="31" spans="1:20" ht="15.95" customHeight="1">
      <c r="A31" s="5" t="s">
        <v>296</v>
      </c>
      <c r="B31" s="426"/>
      <c r="C31" s="7" t="s">
        <v>61</v>
      </c>
      <c r="D31" s="29"/>
      <c r="E31" s="29"/>
      <c r="F31" s="29"/>
      <c r="G31" s="29"/>
      <c r="H31" s="29"/>
      <c r="I31" s="29"/>
      <c r="J31" s="17">
        <f t="shared" si="6"/>
        <v>0</v>
      </c>
      <c r="K31" s="12" t="s">
        <v>285</v>
      </c>
      <c r="L31" s="13"/>
      <c r="M31" s="7">
        <f ca="1">IFERROR(IF(K31="Default",INDEX(Direct_Lookup,MATCH(A31,INDEX(Direct_Lookup,0,1),0),2),L31),0)</f>
        <v>0</v>
      </c>
      <c r="N31" s="17">
        <f t="shared" ca="1" si="7"/>
        <v>0</v>
      </c>
      <c r="O31" s="112" t="s">
        <v>285</v>
      </c>
      <c r="P31" s="16"/>
      <c r="Q31" s="15">
        <v>1</v>
      </c>
      <c r="R31" s="8">
        <f ca="1">IF(O31="Default",INDEX(Indirect_Lookup,MATCH(A31,INDEX(Indirect_Lookup,0,1),0),2),IF(O31="Included",0,P31))</f>
        <v>0.39999999999999997</v>
      </c>
      <c r="S31" s="17">
        <f t="shared" ca="1" si="8"/>
        <v>0</v>
      </c>
      <c r="T31" s="31">
        <f t="shared" ca="1" si="9"/>
        <v>0</v>
      </c>
    </row>
    <row r="32" spans="1:20" ht="15.95" customHeight="1">
      <c r="A32" s="5" t="s">
        <v>298</v>
      </c>
      <c r="B32" s="426"/>
      <c r="C32" s="7" t="s">
        <v>61</v>
      </c>
      <c r="D32" s="29"/>
      <c r="E32" s="29"/>
      <c r="F32" s="29"/>
      <c r="G32" s="29"/>
      <c r="H32" s="29"/>
      <c r="I32" s="29"/>
      <c r="J32" s="17">
        <f t="shared" si="6"/>
        <v>0</v>
      </c>
      <c r="K32" s="12" t="s">
        <v>285</v>
      </c>
      <c r="L32" s="13"/>
      <c r="M32" s="7">
        <f ca="1">IFERROR(IF(K32="Default",INDEX(Direct_Lookup,MATCH(A32,INDEX(Direct_Lookup,0,1),0),2),L32),0)</f>
        <v>3.2570000000000001</v>
      </c>
      <c r="N32" s="17">
        <f t="shared" ca="1" si="7"/>
        <v>0</v>
      </c>
      <c r="O32" s="112" t="s">
        <v>285</v>
      </c>
      <c r="P32" s="16"/>
      <c r="Q32" s="15">
        <v>1</v>
      </c>
      <c r="R32" s="8">
        <f ca="1">IF(O32="Default",INDEX(Indirect_Lookup,MATCH(A32,INDEX(Indirect_Lookup,0,1),0),2),IF(O32="Included",0,P32))</f>
        <v>0.39999999999999997</v>
      </c>
      <c r="S32" s="17">
        <f t="shared" ca="1" si="8"/>
        <v>0</v>
      </c>
      <c r="T32" s="31">
        <f t="shared" ca="1" si="9"/>
        <v>0</v>
      </c>
    </row>
    <row r="33" spans="1:20" ht="15.95" customHeight="1">
      <c r="A33" s="6" t="s">
        <v>299</v>
      </c>
      <c r="B33" s="427"/>
      <c r="C33" s="7" t="s">
        <v>61</v>
      </c>
      <c r="D33" s="29"/>
      <c r="E33" s="29"/>
      <c r="F33" s="29">
        <v>5000</v>
      </c>
      <c r="G33" s="29"/>
      <c r="H33" s="29"/>
      <c r="I33" s="29"/>
      <c r="J33" s="17">
        <f t="shared" si="6"/>
        <v>5000</v>
      </c>
      <c r="K33" s="12" t="s">
        <v>285</v>
      </c>
      <c r="L33" s="13"/>
      <c r="M33" s="7">
        <f ca="1">IFERROR(IF(K33="Default",INDEX(Direct_Lookup,MATCH(A33,INDEX(Direct_Lookup,0,1),0),2),L33),0)</f>
        <v>3.2570000000000001</v>
      </c>
      <c r="N33" s="17">
        <f t="shared" ca="1" si="7"/>
        <v>16285</v>
      </c>
      <c r="O33" s="112" t="s">
        <v>285</v>
      </c>
      <c r="P33" s="109"/>
      <c r="Q33" s="15">
        <v>1</v>
      </c>
      <c r="R33" s="8">
        <f ca="1">IF(O33="Default",INDEX(Indirect_Lookup,MATCH(A33,INDEX(Indirect_Lookup,0,1),0),2),IF(O33="Included",0,P33))</f>
        <v>0.224</v>
      </c>
      <c r="S33" s="17">
        <f t="shared" ca="1" si="8"/>
        <v>1120</v>
      </c>
      <c r="T33" s="31">
        <f t="shared" ca="1" si="9"/>
        <v>17405</v>
      </c>
    </row>
    <row r="34" spans="1:20" ht="15.95" customHeight="1">
      <c r="A34" s="5" t="s">
        <v>300</v>
      </c>
      <c r="B34" s="449" t="s">
        <v>301</v>
      </c>
      <c r="C34" s="7" t="s">
        <v>302</v>
      </c>
      <c r="D34" s="29"/>
      <c r="E34" s="29"/>
      <c r="F34" s="29"/>
      <c r="G34" s="29"/>
      <c r="H34" s="29"/>
      <c r="I34" s="29"/>
      <c r="J34" s="17">
        <f t="shared" si="6"/>
        <v>0</v>
      </c>
      <c r="K34" s="12" t="s">
        <v>285</v>
      </c>
      <c r="L34" s="13"/>
      <c r="M34" s="7">
        <f ca="1">IFERROR(IF(K34="Default",INDEX(Direct_Lookup,MATCH(A34,INDEX(Direct_Lookup,0,1),0),2),L34),0)</f>
        <v>2.601</v>
      </c>
      <c r="N34" s="17">
        <f t="shared" ca="1" si="7"/>
        <v>0</v>
      </c>
      <c r="O34" s="112" t="s">
        <v>286</v>
      </c>
      <c r="P34" s="16"/>
      <c r="Q34" s="15">
        <v>1</v>
      </c>
      <c r="R34" s="8">
        <f ca="1">IF(O34="Default",INDEX(Indirect_Lookup,MATCH(A34,INDEX(Indirect_Lookup,0,1),0),2),IF(O34="Included",0,P34))</f>
        <v>0</v>
      </c>
      <c r="S34" s="17">
        <f t="shared" ca="1" si="8"/>
        <v>0</v>
      </c>
      <c r="T34" s="31">
        <f t="shared" ca="1" si="9"/>
        <v>0</v>
      </c>
    </row>
    <row r="35" spans="1:20" ht="15.95" customHeight="1">
      <c r="A35" s="5" t="s">
        <v>303</v>
      </c>
      <c r="B35" s="450"/>
      <c r="C35" s="7" t="s">
        <v>302</v>
      </c>
      <c r="D35" s="29"/>
      <c r="E35" s="29"/>
      <c r="F35" s="29"/>
      <c r="G35" s="29"/>
      <c r="H35" s="29"/>
      <c r="I35" s="29"/>
      <c r="J35" s="17">
        <f t="shared" si="6"/>
        <v>0</v>
      </c>
      <c r="K35" s="12" t="s">
        <v>285</v>
      </c>
      <c r="L35" s="13"/>
      <c r="M35" s="7">
        <f ca="1">IFERROR(IF(K35="Default",INDEX(Direct_Lookup,MATCH(A35,INDEX(Direct_Lookup,0,1),0),2),L35),0)</f>
        <v>2.907</v>
      </c>
      <c r="N35" s="17">
        <f t="shared" ca="1" si="7"/>
        <v>0</v>
      </c>
      <c r="O35" s="112" t="s">
        <v>286</v>
      </c>
      <c r="P35" s="16"/>
      <c r="Q35" s="15">
        <v>1</v>
      </c>
      <c r="R35" s="8">
        <f ca="1">IF(O35="Default",INDEX(Indirect_Lookup,MATCH(A35,INDEX(Indirect_Lookup,0,1),0),2),IF(O35="Included",0,P35))</f>
        <v>0</v>
      </c>
      <c r="S35" s="17">
        <f t="shared" ca="1" si="8"/>
        <v>0</v>
      </c>
      <c r="T35" s="31">
        <f t="shared" ca="1" si="9"/>
        <v>0</v>
      </c>
    </row>
    <row r="36" spans="1:20" ht="15.95" customHeight="1">
      <c r="A36" s="5" t="s">
        <v>304</v>
      </c>
      <c r="B36" s="450"/>
      <c r="C36" s="7" t="s">
        <v>61</v>
      </c>
      <c r="D36" s="29"/>
      <c r="E36" s="29"/>
      <c r="F36" s="29"/>
      <c r="G36" s="29"/>
      <c r="H36" s="29"/>
      <c r="I36" s="29"/>
      <c r="J36" s="17">
        <f t="shared" si="6"/>
        <v>0</v>
      </c>
      <c r="K36" s="12" t="s">
        <v>285</v>
      </c>
      <c r="L36" s="13"/>
      <c r="M36" s="7">
        <f ca="1">IFERROR(IF(K36="Default",INDEX(Direct_Lookup,MATCH(A36,INDEX(Direct_Lookup,0,1),0),2),L36),0)</f>
        <v>3.1509999999999998</v>
      </c>
      <c r="N36" s="17">
        <f t="shared" ca="1" si="7"/>
        <v>0</v>
      </c>
      <c r="O36" s="112" t="s">
        <v>286</v>
      </c>
      <c r="P36" s="16"/>
      <c r="Q36" s="15">
        <v>1</v>
      </c>
      <c r="R36" s="8">
        <f ca="1">IF(O36="Default",INDEX(Indirect_Lookup,MATCH(A36,INDEX(Indirect_Lookup,0,1),0),2),IF(O36="Included",0,P36))</f>
        <v>0</v>
      </c>
      <c r="S36" s="17">
        <f t="shared" ca="1" si="8"/>
        <v>0</v>
      </c>
      <c r="T36" s="31">
        <f t="shared" ca="1" si="9"/>
        <v>0</v>
      </c>
    </row>
    <row r="37" spans="1:20" ht="15.95" customHeight="1">
      <c r="A37" s="5" t="s">
        <v>305</v>
      </c>
      <c r="B37" s="450"/>
      <c r="C37" s="7" t="s">
        <v>61</v>
      </c>
      <c r="D37" s="29"/>
      <c r="E37" s="29"/>
      <c r="F37" s="29"/>
      <c r="G37" s="29"/>
      <c r="H37" s="29"/>
      <c r="I37" s="29"/>
      <c r="J37" s="17">
        <f t="shared" si="6"/>
        <v>0</v>
      </c>
      <c r="K37" s="12" t="s">
        <v>285</v>
      </c>
      <c r="L37" s="13"/>
      <c r="M37" s="7">
        <f ca="1">IFERROR(IF(K37="Default",INDEX(Direct_Lookup,MATCH(A37,INDEX(Direct_Lookup,0,1),0),2),L37),0)</f>
        <v>2.9849999999999999</v>
      </c>
      <c r="N37" s="17">
        <f t="shared" ca="1" si="7"/>
        <v>0</v>
      </c>
      <c r="O37" s="112" t="s">
        <v>286</v>
      </c>
      <c r="P37" s="16"/>
      <c r="Q37" s="15">
        <v>1</v>
      </c>
      <c r="R37" s="8">
        <f ca="1">IF(O37="Default",INDEX(Indirect_Lookup,MATCH(A37,INDEX(Indirect_Lookup,0,1),0),2),IF(O37="Included",0,P37))</f>
        <v>0</v>
      </c>
      <c r="S37" s="17">
        <f t="shared" ca="1" si="8"/>
        <v>0</v>
      </c>
      <c r="T37" s="31">
        <f t="shared" ca="1" si="9"/>
        <v>0</v>
      </c>
    </row>
    <row r="38" spans="1:20" ht="15.95" customHeight="1">
      <c r="A38" s="6" t="s">
        <v>306</v>
      </c>
      <c r="B38" s="450"/>
      <c r="C38" s="7" t="s">
        <v>302</v>
      </c>
      <c r="D38" s="29"/>
      <c r="E38" s="29"/>
      <c r="F38" s="29"/>
      <c r="G38" s="29">
        <v>60000</v>
      </c>
      <c r="H38" s="29"/>
      <c r="I38" s="29"/>
      <c r="J38" s="17">
        <f t="shared" si="6"/>
        <v>60000</v>
      </c>
      <c r="K38" s="12" t="s">
        <v>285</v>
      </c>
      <c r="L38" s="13"/>
      <c r="M38" s="178">
        <f ca="1">IFERROR(IF(K38="Default",INDEX(Direct_Lookup,MATCH(A38,INDEX(Direct_Lookup,0,1),0),2),L38),0)</f>
        <v>2.2114058355437666E-3</v>
      </c>
      <c r="N38" s="17">
        <f t="shared" ca="1" si="7"/>
        <v>132.68435013262601</v>
      </c>
      <c r="O38" s="112" t="s">
        <v>285</v>
      </c>
      <c r="P38" s="16"/>
      <c r="Q38" s="15">
        <v>1</v>
      </c>
      <c r="R38" s="224">
        <f ca="1">IF(O38="Default",INDEX(Indirect_Lookup,MATCH(A38,INDEX(Indirect_Lookup,0,1),0),2),IF(O38="Included",0,P38))</f>
        <v>6.4887573964497042E-4</v>
      </c>
      <c r="S38" s="17">
        <f t="shared" ca="1" si="8"/>
        <v>38.932544378698225</v>
      </c>
      <c r="T38" s="31">
        <f t="shared" ca="1" si="9"/>
        <v>171.61689451132423</v>
      </c>
    </row>
    <row r="39" spans="1:20" ht="15.95" customHeight="1">
      <c r="A39" s="5" t="s">
        <v>182</v>
      </c>
      <c r="B39" s="449" t="s">
        <v>307</v>
      </c>
      <c r="C39" s="7" t="s">
        <v>61</v>
      </c>
      <c r="D39" s="29"/>
      <c r="E39" s="29"/>
      <c r="F39" s="29">
        <v>800000</v>
      </c>
      <c r="G39" s="29"/>
      <c r="H39" s="29"/>
      <c r="I39" s="29"/>
      <c r="J39" s="17">
        <f t="shared" si="6"/>
        <v>800000</v>
      </c>
      <c r="K39" s="12" t="s">
        <v>285</v>
      </c>
      <c r="L39" s="13"/>
      <c r="M39" s="7">
        <f ca="1">IFERROR(IF(K39="Default",INDEX(Direct_Lookup,MATCH(A39,INDEX(Direct_Lookup,0,1),0),2),L39),0)</f>
        <v>0</v>
      </c>
      <c r="N39" s="17">
        <f t="shared" ca="1" si="7"/>
        <v>0</v>
      </c>
      <c r="O39" s="112" t="s">
        <v>285</v>
      </c>
      <c r="P39" s="16"/>
      <c r="Q39" s="15">
        <v>1</v>
      </c>
      <c r="R39" s="8">
        <f ca="1">IF(O39="Default",INDEX(Indirect_Lookup,MATCH(A39,INDEX(Indirect_Lookup,0,1),0),2),IF(O39="Included",0,P39))</f>
        <v>0.13700000000000001</v>
      </c>
      <c r="S39" s="17">
        <f t="shared" ca="1" si="8"/>
        <v>109600.00000000001</v>
      </c>
      <c r="T39" s="31">
        <f t="shared" ca="1" si="9"/>
        <v>109600.00000000001</v>
      </c>
    </row>
    <row r="40" spans="1:20" ht="15.95" customHeight="1">
      <c r="A40" s="5" t="s">
        <v>184</v>
      </c>
      <c r="B40" s="450"/>
      <c r="C40" s="7" t="s">
        <v>61</v>
      </c>
      <c r="D40" s="29"/>
      <c r="E40" s="29"/>
      <c r="F40" s="29"/>
      <c r="G40" s="29"/>
      <c r="H40" s="29"/>
      <c r="I40" s="29"/>
      <c r="J40" s="17">
        <f t="shared" si="6"/>
        <v>0</v>
      </c>
      <c r="K40" s="12" t="s">
        <v>285</v>
      </c>
      <c r="L40" s="13"/>
      <c r="M40" s="7">
        <f ca="1">IFERROR(IF(K40="Default",INDEX(Direct_Lookup,MATCH(A40,INDEX(Direct_Lookup,0,1),0),2),L40),0)</f>
        <v>0</v>
      </c>
      <c r="N40" s="17">
        <f t="shared" ca="1" si="7"/>
        <v>0</v>
      </c>
      <c r="O40" s="112" t="s">
        <v>285</v>
      </c>
      <c r="P40" s="16"/>
      <c r="Q40" s="15">
        <v>1</v>
      </c>
      <c r="R40" s="8">
        <f ca="1">IF(O40="Default",INDEX(Indirect_Lookup,MATCH(A40,INDEX(Indirect_Lookup,0,1),0),2),IF(O40="Included",0,P40))</f>
        <v>0.26200000000000001</v>
      </c>
      <c r="S40" s="17">
        <f t="shared" ca="1" si="8"/>
        <v>0</v>
      </c>
      <c r="T40" s="31">
        <f t="shared" ca="1" si="9"/>
        <v>0</v>
      </c>
    </row>
    <row r="41" spans="1:20" ht="15.95" customHeight="1">
      <c r="A41" s="5" t="s">
        <v>187</v>
      </c>
      <c r="B41" s="450"/>
      <c r="C41" s="7" t="s">
        <v>61</v>
      </c>
      <c r="D41" s="29"/>
      <c r="E41" s="29"/>
      <c r="F41" s="29"/>
      <c r="G41" s="29"/>
      <c r="H41" s="29"/>
      <c r="I41" s="29"/>
      <c r="J41" s="17">
        <f t="shared" si="6"/>
        <v>0</v>
      </c>
      <c r="K41" s="12" t="s">
        <v>285</v>
      </c>
      <c r="L41" s="13"/>
      <c r="M41" s="7">
        <f ca="1">IFERROR(IF(K41="Default",INDEX(Direct_Lookup,MATCH(A41,INDEX(Direct_Lookup,0,1),0),2),L41),0)</f>
        <v>0.17199999999999999</v>
      </c>
      <c r="N41" s="17">
        <f t="shared" ca="1" si="7"/>
        <v>0</v>
      </c>
      <c r="O41" s="112" t="s">
        <v>285</v>
      </c>
      <c r="P41" s="16"/>
      <c r="Q41" s="15">
        <v>1</v>
      </c>
      <c r="R41" s="8">
        <f ca="1">IF(O41="Default",INDEX(Indirect_Lookup,MATCH(A41,INDEX(Indirect_Lookup,0,1),0),2),IF(O41="Included",0,P41))</f>
        <v>1.855</v>
      </c>
      <c r="S41" s="17">
        <f t="shared" ca="1" si="8"/>
        <v>0</v>
      </c>
      <c r="T41" s="31">
        <f t="shared" ca="1" si="9"/>
        <v>0</v>
      </c>
    </row>
    <row r="42" spans="1:20" ht="15.95" customHeight="1">
      <c r="A42" s="5" t="s">
        <v>190</v>
      </c>
      <c r="B42" s="450"/>
      <c r="C42" s="7" t="s">
        <v>61</v>
      </c>
      <c r="D42" s="29"/>
      <c r="E42" s="29"/>
      <c r="F42" s="29"/>
      <c r="G42" s="29"/>
      <c r="H42" s="29"/>
      <c r="I42" s="29"/>
      <c r="J42" s="17">
        <f t="shared" si="6"/>
        <v>0</v>
      </c>
      <c r="K42" s="12" t="s">
        <v>285</v>
      </c>
      <c r="L42" s="13"/>
      <c r="M42" s="7">
        <f ca="1">IFERROR(IF(K42="Default",INDEX(Direct_Lookup,MATCH(A42,INDEX(Direct_Lookup,0,1),0),2),L42),0)</f>
        <v>7.2999999999999995E-2</v>
      </c>
      <c r="N42" s="17">
        <f t="shared" ca="1" si="7"/>
        <v>0</v>
      </c>
      <c r="O42" s="112" t="s">
        <v>285</v>
      </c>
      <c r="P42" s="16"/>
      <c r="Q42" s="15">
        <v>1</v>
      </c>
      <c r="R42" s="51">
        <f ca="1">IF(O42="Default",INDEX(Indirect_Lookup,MATCH(A42,INDEX(Indirect_Lookup,0,1),0),2),IF(O42="Included",0,P42))</f>
        <v>1.21</v>
      </c>
      <c r="S42" s="17">
        <f t="shared" ca="1" si="8"/>
        <v>0</v>
      </c>
      <c r="T42" s="31">
        <f t="shared" ca="1" si="9"/>
        <v>0</v>
      </c>
    </row>
    <row r="43" spans="1:20" ht="15.95" customHeight="1">
      <c r="A43" s="6" t="s">
        <v>194</v>
      </c>
      <c r="B43" s="450"/>
      <c r="C43" s="7" t="s">
        <v>61</v>
      </c>
      <c r="D43" s="29"/>
      <c r="E43" s="29"/>
      <c r="F43" s="29"/>
      <c r="G43" s="29"/>
      <c r="H43" s="29"/>
      <c r="I43" s="29"/>
      <c r="J43" s="17">
        <f t="shared" si="6"/>
        <v>0</v>
      </c>
      <c r="K43" s="12" t="s">
        <v>285</v>
      </c>
      <c r="L43" s="13"/>
      <c r="M43" s="7">
        <f ca="1">IFERROR(IF(K43="Default",INDEX(Direct_Lookup,MATCH(A43,INDEX(Direct_Lookup,0,1),0),2),L43),0)</f>
        <v>7.2999999999999995E-2</v>
      </c>
      <c r="N43" s="17">
        <f t="shared" ca="1" si="7"/>
        <v>0</v>
      </c>
      <c r="O43" s="112" t="s">
        <v>285</v>
      </c>
      <c r="P43" s="16"/>
      <c r="Q43" s="15">
        <v>1</v>
      </c>
      <c r="R43" s="51">
        <f ca="1">IF(O43="Default",INDEX(Indirect_Lookup,MATCH(A43,INDEX(Indirect_Lookup,0,1),0),2),IF(O43="Included",0,P43))</f>
        <v>0.78</v>
      </c>
      <c r="S43" s="17">
        <f t="shared" ca="1" si="8"/>
        <v>0</v>
      </c>
      <c r="T43" s="31">
        <f t="shared" ca="1" si="9"/>
        <v>0</v>
      </c>
    </row>
    <row r="44" spans="1:20" ht="15.95" customHeight="1">
      <c r="A44" s="5" t="s">
        <v>308</v>
      </c>
      <c r="B44" s="449" t="s">
        <v>309</v>
      </c>
      <c r="C44" s="7" t="str">
        <f>INDEX(Ferroalloys,MATCH($A44,INDEX(Ferroalloys,0,1),0),2)</f>
        <v>t</v>
      </c>
      <c r="D44" s="29"/>
      <c r="E44" s="29"/>
      <c r="F44" s="29">
        <v>20000</v>
      </c>
      <c r="G44" s="29"/>
      <c r="H44" s="29"/>
      <c r="I44" s="29"/>
      <c r="J44" s="17">
        <f t="shared" si="6"/>
        <v>20000</v>
      </c>
      <c r="K44" s="12" t="s">
        <v>285</v>
      </c>
      <c r="L44" s="13"/>
      <c r="M44" s="50">
        <f ca="1">IFERROR(IF(K44="Default",INDEX(Direct_Lookup,MATCH(A44,INDEX(Direct_Lookup,0,1),0),2),L44),0)</f>
        <v>0.27499999999999997</v>
      </c>
      <c r="N44" s="17">
        <f t="shared" ca="1" si="7"/>
        <v>5499.9999999999991</v>
      </c>
      <c r="O44" s="112" t="s">
        <v>285</v>
      </c>
      <c r="P44" s="16"/>
      <c r="Q44" s="15">
        <v>1</v>
      </c>
      <c r="R44" s="51">
        <f ca="1">IF(O44="Default",INDEX(Indirect_Lookup,MATCH(A44,INDEX(Indirect_Lookup,0,1),0),2),IF(O44="Included",0,P44))</f>
        <v>6.35</v>
      </c>
      <c r="S44" s="17">
        <f t="shared" ca="1" si="8"/>
        <v>127000</v>
      </c>
      <c r="T44" s="31">
        <f t="shared" ca="1" si="9"/>
        <v>132500</v>
      </c>
    </row>
    <row r="45" spans="1:20" ht="15.95" customHeight="1">
      <c r="A45" s="5" t="s">
        <v>310</v>
      </c>
      <c r="B45" s="450"/>
      <c r="C45" s="7" t="str">
        <f>INDEX(Ferroalloys,MATCH($A45,INDEX(Ferroalloys,0,1),0),2)</f>
        <v>t</v>
      </c>
      <c r="D45" s="29"/>
      <c r="E45" s="29"/>
      <c r="F45" s="29"/>
      <c r="G45" s="29"/>
      <c r="H45" s="29"/>
      <c r="I45" s="29"/>
      <c r="J45" s="17">
        <f t="shared" si="6"/>
        <v>0</v>
      </c>
      <c r="K45" s="12" t="s">
        <v>285</v>
      </c>
      <c r="L45" s="13"/>
      <c r="M45" s="50">
        <f ca="1">IFERROR(IF(K45="Default",INDEX(Direct_Lookup,MATCH(A45,INDEX(Direct_Lookup,0,1),0),2),L45),0)</f>
        <v>0.18333333333333335</v>
      </c>
      <c r="N45" s="17">
        <f t="shared" ca="1" si="7"/>
        <v>0</v>
      </c>
      <c r="O45" s="112" t="s">
        <v>285</v>
      </c>
      <c r="P45" s="16"/>
      <c r="Q45" s="15">
        <v>1</v>
      </c>
      <c r="R45" s="51">
        <f ca="1">IF(O45="Default",INDEX(Indirect_Lookup,MATCH(A45,INDEX(Indirect_Lookup,0,1),0),2),IF(O45="Included",0,P45))</f>
        <v>5.719666666666666</v>
      </c>
      <c r="S45" s="17">
        <f t="shared" ca="1" si="8"/>
        <v>0</v>
      </c>
      <c r="T45" s="31">
        <f t="shared" ca="1" si="9"/>
        <v>0</v>
      </c>
    </row>
    <row r="46" spans="1:20" ht="15.95" customHeight="1">
      <c r="A46" s="5" t="s">
        <v>311</v>
      </c>
      <c r="B46" s="450"/>
      <c r="C46" s="7" t="str">
        <f>INDEX(Ferroalloys,MATCH($A46,INDEX(Ferroalloys,0,1),0),2)</f>
        <v>t</v>
      </c>
      <c r="D46" s="29"/>
      <c r="E46" s="29"/>
      <c r="F46" s="29"/>
      <c r="G46" s="29"/>
      <c r="H46" s="29"/>
      <c r="I46" s="29"/>
      <c r="J46" s="17">
        <f t="shared" si="6"/>
        <v>0</v>
      </c>
      <c r="K46" s="12" t="s">
        <v>285</v>
      </c>
      <c r="L46" s="13"/>
      <c r="M46" s="50">
        <f ca="1">IFERROR(IF(K46="Default",INDEX(Direct_Lookup,MATCH(A46,INDEX(Direct_Lookup,0,1),0),2),L46),0)</f>
        <v>1.8333333333333333E-2</v>
      </c>
      <c r="N46" s="17">
        <f t="shared" ca="1" si="7"/>
        <v>0</v>
      </c>
      <c r="O46" s="112" t="s">
        <v>285</v>
      </c>
      <c r="P46" s="16"/>
      <c r="Q46" s="15">
        <v>1</v>
      </c>
      <c r="R46" s="51">
        <f ca="1">IF(O46="Default",INDEX(Indirect_Lookup,MATCH(A46,INDEX(Indirect_Lookup,0,1),0),2),IF(O46="Included",0,P46))</f>
        <v>8.0726666666666667</v>
      </c>
      <c r="S46" s="17">
        <f t="shared" ca="1" si="8"/>
        <v>0</v>
      </c>
      <c r="T46" s="31">
        <f t="shared" ca="1" si="9"/>
        <v>0</v>
      </c>
    </row>
    <row r="47" spans="1:20" ht="15.95" customHeight="1">
      <c r="A47" s="5" t="s">
        <v>312</v>
      </c>
      <c r="B47" s="450"/>
      <c r="C47" s="7" t="str">
        <f>INDEX(Ferroalloys,MATCH($A47,INDEX(Ferroalloys,0,1),0),2)</f>
        <v>t</v>
      </c>
      <c r="D47" s="29"/>
      <c r="E47" s="29"/>
      <c r="F47" s="29"/>
      <c r="G47" s="29"/>
      <c r="H47" s="29"/>
      <c r="I47" s="29"/>
      <c r="J47" s="17">
        <f t="shared" si="6"/>
        <v>0</v>
      </c>
      <c r="K47" s="12" t="s">
        <v>285</v>
      </c>
      <c r="L47" s="13"/>
      <c r="M47" s="50">
        <f ca="1">IFERROR(IF(K47="Default",INDEX(Direct_Lookup,MATCH(A47,INDEX(Direct_Lookup,0,1),0),2),L47),0)</f>
        <v>3.6666666666666666E-3</v>
      </c>
      <c r="N47" s="17">
        <f t="shared" ca="1" si="7"/>
        <v>0</v>
      </c>
      <c r="O47" s="112" t="s">
        <v>285</v>
      </c>
      <c r="P47" s="16"/>
      <c r="Q47" s="15">
        <v>1</v>
      </c>
      <c r="R47" s="51">
        <f ca="1">IF(O47="Default",INDEX(Indirect_Lookup,MATCH(A47,INDEX(Indirect_Lookup,0,1),0),2),IF(O47="Included",0,P47))</f>
        <v>11.431333333333335</v>
      </c>
      <c r="S47" s="17">
        <f t="shared" ca="1" si="8"/>
        <v>0</v>
      </c>
      <c r="T47" s="31">
        <f t="shared" ca="1" si="9"/>
        <v>0</v>
      </c>
    </row>
    <row r="48" spans="1:20" ht="15.95" customHeight="1">
      <c r="A48" s="6" t="s">
        <v>313</v>
      </c>
      <c r="B48" s="450"/>
      <c r="C48" s="7" t="str">
        <f>INDEX(Ferroalloys,MATCH($A48,INDEX(Ferroalloys,0,1),0),2)</f>
        <v>t</v>
      </c>
      <c r="D48" s="29"/>
      <c r="E48" s="29"/>
      <c r="F48" s="29"/>
      <c r="G48" s="29"/>
      <c r="H48" s="29"/>
      <c r="I48" s="29"/>
      <c r="J48" s="17">
        <f t="shared" si="6"/>
        <v>0</v>
      </c>
      <c r="K48" s="12" t="s">
        <v>285</v>
      </c>
      <c r="L48" s="13"/>
      <c r="M48" s="50">
        <f ca="1">IFERROR(IF(K48="Default",INDEX(Direct_Lookup,MATCH(A48,INDEX(Direct_Lookup,0,1),0),2),L48),0)</f>
        <v>5.4999999999999993E-2</v>
      </c>
      <c r="N48" s="17">
        <f t="shared" ca="1" si="7"/>
        <v>0</v>
      </c>
      <c r="O48" s="112" t="s">
        <v>285</v>
      </c>
      <c r="P48" s="16"/>
      <c r="Q48" s="15">
        <v>1</v>
      </c>
      <c r="R48" s="51">
        <f ca="1">IF(O48="Default",INDEX(Indirect_Lookup,MATCH(A48,INDEX(Indirect_Lookup,0,1),0),2),IF(O48="Included",0,P48))</f>
        <v>12.095000000000002</v>
      </c>
      <c r="S48" s="17">
        <f t="shared" ca="1" si="8"/>
        <v>0</v>
      </c>
      <c r="T48" s="31">
        <f t="shared" ca="1" si="9"/>
        <v>0</v>
      </c>
    </row>
    <row r="49" spans="1:20" ht="15.95" customHeight="1">
      <c r="A49" s="5" t="s">
        <v>314</v>
      </c>
      <c r="B49" s="449" t="s">
        <v>315</v>
      </c>
      <c r="C49" s="7" t="s">
        <v>61</v>
      </c>
      <c r="D49" s="29"/>
      <c r="E49" s="29"/>
      <c r="F49" s="29"/>
      <c r="G49" s="29"/>
      <c r="H49" s="29"/>
      <c r="I49" s="29"/>
      <c r="J49" s="17">
        <f t="shared" si="6"/>
        <v>0</v>
      </c>
      <c r="K49" s="12" t="s">
        <v>285</v>
      </c>
      <c r="L49" s="13"/>
      <c r="M49" s="7">
        <f ca="1">IFERROR(IF(K49="Default",INDEX(Direct_Lookup,MATCH(A49,INDEX(Direct_Lookup,0,1),0),2),L49),0)</f>
        <v>0.44</v>
      </c>
      <c r="N49" s="17">
        <f t="shared" ca="1" si="7"/>
        <v>0</v>
      </c>
      <c r="O49" s="112" t="s">
        <v>286</v>
      </c>
      <c r="P49" s="16"/>
      <c r="Q49" s="15">
        <v>1</v>
      </c>
      <c r="R49" s="51">
        <f ca="1">IF(O49="Default",INDEX(Indirect_Lookup,MATCH(A49,INDEX(Indirect_Lookup,0,1),0),2),IF(O49="Included",0,P49))</f>
        <v>0</v>
      </c>
      <c r="S49" s="17">
        <f t="shared" ca="1" si="8"/>
        <v>0</v>
      </c>
      <c r="T49" s="31">
        <f t="shared" ca="1" si="9"/>
        <v>0</v>
      </c>
    </row>
    <row r="50" spans="1:20" ht="15.95" customHeight="1">
      <c r="A50" s="5" t="s">
        <v>316</v>
      </c>
      <c r="B50" s="450"/>
      <c r="C50" s="7" t="s">
        <v>61</v>
      </c>
      <c r="D50" s="29"/>
      <c r="E50" s="29"/>
      <c r="F50" s="29"/>
      <c r="G50" s="29"/>
      <c r="H50" s="29"/>
      <c r="I50" s="29"/>
      <c r="J50" s="17">
        <f t="shared" si="6"/>
        <v>0</v>
      </c>
      <c r="K50" s="12" t="s">
        <v>285</v>
      </c>
      <c r="L50" s="13"/>
      <c r="M50" s="7">
        <f ca="1">IFERROR(IF(K50="Default",INDEX(Direct_Lookup,MATCH(A50,INDEX(Direct_Lookup,0,1),0),2),L50),0)</f>
        <v>0.47599999999999998</v>
      </c>
      <c r="N50" s="17">
        <f t="shared" ca="1" si="7"/>
        <v>0</v>
      </c>
      <c r="O50" s="112" t="s">
        <v>331</v>
      </c>
      <c r="P50" s="16"/>
      <c r="Q50" s="15">
        <v>1</v>
      </c>
      <c r="R50" s="51">
        <f ca="1">IF(O50="Default",INDEX(Indirect_Lookup,MATCH(A50,INDEX(Indirect_Lookup,0,1),0),2),IF(O50="Included",0,P50))</f>
        <v>0</v>
      </c>
      <c r="S50" s="17">
        <f t="shared" ca="1" si="8"/>
        <v>0</v>
      </c>
      <c r="T50" s="31">
        <f t="shared" ca="1" si="9"/>
        <v>0</v>
      </c>
    </row>
    <row r="51" spans="1:20" ht="15.95" customHeight="1">
      <c r="A51" s="5" t="s">
        <v>317</v>
      </c>
      <c r="B51" s="450"/>
      <c r="C51" s="7" t="s">
        <v>61</v>
      </c>
      <c r="D51" s="29"/>
      <c r="E51" s="29"/>
      <c r="F51" s="29"/>
      <c r="G51" s="29"/>
      <c r="H51" s="29"/>
      <c r="I51" s="29"/>
      <c r="J51" s="17">
        <f t="shared" si="6"/>
        <v>0</v>
      </c>
      <c r="K51" s="12" t="s">
        <v>285</v>
      </c>
      <c r="L51" s="13"/>
      <c r="M51" s="7">
        <f ca="1">IFERROR(IF(K51="Default",INDEX(Direct_Lookup,MATCH(A51,INDEX(Direct_Lookup,0,1),0),2),L51),0)</f>
        <v>3.6629999999999998</v>
      </c>
      <c r="N51" s="17">
        <f t="shared" ca="1" si="7"/>
        <v>0</v>
      </c>
      <c r="O51" s="112" t="s">
        <v>286</v>
      </c>
      <c r="P51" s="16"/>
      <c r="Q51" s="15">
        <v>1</v>
      </c>
      <c r="R51" s="51">
        <f ca="1">IF(O51="Default",INDEX(Indirect_Lookup,MATCH(A51,INDEX(Indirect_Lookup,0,1),0),2),IF(O51="Included",0,P51))</f>
        <v>0</v>
      </c>
      <c r="S51" s="17">
        <f t="shared" ca="1" si="8"/>
        <v>0</v>
      </c>
      <c r="T51" s="31">
        <f t="shared" ca="1" si="9"/>
        <v>0</v>
      </c>
    </row>
    <row r="52" spans="1:20" ht="15.95" customHeight="1">
      <c r="A52" s="5" t="s">
        <v>318</v>
      </c>
      <c r="B52" s="450"/>
      <c r="C52" s="7" t="s">
        <v>61</v>
      </c>
      <c r="D52" s="29"/>
      <c r="E52" s="29"/>
      <c r="F52" s="29">
        <v>180000</v>
      </c>
      <c r="G52" s="29"/>
      <c r="H52" s="29"/>
      <c r="I52" s="29"/>
      <c r="J52" s="17">
        <f t="shared" si="6"/>
        <v>180000</v>
      </c>
      <c r="K52" s="12" t="s">
        <v>285</v>
      </c>
      <c r="L52" s="13"/>
      <c r="M52" s="7">
        <f ca="1">IFERROR(IF(K52="Default",INDEX(Direct_Lookup,MATCH(A52,INDEX(Direct_Lookup,0,1),0),2),L52),0)</f>
        <v>0</v>
      </c>
      <c r="N52" s="17">
        <f t="shared" ca="1" si="7"/>
        <v>0</v>
      </c>
      <c r="O52" s="112" t="s">
        <v>285</v>
      </c>
      <c r="P52" s="16"/>
      <c r="Q52" s="15">
        <v>1</v>
      </c>
      <c r="R52" s="8">
        <f ca="1">IF(O52="Default",INDEX(Indirect_Lookup,MATCH(A52,INDEX(Indirect_Lookup,0,1),0),2),IF(O52="Included",0,P52))</f>
        <v>0.95</v>
      </c>
      <c r="S52" s="18">
        <f t="shared" ca="1" si="8"/>
        <v>171000</v>
      </c>
      <c r="T52" s="31">
        <f t="shared" ca="1" si="9"/>
        <v>171000</v>
      </c>
    </row>
    <row r="53" spans="1:20" ht="15.95" customHeight="1">
      <c r="A53" s="5" t="s">
        <v>319</v>
      </c>
      <c r="B53" s="450"/>
      <c r="C53" s="7" t="s">
        <v>61</v>
      </c>
      <c r="D53" s="29"/>
      <c r="E53" s="29"/>
      <c r="F53" s="29"/>
      <c r="G53" s="29"/>
      <c r="H53" s="29"/>
      <c r="I53" s="29"/>
      <c r="J53" s="17">
        <f t="shared" si="6"/>
        <v>0</v>
      </c>
      <c r="K53" s="12" t="s">
        <v>285</v>
      </c>
      <c r="L53" s="13"/>
      <c r="M53" s="7">
        <f ca="1">IFERROR(IF(K53="Default",INDEX(Direct_Lookup,MATCH(A53,INDEX(Direct_Lookup,0,1),0),2),L53),0)</f>
        <v>0</v>
      </c>
      <c r="N53" s="17">
        <f t="shared" ca="1" si="7"/>
        <v>0</v>
      </c>
      <c r="O53" s="112" t="s">
        <v>285</v>
      </c>
      <c r="P53" s="16"/>
      <c r="Q53" s="15">
        <v>1</v>
      </c>
      <c r="R53" s="8">
        <f ca="1">IF(O53="Default",INDEX(Indirect_Lookup,MATCH(A53,INDEX(Indirect_Lookup,0,1),0),2),IF(O53="Included",0,P53))</f>
        <v>1.1000000000000001</v>
      </c>
      <c r="S53" s="18">
        <f t="shared" ca="1" si="8"/>
        <v>0</v>
      </c>
      <c r="T53" s="31">
        <f t="shared" ca="1" si="9"/>
        <v>0</v>
      </c>
    </row>
    <row r="54" spans="1:20" ht="15.95" customHeight="1">
      <c r="A54" s="5" t="s">
        <v>320</v>
      </c>
      <c r="B54" s="450"/>
      <c r="C54" s="7" t="s">
        <v>61</v>
      </c>
      <c r="D54" s="29"/>
      <c r="E54" s="29"/>
      <c r="F54" s="29"/>
      <c r="G54" s="29"/>
      <c r="H54" s="29"/>
      <c r="I54" s="29"/>
      <c r="J54" s="17">
        <f t="shared" si="6"/>
        <v>0</v>
      </c>
      <c r="K54" s="12" t="s">
        <v>285</v>
      </c>
      <c r="L54" s="13"/>
      <c r="M54" s="7">
        <f ca="1">IFERROR(IF(K54="Default",INDEX(Direct_Lookup,MATCH(A54,INDEX(Direct_Lookup,0,1),0),2),L54),0)</f>
        <v>0</v>
      </c>
      <c r="N54" s="17">
        <f t="shared" ca="1" si="7"/>
        <v>0</v>
      </c>
      <c r="O54" s="112" t="s">
        <v>285</v>
      </c>
      <c r="P54" s="16"/>
      <c r="Q54" s="15">
        <v>1</v>
      </c>
      <c r="R54" s="22">
        <f ca="1">IF(O54="Default",INDEX(Indirect_Lookup,MATCH(A54,INDEX(Indirect_Lookup,0,1),0),2),IF(O54="Included",0,P54))</f>
        <v>0.2702</v>
      </c>
      <c r="S54" s="18">
        <f t="shared" ca="1" si="8"/>
        <v>0</v>
      </c>
      <c r="T54" s="31">
        <f t="shared" ca="1" si="9"/>
        <v>0</v>
      </c>
    </row>
    <row r="55" spans="1:20" ht="15.95" customHeight="1">
      <c r="A55" s="5" t="s">
        <v>321</v>
      </c>
      <c r="B55" s="450"/>
      <c r="C55" s="7" t="s">
        <v>61</v>
      </c>
      <c r="D55" s="29"/>
      <c r="E55" s="29"/>
      <c r="F55" s="187"/>
      <c r="G55" s="186"/>
      <c r="H55" s="29"/>
      <c r="I55" s="187"/>
      <c r="J55" s="18">
        <f t="shared" si="6"/>
        <v>0</v>
      </c>
      <c r="K55" s="12" t="s">
        <v>285</v>
      </c>
      <c r="L55" s="13"/>
      <c r="M55" s="7">
        <f ca="1">IFERROR(IF(K55="Default",INDEX(Direct_Lookup,MATCH(A55,INDEX(Direct_Lookup,0,1),0),2),L55),0)</f>
        <v>0</v>
      </c>
      <c r="N55" s="17">
        <f t="shared" ca="1" si="7"/>
        <v>0</v>
      </c>
      <c r="O55" s="112" t="s">
        <v>285</v>
      </c>
      <c r="P55" s="16"/>
      <c r="Q55" s="15">
        <v>1</v>
      </c>
      <c r="R55" s="22">
        <f ca="1">IF(O55="Default",INDEX(Indirect_Lookup,MATCH(A55,INDEX(Indirect_Lookup,0,1),0),2),IF(O55="Included",0,P55))</f>
        <v>8.8789999999999994E-2</v>
      </c>
      <c r="S55" s="18">
        <f t="shared" ca="1" si="8"/>
        <v>0</v>
      </c>
      <c r="T55" s="31">
        <f t="shared" ca="1" si="9"/>
        <v>0</v>
      </c>
    </row>
    <row r="56" spans="1:20" ht="15.95" customHeight="1">
      <c r="A56" s="6" t="s">
        <v>322</v>
      </c>
      <c r="B56" s="450"/>
      <c r="C56" s="7" t="s">
        <v>61</v>
      </c>
      <c r="D56" s="29"/>
      <c r="E56" s="29"/>
      <c r="F56" s="187"/>
      <c r="G56" s="186"/>
      <c r="H56" s="29"/>
      <c r="I56" s="187"/>
      <c r="J56" s="18">
        <f t="shared" si="6"/>
        <v>0</v>
      </c>
      <c r="K56" s="12" t="s">
        <v>285</v>
      </c>
      <c r="L56" s="13"/>
      <c r="M56" s="7">
        <f ca="1">IFERROR(IF(K56="Default",INDEX(Direct_Lookup,MATCH(A56,INDEX(Direct_Lookup,0,1),0),2),L56),0)</f>
        <v>0</v>
      </c>
      <c r="N56" s="17">
        <f t="shared" ca="1" si="7"/>
        <v>0</v>
      </c>
      <c r="O56" s="112" t="s">
        <v>285</v>
      </c>
      <c r="P56" s="16"/>
      <c r="Q56" s="15">
        <v>1</v>
      </c>
      <c r="R56" s="22">
        <f ca="1">IF(O56="Default",INDEX(Indirect_Lookup,MATCH(A56,INDEX(Indirect_Lookup,0,1),0),2),IF(O56="Included",0,P56))</f>
        <v>6.2799999999999995E-2</v>
      </c>
      <c r="S56" s="18">
        <f t="shared" ca="1" si="8"/>
        <v>0</v>
      </c>
      <c r="T56" s="31">
        <f t="shared" ca="1" si="9"/>
        <v>0</v>
      </c>
    </row>
    <row r="57" spans="1:20" ht="15.95" customHeight="1">
      <c r="A57" s="5" t="s">
        <v>328</v>
      </c>
      <c r="B57" s="428" t="s">
        <v>439</v>
      </c>
      <c r="C57" s="7" t="s">
        <v>239</v>
      </c>
      <c r="D57" s="29"/>
      <c r="E57" s="29"/>
      <c r="F57" s="187"/>
      <c r="G57" s="188"/>
      <c r="H57" s="188"/>
      <c r="I57" s="188"/>
      <c r="J57" s="18">
        <f t="shared" si="6"/>
        <v>0</v>
      </c>
      <c r="K57" s="12" t="s">
        <v>285</v>
      </c>
      <c r="L57" s="13"/>
      <c r="M57" s="7">
        <f ca="1">IFERROR(IF(K57="Default",INDEX(Direct_Lookup,MATCH(A57,INDEX(Direct_Lookup,0,1),0),2),L57),0)</f>
        <v>0</v>
      </c>
      <c r="N57" s="17">
        <f t="shared" ca="1" si="7"/>
        <v>0</v>
      </c>
      <c r="O57" s="112" t="s">
        <v>285</v>
      </c>
      <c r="P57" s="16"/>
      <c r="Q57" s="15">
        <v>1</v>
      </c>
      <c r="R57" s="22">
        <f ca="1">IF(O57="Default",INDEX(Indirect_Lookup,MATCH(A57,INDEX(Indirect_Lookup,0,1),0),2),IF(O57="Included",0,P57))</f>
        <v>0.438</v>
      </c>
      <c r="S57" s="18">
        <f t="shared" ca="1" si="8"/>
        <v>0</v>
      </c>
      <c r="T57" s="31">
        <f t="shared" ca="1" si="9"/>
        <v>0</v>
      </c>
    </row>
    <row r="58" spans="1:20" ht="15.95" customHeight="1">
      <c r="A58" s="5" t="s">
        <v>330</v>
      </c>
      <c r="B58" s="429"/>
      <c r="C58" s="7" t="s">
        <v>239</v>
      </c>
      <c r="D58" s="29"/>
      <c r="E58" s="29"/>
      <c r="F58" s="187"/>
      <c r="G58" s="188"/>
      <c r="H58" s="188"/>
      <c r="I58" s="188"/>
      <c r="J58" s="18">
        <f t="shared" si="6"/>
        <v>0</v>
      </c>
      <c r="K58" s="12" t="s">
        <v>285</v>
      </c>
      <c r="L58" s="13"/>
      <c r="M58" s="7">
        <f ca="1">IFERROR(IF(K58="Default",INDEX(Direct_Lookup,MATCH(A58,INDEX(Direct_Lookup,0,1),0),2),L58),0)</f>
        <v>0</v>
      </c>
      <c r="N58" s="17">
        <f t="shared" ca="1" si="7"/>
        <v>0</v>
      </c>
      <c r="O58" s="112" t="s">
        <v>286</v>
      </c>
      <c r="P58" s="16"/>
      <c r="Q58" s="15">
        <v>1</v>
      </c>
      <c r="R58" s="22">
        <f ca="1">IF(O58="Default",INDEX(Indirect_Lookup,MATCH(A58,INDEX(Indirect_Lookup,0,1),0),2),IF(O58="Included",0,P58))</f>
        <v>0</v>
      </c>
      <c r="S58" s="18">
        <f t="shared" ca="1" si="8"/>
        <v>0</v>
      </c>
      <c r="T58" s="31">
        <f t="shared" ca="1" si="9"/>
        <v>0</v>
      </c>
    </row>
    <row r="59" spans="1:20" ht="15.95" customHeight="1">
      <c r="A59" s="6" t="s">
        <v>440</v>
      </c>
      <c r="B59" s="430"/>
      <c r="C59" s="7" t="s">
        <v>239</v>
      </c>
      <c r="D59" s="29"/>
      <c r="E59" s="29"/>
      <c r="F59" s="187"/>
      <c r="G59" s="188"/>
      <c r="H59" s="188"/>
      <c r="I59" s="188"/>
      <c r="J59" s="18">
        <f t="shared" si="6"/>
        <v>0</v>
      </c>
      <c r="K59" s="12" t="s">
        <v>285</v>
      </c>
      <c r="L59" s="13"/>
      <c r="M59" s="7">
        <f ca="1">IFERROR(IF(K59="Default",INDEX(Direct_Lookup,MATCH(A59,INDEX(Direct_Lookup,0,1),0),2),L59),0)</f>
        <v>0</v>
      </c>
      <c r="N59" s="17">
        <f t="shared" ca="1" si="7"/>
        <v>0</v>
      </c>
      <c r="O59" s="112" t="s">
        <v>286</v>
      </c>
      <c r="P59" s="16"/>
      <c r="Q59" s="15">
        <v>1</v>
      </c>
      <c r="R59" s="22">
        <f ca="1">IF(O59="Default",INDEX(Indirect_Lookup,MATCH(A59,INDEX(Indirect_Lookup,0,1),0),2),IF(O59="Included",0,P59))</f>
        <v>0</v>
      </c>
      <c r="S59" s="18">
        <f t="shared" ca="1" si="8"/>
        <v>0</v>
      </c>
      <c r="T59" s="31">
        <f t="shared" ca="1" si="9"/>
        <v>0</v>
      </c>
    </row>
    <row r="60" spans="1:20" ht="15.95" customHeight="1">
      <c r="A60" s="5" t="s">
        <v>323</v>
      </c>
      <c r="B60" s="9" t="s">
        <v>324</v>
      </c>
      <c r="C60" s="7" t="s">
        <v>61</v>
      </c>
      <c r="D60" s="179"/>
      <c r="E60" s="185"/>
      <c r="F60" s="184"/>
      <c r="G60" s="184"/>
      <c r="H60" s="184"/>
      <c r="I60" s="184"/>
      <c r="J60" s="18">
        <f>SUM(D60:I60)</f>
        <v>0</v>
      </c>
      <c r="K60" s="12" t="s">
        <v>285</v>
      </c>
      <c r="L60" s="13"/>
      <c r="M60" s="7">
        <f ca="1">IFERROR(IF(K60="Default",INDEX(Direct_Lookup,MATCH(A60,INDEX(Direct_Lookup,0,1),0),2),L60),0)</f>
        <v>0</v>
      </c>
      <c r="N60" s="17">
        <f ca="1">J60*M60</f>
        <v>0</v>
      </c>
      <c r="O60" s="112" t="s">
        <v>285</v>
      </c>
      <c r="P60" s="16"/>
      <c r="Q60" s="15">
        <v>1</v>
      </c>
      <c r="R60" s="8">
        <f ca="1">IF(O60="Default",INDEX(Indirect_Lookup,MATCH(A60,INDEX(Indirect_Lookup,0,1),0),2),IF(O60="Included",0,P60))</f>
        <v>0.19500000000000001</v>
      </c>
      <c r="S60" s="192">
        <f ca="1">R60*J60</f>
        <v>0</v>
      </c>
      <c r="T60" s="192">
        <f t="shared" ca="1" si="9"/>
        <v>0</v>
      </c>
    </row>
    <row r="61" spans="1:20" ht="15.95" customHeight="1">
      <c r="A61" s="220" t="s">
        <v>325</v>
      </c>
      <c r="B61" s="219" t="s">
        <v>326</v>
      </c>
      <c r="C61" s="183" t="s">
        <v>61</v>
      </c>
      <c r="D61" s="180"/>
      <c r="E61" s="180"/>
      <c r="F61" s="180"/>
      <c r="G61" s="180"/>
      <c r="H61" s="180"/>
      <c r="I61" s="189"/>
      <c r="J61" s="146">
        <f>SUM(D61:I61)</f>
        <v>0</v>
      </c>
      <c r="K61" s="223" t="s">
        <v>285</v>
      </c>
      <c r="L61" s="221"/>
      <c r="M61" s="222">
        <f ca="1">IFERROR(IF(K61="Default",INDEX(Direct_Lookup,MATCH(A61,INDEX(Direct_Lookup,0,1),0),2),L61),0)</f>
        <v>28</v>
      </c>
      <c r="N61" s="146">
        <f ca="1">J61*M61</f>
        <v>0</v>
      </c>
      <c r="O61" s="139" t="s">
        <v>286</v>
      </c>
      <c r="P61" s="494" t="s">
        <v>327</v>
      </c>
      <c r="Q61" s="495"/>
      <c r="R61" s="183">
        <f ca="1">IF(O61="Default",INDEX(Indirect_Lookup,MATCH(A61,INDEX(Indirect_Lookup,0,1),0),2),IF(O61="Included",0,P61))</f>
        <v>0</v>
      </c>
      <c r="S61" s="193">
        <f ca="1">R61*J61</f>
        <v>0</v>
      </c>
      <c r="T61" s="193">
        <f ca="1">N61+S61</f>
        <v>0</v>
      </c>
    </row>
    <row r="62" spans="1:20" ht="15.75" customHeight="1">
      <c r="E62" s="88"/>
    </row>
    <row r="63" spans="1:20" ht="15.75" customHeight="1">
      <c r="A63" s="460" t="s">
        <v>336</v>
      </c>
      <c r="B63" s="461"/>
      <c r="C63" s="493"/>
      <c r="D63" s="9" t="s">
        <v>337</v>
      </c>
      <c r="E63" s="455" t="s">
        <v>338</v>
      </c>
      <c r="F63" s="456"/>
      <c r="G63" s="456"/>
      <c r="H63" s="456"/>
      <c r="I63" s="455" t="s">
        <v>339</v>
      </c>
      <c r="J63" s="456"/>
      <c r="K63" s="456"/>
      <c r="L63" s="456"/>
      <c r="M63" s="456"/>
      <c r="N63" s="456"/>
      <c r="O63" s="456"/>
      <c r="P63" s="457"/>
    </row>
    <row r="64" spans="1:20" ht="33.950000000000003">
      <c r="A64" s="23" t="s">
        <v>340</v>
      </c>
      <c r="B64" s="24" t="s">
        <v>25</v>
      </c>
      <c r="C64" s="24" t="s">
        <v>234</v>
      </c>
      <c r="D64" s="24" t="s">
        <v>341</v>
      </c>
      <c r="E64" s="127" t="s">
        <v>338</v>
      </c>
      <c r="F64" s="128"/>
      <c r="G64" s="125" t="s">
        <v>343</v>
      </c>
      <c r="H64" s="2" t="s">
        <v>344</v>
      </c>
      <c r="I64" s="125" t="s">
        <v>345</v>
      </c>
      <c r="J64" s="125" t="s">
        <v>346</v>
      </c>
      <c r="K64" s="125" t="s">
        <v>347</v>
      </c>
      <c r="L64" s="125" t="s">
        <v>441</v>
      </c>
      <c r="M64" s="125" t="s">
        <v>349</v>
      </c>
      <c r="N64" s="125" t="s">
        <v>350</v>
      </c>
      <c r="O64" s="145" t="s">
        <v>351</v>
      </c>
      <c r="P64" s="145" t="s">
        <v>352</v>
      </c>
    </row>
    <row r="65" spans="1:23" ht="15.75" customHeight="1">
      <c r="A65" s="5" t="s">
        <v>354</v>
      </c>
      <c r="B65" s="448" t="s">
        <v>215</v>
      </c>
      <c r="C65" s="10" t="s">
        <v>355</v>
      </c>
      <c r="D65" s="27">
        <v>0</v>
      </c>
      <c r="E65" s="440" t="s">
        <v>356</v>
      </c>
      <c r="F65" s="496"/>
      <c r="G65" s="10" t="str">
        <f ca="1">INDEX(Byproduct_EF,MATCH(E65,INDEX(Byproduct_EF,0,2),0),3)</f>
        <v>MWh</v>
      </c>
      <c r="H65" s="132" t="s">
        <v>285</v>
      </c>
      <c r="I65" s="129"/>
      <c r="J65" s="137">
        <f ca="1">IF(H65="Default",INDEX(Byproduct_EF,MATCH(E65,INDEX(Byproduct_EF,0,2),0),4),I65)</f>
        <v>0</v>
      </c>
      <c r="K65" s="132" t="s">
        <v>331</v>
      </c>
      <c r="L65" s="129"/>
      <c r="M65" s="10">
        <f ca="1">IF(K65="Default",INDEX(Direct_EF,MATCH(A65,INDEX(Direct_EF,0,1),0),2),L65)</f>
        <v>0</v>
      </c>
      <c r="N65" s="111">
        <v>1</v>
      </c>
      <c r="O65" s="22">
        <f ca="1">(M65-J65)*N65</f>
        <v>0</v>
      </c>
      <c r="P65" s="31">
        <f ca="1">O65*D65</f>
        <v>0</v>
      </c>
    </row>
    <row r="66" spans="1:23" ht="15.75" customHeight="1">
      <c r="A66" s="5" t="s">
        <v>357</v>
      </c>
      <c r="B66" s="448"/>
      <c r="C66" s="8" t="s">
        <v>358</v>
      </c>
      <c r="D66" s="29">
        <v>0</v>
      </c>
      <c r="E66" s="437" t="s">
        <v>359</v>
      </c>
      <c r="F66" s="438"/>
      <c r="G66" s="8" t="str">
        <f ca="1">INDEX(Byproduct_EF,MATCH(E66,INDEX(Byproduct_EF,0,2),0),3)</f>
        <v>GJ</v>
      </c>
      <c r="H66" s="133" t="s">
        <v>285</v>
      </c>
      <c r="I66" s="130"/>
      <c r="J66" s="22">
        <f ca="1">IF(H66="Default",INDEX(Byproduct_EF,MATCH(E66,INDEX(Byproduct_EF,0,2),0),4),I66)</f>
        <v>0.13075611083282368</v>
      </c>
      <c r="K66" s="133" t="s">
        <v>331</v>
      </c>
      <c r="L66" s="130"/>
      <c r="M66" s="8">
        <f t="shared" ref="M66:M81" ca="1" si="11">IF(K66="Default",INDEX(Direct_EF,MATCH(A66,INDEX(Direct_EF,0,1),0),2),L66)</f>
        <v>0</v>
      </c>
      <c r="N66" s="112">
        <v>1</v>
      </c>
      <c r="O66" s="22">
        <f t="shared" ref="O66:O81" ca="1" si="12">(M66-J66)*N66</f>
        <v>-0.13075611083282368</v>
      </c>
      <c r="P66" s="31">
        <f t="shared" ref="P66:P81" ca="1" si="13">O66*D66</f>
        <v>0</v>
      </c>
    </row>
    <row r="67" spans="1:23" ht="15.75" customHeight="1">
      <c r="A67" s="5" t="s">
        <v>360</v>
      </c>
      <c r="B67" s="448"/>
      <c r="C67" s="8" t="s">
        <v>358</v>
      </c>
      <c r="D67" s="29">
        <v>0</v>
      </c>
      <c r="E67" s="437" t="s">
        <v>359</v>
      </c>
      <c r="F67" s="438"/>
      <c r="G67" s="8" t="str">
        <f ca="1">INDEX(Byproduct_EF,MATCH(E67,INDEX(Byproduct_EF,0,2),0),3)</f>
        <v>GJ</v>
      </c>
      <c r="H67" s="133" t="s">
        <v>285</v>
      </c>
      <c r="I67" s="130"/>
      <c r="J67" s="22">
        <f ca="1">IF(H67="Default",INDEX(Byproduct_EF,MATCH(E67,INDEX(Byproduct_EF,0,2),0),4),I67)</f>
        <v>0.13075611083282368</v>
      </c>
      <c r="K67" s="133" t="s">
        <v>331</v>
      </c>
      <c r="L67" s="130"/>
      <c r="M67" s="8">
        <f t="shared" ca="1" si="11"/>
        <v>0</v>
      </c>
      <c r="N67" s="112">
        <v>1</v>
      </c>
      <c r="O67" s="22">
        <f t="shared" ca="1" si="12"/>
        <v>-0.13075611083282368</v>
      </c>
      <c r="P67" s="31">
        <f ca="1">O67*D67</f>
        <v>0</v>
      </c>
    </row>
    <row r="68" spans="1:23" ht="15.75" customHeight="1">
      <c r="A68" s="5" t="s">
        <v>362</v>
      </c>
      <c r="B68" s="448" t="s">
        <v>363</v>
      </c>
      <c r="C68" s="8" t="s">
        <v>61</v>
      </c>
      <c r="D68" s="29">
        <v>569000</v>
      </c>
      <c r="E68" s="437" t="s">
        <v>364</v>
      </c>
      <c r="F68" s="438"/>
      <c r="G68" s="8" t="str">
        <f ca="1">INDEX(Byproduct_EF,MATCH(E68,INDEX(Byproduct_EF,0,2),0),3)</f>
        <v>t</v>
      </c>
      <c r="H68" s="133" t="s">
        <v>285</v>
      </c>
      <c r="I68" s="130"/>
      <c r="J68" s="22">
        <f ca="1">IF(H68="Default",INDEX(Byproduct_EF,MATCH(E68,INDEX(Byproduct_EF,0,2),0),4),I68)</f>
        <v>0.83799999999999997</v>
      </c>
      <c r="K68" s="133" t="s">
        <v>285</v>
      </c>
      <c r="L68" s="112">
        <v>0</v>
      </c>
      <c r="M68" s="8" t="e">
        <f ca="1">IF(K68="Default",INDEX(Direct_EF,MATCH(A68,INDEX(Direct_EF,0,1),0),2),L68)</f>
        <v>#N/A</v>
      </c>
      <c r="N68" s="112">
        <v>1</v>
      </c>
      <c r="O68" s="22" t="e">
        <f ca="1">(M68-J68)*N68</f>
        <v>#N/A</v>
      </c>
      <c r="P68" s="31" t="e">
        <f ca="1">O68*D68</f>
        <v>#N/A</v>
      </c>
    </row>
    <row r="69" spans="1:23" ht="15.75" customHeight="1">
      <c r="A69" s="5" t="s">
        <v>365</v>
      </c>
      <c r="B69" s="448"/>
      <c r="C69" s="8" t="s">
        <v>61</v>
      </c>
      <c r="D69" s="29">
        <v>240000</v>
      </c>
      <c r="E69" s="437" t="s">
        <v>366</v>
      </c>
      <c r="F69" s="438"/>
      <c r="G69" s="8" t="str">
        <f ca="1">INDEX(Byproduct_EF,MATCH(E69,INDEX(Byproduct_EF,0,2),0),3)</f>
        <v>t</v>
      </c>
      <c r="H69" s="133" t="s">
        <v>285</v>
      </c>
      <c r="I69" s="130"/>
      <c r="J69" s="22">
        <f ca="1">IF(H69="Default",INDEX(Byproduct_EF,MATCH(E69,INDEX(Byproduct_EF,0,2),0),4),I69)</f>
        <v>6.1799999999999997E-3</v>
      </c>
      <c r="K69" s="133" t="s">
        <v>285</v>
      </c>
      <c r="L69" s="112">
        <v>0</v>
      </c>
      <c r="M69" s="8" t="e">
        <f t="shared" ca="1" si="11"/>
        <v>#N/A</v>
      </c>
      <c r="N69" s="112">
        <v>1</v>
      </c>
      <c r="O69" s="22" t="e">
        <f t="shared" ca="1" si="12"/>
        <v>#N/A</v>
      </c>
      <c r="P69" s="31" t="e">
        <f t="shared" ca="1" si="13"/>
        <v>#N/A</v>
      </c>
      <c r="W69" s="88"/>
    </row>
    <row r="70" spans="1:23" ht="15.75" customHeight="1">
      <c r="A70" s="5" t="s">
        <v>367</v>
      </c>
      <c r="B70" s="448"/>
      <c r="C70" s="8" t="s">
        <v>61</v>
      </c>
      <c r="D70" s="29">
        <v>0</v>
      </c>
      <c r="E70" s="437" t="s">
        <v>366</v>
      </c>
      <c r="F70" s="438"/>
      <c r="G70" s="8" t="str">
        <f ca="1">INDEX(Byproduct_EF,MATCH(E70,INDEX(Byproduct_EF,0,2),0),3)</f>
        <v>t</v>
      </c>
      <c r="H70" s="133" t="s">
        <v>285</v>
      </c>
      <c r="I70" s="130"/>
      <c r="J70" s="22">
        <f ca="1">IF(H70="Default",INDEX(Byproduct_EF,MATCH(E70,INDEX(Byproduct_EF,0,2),0),4),I70)</f>
        <v>6.1799999999999997E-3</v>
      </c>
      <c r="K70" s="133" t="s">
        <v>331</v>
      </c>
      <c r="L70" s="130"/>
      <c r="M70" s="8">
        <f t="shared" ca="1" si="11"/>
        <v>0</v>
      </c>
      <c r="N70" s="112">
        <v>1</v>
      </c>
      <c r="O70" s="22">
        <f t="shared" ca="1" si="12"/>
        <v>-6.1799999999999997E-3</v>
      </c>
      <c r="P70" s="31">
        <f t="shared" ca="1" si="13"/>
        <v>0</v>
      </c>
      <c r="W70" s="88"/>
    </row>
    <row r="71" spans="1:23" ht="15.75" customHeight="1">
      <c r="A71" s="5" t="s">
        <v>368</v>
      </c>
      <c r="B71" s="439" t="s">
        <v>369</v>
      </c>
      <c r="C71" s="8" t="s">
        <v>61</v>
      </c>
      <c r="D71" s="29">
        <v>0</v>
      </c>
      <c r="E71" s="437" t="s">
        <v>370</v>
      </c>
      <c r="F71" s="438"/>
      <c r="G71" s="8" t="str">
        <f ca="1">INDEX(Byproduct_EF,MATCH(E71,INDEX(Byproduct_EF,0,2),0),3)</f>
        <v>-</v>
      </c>
      <c r="H71" s="133" t="s">
        <v>331</v>
      </c>
      <c r="I71" s="130"/>
      <c r="J71" s="22">
        <f ca="1">IF(H71="Default",INDEX(Byproduct_EF,MATCH(E71,INDEX(Byproduct_EF,0,2),0),4),I71)</f>
        <v>0</v>
      </c>
      <c r="K71" s="133" t="s">
        <v>331</v>
      </c>
      <c r="L71" s="130"/>
      <c r="M71" s="8">
        <f t="shared" ca="1" si="11"/>
        <v>0</v>
      </c>
      <c r="N71" s="112">
        <v>1</v>
      </c>
      <c r="O71" s="22">
        <f t="shared" ca="1" si="12"/>
        <v>0</v>
      </c>
      <c r="P71" s="31">
        <f t="shared" ca="1" si="13"/>
        <v>0</v>
      </c>
    </row>
    <row r="72" spans="1:23" ht="15.75" customHeight="1">
      <c r="A72" s="5" t="s">
        <v>372</v>
      </c>
      <c r="B72" s="439"/>
      <c r="C72" s="8" t="s">
        <v>61</v>
      </c>
      <c r="D72" s="29">
        <v>0</v>
      </c>
      <c r="E72" s="437" t="s">
        <v>370</v>
      </c>
      <c r="F72" s="438"/>
      <c r="G72" s="8" t="str">
        <f ca="1">INDEX(Byproduct_EF,MATCH(E72,INDEX(Byproduct_EF,0,2),0),3)</f>
        <v>-</v>
      </c>
      <c r="H72" s="133" t="s">
        <v>331</v>
      </c>
      <c r="I72" s="130"/>
      <c r="J72" s="22">
        <f ca="1">IF(H72="Default",INDEX(Byproduct_EF,MATCH(E72,INDEX(Byproduct_EF,0,2),0),4),I72)</f>
        <v>0</v>
      </c>
      <c r="K72" s="133" t="s">
        <v>331</v>
      </c>
      <c r="L72" s="130"/>
      <c r="M72" s="8">
        <f t="shared" ca="1" si="11"/>
        <v>0</v>
      </c>
      <c r="N72" s="112">
        <v>1</v>
      </c>
      <c r="O72" s="22">
        <f t="shared" ca="1" si="12"/>
        <v>0</v>
      </c>
      <c r="P72" s="31">
        <f t="shared" ca="1" si="13"/>
        <v>0</v>
      </c>
    </row>
    <row r="73" spans="1:23" ht="15.75" customHeight="1">
      <c r="A73" s="5" t="s">
        <v>373</v>
      </c>
      <c r="B73" s="439"/>
      <c r="C73" s="8" t="s">
        <v>61</v>
      </c>
      <c r="D73" s="29">
        <v>0</v>
      </c>
      <c r="E73" s="437" t="s">
        <v>370</v>
      </c>
      <c r="F73" s="438"/>
      <c r="G73" s="8" t="str">
        <f ca="1">INDEX(Byproduct_EF,MATCH(E73,INDEX(Byproduct_EF,0,2),0),3)</f>
        <v>-</v>
      </c>
      <c r="H73" s="133" t="s">
        <v>331</v>
      </c>
      <c r="I73" s="130"/>
      <c r="J73" s="22">
        <f ca="1">IF(H73="Default",INDEX(Byproduct_EF,MATCH(E73,INDEX(Byproduct_EF,0,2),0),4),I73)</f>
        <v>0</v>
      </c>
      <c r="K73" s="133" t="s">
        <v>331</v>
      </c>
      <c r="L73" s="130"/>
      <c r="M73" s="8">
        <f t="shared" ca="1" si="11"/>
        <v>0</v>
      </c>
      <c r="N73" s="112">
        <v>1</v>
      </c>
      <c r="O73" s="22">
        <f t="shared" ca="1" si="12"/>
        <v>0</v>
      </c>
      <c r="P73" s="31">
        <f t="shared" ca="1" si="13"/>
        <v>0</v>
      </c>
      <c r="W73" s="88"/>
    </row>
    <row r="74" spans="1:23" ht="15.75" customHeight="1">
      <c r="A74" s="5" t="s">
        <v>374</v>
      </c>
      <c r="B74" s="439"/>
      <c r="C74" s="8" t="s">
        <v>61</v>
      </c>
      <c r="D74" s="29">
        <v>0</v>
      </c>
      <c r="E74" s="437" t="s">
        <v>370</v>
      </c>
      <c r="F74" s="438"/>
      <c r="G74" s="8" t="str">
        <f ca="1">INDEX(Byproduct_EF,MATCH(E74,INDEX(Byproduct_EF,0,2),0),3)</f>
        <v>-</v>
      </c>
      <c r="H74" s="133" t="s">
        <v>331</v>
      </c>
      <c r="I74" s="130"/>
      <c r="J74" s="22">
        <f ca="1">IF(H74="Default",INDEX(Byproduct_EF,MATCH(E74,INDEX(Byproduct_EF,0,2),0),4),I74)</f>
        <v>0</v>
      </c>
      <c r="K74" s="133" t="s">
        <v>331</v>
      </c>
      <c r="L74" s="130"/>
      <c r="M74" s="8">
        <f t="shared" ca="1" si="11"/>
        <v>0</v>
      </c>
      <c r="N74" s="112">
        <v>1</v>
      </c>
      <c r="O74" s="22">
        <f t="shared" ca="1" si="12"/>
        <v>0</v>
      </c>
      <c r="P74" s="31">
        <f t="shared" ca="1" si="13"/>
        <v>0</v>
      </c>
    </row>
    <row r="75" spans="1:23" ht="15.75" customHeight="1">
      <c r="A75" s="5" t="s">
        <v>376</v>
      </c>
      <c r="B75" s="439"/>
      <c r="C75" s="8" t="s">
        <v>61</v>
      </c>
      <c r="D75" s="29">
        <v>0</v>
      </c>
      <c r="E75" s="437" t="s">
        <v>370</v>
      </c>
      <c r="F75" s="438"/>
      <c r="G75" s="8" t="str">
        <f ca="1">INDEX(Byproduct_EF,MATCH(E75,INDEX(Byproduct_EF,0,2),0),3)</f>
        <v>-</v>
      </c>
      <c r="H75" s="133" t="s">
        <v>331</v>
      </c>
      <c r="I75" s="130"/>
      <c r="J75" s="22">
        <f ca="1">IF(H75="Default",INDEX(Byproduct_EF,MATCH(E75,INDEX(Byproduct_EF,0,2),0),4),I75)</f>
        <v>0</v>
      </c>
      <c r="K75" s="133" t="s">
        <v>331</v>
      </c>
      <c r="L75" s="130"/>
      <c r="M75" s="8">
        <f t="shared" ca="1" si="11"/>
        <v>0</v>
      </c>
      <c r="N75" s="112">
        <v>1</v>
      </c>
      <c r="O75" s="22">
        <f t="shared" ca="1" si="12"/>
        <v>0</v>
      </c>
      <c r="P75" s="31">
        <f t="shared" ca="1" si="13"/>
        <v>0</v>
      </c>
    </row>
    <row r="76" spans="1:23" ht="15.75" customHeight="1">
      <c r="A76" s="5" t="s">
        <v>377</v>
      </c>
      <c r="B76" s="139" t="s">
        <v>378</v>
      </c>
      <c r="C76" s="8" t="s">
        <v>61</v>
      </c>
      <c r="D76" s="29">
        <v>0</v>
      </c>
      <c r="E76" s="437" t="s">
        <v>370</v>
      </c>
      <c r="F76" s="438"/>
      <c r="G76" s="8" t="str">
        <f ca="1">INDEX(Byproduct_EF,MATCH(E76,INDEX(Byproduct_EF,0,2),0),3)</f>
        <v>-</v>
      </c>
      <c r="H76" s="133" t="s">
        <v>331</v>
      </c>
      <c r="I76" s="130"/>
      <c r="J76" s="22">
        <f ca="1">IF(H76="Default",INDEX(Byproduct_EF,MATCH(E76,INDEX(Byproduct_EF,0,2),0),4),I76)</f>
        <v>0</v>
      </c>
      <c r="K76" s="133" t="s">
        <v>331</v>
      </c>
      <c r="L76" s="130"/>
      <c r="M76" s="8">
        <f t="shared" ca="1" si="11"/>
        <v>0</v>
      </c>
      <c r="N76" s="112">
        <v>1</v>
      </c>
      <c r="O76" s="22">
        <f t="shared" ca="1" si="12"/>
        <v>0</v>
      </c>
      <c r="P76" s="31">
        <f t="shared" ca="1" si="13"/>
        <v>0</v>
      </c>
    </row>
    <row r="77" spans="1:23" ht="15.75" customHeight="1">
      <c r="A77" s="5" t="s">
        <v>379</v>
      </c>
      <c r="B77" s="448" t="s">
        <v>380</v>
      </c>
      <c r="C77" s="8" t="s">
        <v>239</v>
      </c>
      <c r="D77" s="29">
        <v>100000</v>
      </c>
      <c r="E77" s="437" t="s">
        <v>356</v>
      </c>
      <c r="F77" s="438"/>
      <c r="G77" s="8" t="str">
        <f ca="1">INDEX(Byproduct_EF,MATCH(E77,INDEX(Byproduct_EF,0,2),0),3)</f>
        <v>MWh</v>
      </c>
      <c r="H77" s="133" t="s">
        <v>285</v>
      </c>
      <c r="I77" s="130"/>
      <c r="J77" s="22">
        <f ca="1">IF(H77="Default",INDEX(Byproduct_EF,MATCH(E77,INDEX(Byproduct_EF,0,2),0),4),I77)</f>
        <v>0</v>
      </c>
      <c r="K77" s="133" t="s">
        <v>331</v>
      </c>
      <c r="L77" s="112">
        <v>2.1</v>
      </c>
      <c r="M77" s="8">
        <f t="shared" ca="1" si="11"/>
        <v>2.1</v>
      </c>
      <c r="N77" s="112">
        <v>1</v>
      </c>
      <c r="O77" s="22">
        <f t="shared" ca="1" si="12"/>
        <v>2.1</v>
      </c>
      <c r="P77" s="31">
        <f t="shared" ca="1" si="13"/>
        <v>210000</v>
      </c>
    </row>
    <row r="78" spans="1:23" ht="15.75" customHeight="1">
      <c r="A78" s="5" t="s">
        <v>323</v>
      </c>
      <c r="B78" s="428"/>
      <c r="C78" s="8" t="s">
        <v>358</v>
      </c>
      <c r="D78" s="29">
        <v>0</v>
      </c>
      <c r="E78" s="437" t="s">
        <v>442</v>
      </c>
      <c r="F78" s="438"/>
      <c r="G78" s="8" t="str">
        <f ca="1">INDEX(Byproduct_EF,MATCH(E78,INDEX(Byproduct_EF,0,2),0),3)</f>
        <v>GJ</v>
      </c>
      <c r="H78" s="133" t="s">
        <v>285</v>
      </c>
      <c r="I78" s="130"/>
      <c r="J78" s="22">
        <f ca="1">IF(H78="Default",INDEX(Byproduct_EF,MATCH(E78,INDEX(Byproduct_EF,0,2),0),4),I78)</f>
        <v>0.13075611083282368</v>
      </c>
      <c r="K78" s="133" t="s">
        <v>331</v>
      </c>
      <c r="L78" s="130"/>
      <c r="M78" s="8">
        <f t="shared" ca="1" si="11"/>
        <v>0</v>
      </c>
      <c r="N78" s="112">
        <v>1</v>
      </c>
      <c r="O78" s="22">
        <f t="shared" ca="1" si="12"/>
        <v>-0.13075611083282368</v>
      </c>
      <c r="P78" s="31">
        <f t="shared" ca="1" si="13"/>
        <v>0</v>
      </c>
    </row>
    <row r="79" spans="1:23" ht="15.75" customHeight="1">
      <c r="A79" s="5" t="s">
        <v>443</v>
      </c>
      <c r="B79" s="448" t="s">
        <v>363</v>
      </c>
      <c r="C79" s="8" t="s">
        <v>61</v>
      </c>
      <c r="D79" s="29">
        <v>569000</v>
      </c>
      <c r="E79" s="437" t="s">
        <v>370</v>
      </c>
      <c r="F79" s="438"/>
      <c r="G79" s="8" t="str">
        <f ca="1">INDEX(Byproduct_EF,MATCH(E79,INDEX(Byproduct_EF,0,2),0),3)</f>
        <v>-</v>
      </c>
      <c r="H79" s="133" t="s">
        <v>331</v>
      </c>
      <c r="I79" s="130"/>
      <c r="J79" s="22">
        <f ca="1">IF(H79="Default",INDEX(Byproduct_EF,MATCH(E79,INDEX(Byproduct_EF,0,2),0),4),I79)</f>
        <v>0</v>
      </c>
      <c r="K79" s="133" t="s">
        <v>331</v>
      </c>
      <c r="L79" s="130"/>
      <c r="M79" s="8">
        <f t="shared" ca="1" si="11"/>
        <v>0</v>
      </c>
      <c r="N79" s="112">
        <v>1</v>
      </c>
      <c r="O79" s="22">
        <f t="shared" ca="1" si="12"/>
        <v>0</v>
      </c>
      <c r="P79" s="31">
        <f t="shared" ca="1" si="13"/>
        <v>0</v>
      </c>
    </row>
    <row r="80" spans="1:23" ht="15.75" customHeight="1">
      <c r="A80" s="5" t="s">
        <v>382</v>
      </c>
      <c r="B80" s="448"/>
      <c r="C80" s="8" t="s">
        <v>61</v>
      </c>
      <c r="D80" s="29">
        <v>240000</v>
      </c>
      <c r="E80" s="437" t="s">
        <v>370</v>
      </c>
      <c r="F80" s="438"/>
      <c r="G80" s="8" t="str">
        <f ca="1">INDEX(Byproduct_EF,MATCH(E80,INDEX(Byproduct_EF,0,2),0),3)</f>
        <v>-</v>
      </c>
      <c r="H80" s="133" t="s">
        <v>331</v>
      </c>
      <c r="I80" s="130"/>
      <c r="J80" s="22">
        <f ca="1">IF(H80="Default",INDEX(Byproduct_EF,MATCH(E80,INDEX(Byproduct_EF,0,2),0),4),I80)</f>
        <v>0</v>
      </c>
      <c r="K80" s="133" t="s">
        <v>331</v>
      </c>
      <c r="L80" s="130"/>
      <c r="M80" s="8">
        <f t="shared" ca="1" si="11"/>
        <v>0</v>
      </c>
      <c r="N80" s="112">
        <v>1</v>
      </c>
      <c r="O80" s="22">
        <f t="shared" ca="1" si="12"/>
        <v>0</v>
      </c>
      <c r="P80" s="31">
        <f t="shared" ca="1" si="13"/>
        <v>0</v>
      </c>
      <c r="W80" s="88"/>
    </row>
    <row r="81" spans="1:23" ht="15.75" customHeight="1">
      <c r="A81" s="6" t="s">
        <v>383</v>
      </c>
      <c r="B81" s="448"/>
      <c r="C81" s="119" t="s">
        <v>61</v>
      </c>
      <c r="D81" s="126">
        <v>0</v>
      </c>
      <c r="E81" s="479" t="s">
        <v>370</v>
      </c>
      <c r="F81" s="480"/>
      <c r="G81" s="119" t="str">
        <f ca="1">INDEX(Byproduct_EF,MATCH(E81,INDEX(Byproduct_EF,0,2),0),3)</f>
        <v>-</v>
      </c>
      <c r="H81" s="135" t="s">
        <v>331</v>
      </c>
      <c r="I81" s="131"/>
      <c r="J81" s="138">
        <f ca="1">IF(H81="Default",INDEX(Byproduct_EF,MATCH(E81,INDEX(Byproduct_EF,0,2),0),4),I81)</f>
        <v>0</v>
      </c>
      <c r="K81" s="135" t="s">
        <v>331</v>
      </c>
      <c r="L81" s="131"/>
      <c r="M81" s="119">
        <f t="shared" ca="1" si="11"/>
        <v>0</v>
      </c>
      <c r="N81" s="134">
        <v>1</v>
      </c>
      <c r="O81" s="138">
        <f t="shared" ca="1" si="12"/>
        <v>0</v>
      </c>
      <c r="P81" s="146">
        <f t="shared" ca="1" si="13"/>
        <v>0</v>
      </c>
      <c r="W81" s="88"/>
    </row>
    <row r="82" spans="1:23" ht="15.75" customHeight="1">
      <c r="D82" t="s">
        <v>384</v>
      </c>
      <c r="E82" s="88"/>
    </row>
    <row r="83" spans="1:23" ht="15.75" customHeight="1">
      <c r="E83" s="88"/>
    </row>
    <row r="84" spans="1:23" ht="15.75" customHeight="1">
      <c r="E84" s="88"/>
    </row>
    <row r="85" spans="1:23" ht="33.950000000000003" customHeight="1">
      <c r="A85" s="120" t="s">
        <v>444</v>
      </c>
      <c r="B85" s="121"/>
      <c r="C85" s="121"/>
      <c r="D85" s="122" t="str">
        <f t="shared" ref="D85:I85" si="14">D21</f>
        <v>Mining/Fuel Extraction</v>
      </c>
      <c r="E85" s="122" t="str">
        <f t="shared" si="14"/>
        <v>Raw Material Processing</v>
      </c>
      <c r="F85" s="122" t="str">
        <f t="shared" si="14"/>
        <v>Iron- and Steel-making</v>
      </c>
      <c r="G85" s="122" t="str">
        <f t="shared" si="14"/>
        <v>Hot Rolling</v>
      </c>
      <c r="H85" s="123" t="str">
        <f t="shared" si="14"/>
        <v>Downstream Processing</v>
      </c>
      <c r="I85" s="123" t="str">
        <f t="shared" si="14"/>
        <v>Not Used</v>
      </c>
    </row>
    <row r="86" spans="1:23" ht="15.95">
      <c r="A86" s="64" t="s">
        <v>415</v>
      </c>
      <c r="B86" s="1" t="s">
        <v>219</v>
      </c>
      <c r="C86" s="1" t="s">
        <v>445</v>
      </c>
      <c r="D86" s="43">
        <f t="shared" ref="D86:I86" ca="1" si="15">SUMPRODUCT(D22:D60,$M$22:$M$60)/$B$4</f>
        <v>0</v>
      </c>
      <c r="E86" s="43">
        <f t="shared" ca="1" si="15"/>
        <v>1.188343137254902</v>
      </c>
      <c r="F86" s="43">
        <f t="shared" ca="1" si="15"/>
        <v>0.68234166666666662</v>
      </c>
      <c r="G86" s="43">
        <f t="shared" ca="1" si="15"/>
        <v>6.5041348104228429E-5</v>
      </c>
      <c r="H86" s="43">
        <f t="shared" ca="1" si="15"/>
        <v>0</v>
      </c>
      <c r="I86" s="43">
        <f t="shared" ca="1" si="15"/>
        <v>0</v>
      </c>
    </row>
    <row r="87" spans="1:23" ht="15.95">
      <c r="A87" s="64" t="s">
        <v>417</v>
      </c>
      <c r="B87" s="1" t="s">
        <v>219</v>
      </c>
      <c r="C87" s="1" t="s">
        <v>445</v>
      </c>
      <c r="D87" s="43">
        <f t="shared" ref="D87:I87" ca="1" si="16">SUMPRODUCT(D22:D60,$R$22:$R$60)/$B$4</f>
        <v>0</v>
      </c>
      <c r="E87" s="43">
        <f t="shared" ca="1" si="16"/>
        <v>0.14941176470588236</v>
      </c>
      <c r="F87" s="43">
        <f t="shared" ca="1" si="16"/>
        <v>0.29133333333333333</v>
      </c>
      <c r="G87" s="43">
        <f t="shared" ca="1" si="16"/>
        <v>1.9084580577793248E-5</v>
      </c>
      <c r="H87" s="43">
        <f t="shared" ca="1" si="16"/>
        <v>0</v>
      </c>
      <c r="I87" s="43">
        <f t="shared" ca="1" si="16"/>
        <v>0</v>
      </c>
    </row>
    <row r="88" spans="1:23" ht="15.95">
      <c r="A88" s="65" t="s">
        <v>391</v>
      </c>
      <c r="B88" s="66" t="s">
        <v>219</v>
      </c>
      <c r="C88" s="66" t="s">
        <v>445</v>
      </c>
      <c r="D88" s="67">
        <f ca="1">SUM(D86:D87)</f>
        <v>0</v>
      </c>
      <c r="E88" s="67">
        <f t="shared" ref="E88:I88" ca="1" si="17">SUM(E86:E87)</f>
        <v>1.3377549019607844</v>
      </c>
      <c r="F88" s="67">
        <f t="shared" ca="1" si="17"/>
        <v>0.97367499999999996</v>
      </c>
      <c r="G88" s="67">
        <f t="shared" ca="1" si="17"/>
        <v>8.4125928682021676E-5</v>
      </c>
      <c r="H88" s="67">
        <f t="shared" ca="1" si="17"/>
        <v>0</v>
      </c>
      <c r="I88" s="67">
        <f t="shared" ca="1" si="17"/>
        <v>0</v>
      </c>
    </row>
    <row r="89" spans="1:23" ht="15.95">
      <c r="B89" s="1"/>
      <c r="C89" s="1"/>
      <c r="D89" s="21"/>
      <c r="E89" s="21"/>
      <c r="F89" s="21"/>
      <c r="G89" s="21"/>
      <c r="H89" s="21"/>
      <c r="I89" s="21"/>
    </row>
    <row r="90" spans="1:23" ht="33.950000000000003" customHeight="1">
      <c r="A90" s="120" t="s">
        <v>446</v>
      </c>
      <c r="B90" s="121"/>
      <c r="C90" s="121"/>
      <c r="D90" s="122" t="str">
        <f t="shared" ref="D90:I90" si="18">D21</f>
        <v>Mining/Fuel Extraction</v>
      </c>
      <c r="E90" s="122" t="str">
        <f t="shared" si="18"/>
        <v>Raw Material Processing</v>
      </c>
      <c r="F90" s="122" t="str">
        <f t="shared" si="18"/>
        <v>Iron- and Steel-making</v>
      </c>
      <c r="G90" s="122" t="str">
        <f t="shared" si="18"/>
        <v>Hot Rolling</v>
      </c>
      <c r="H90" s="123" t="str">
        <f t="shared" si="18"/>
        <v>Downstream Processing</v>
      </c>
      <c r="I90" s="123" t="str">
        <f t="shared" si="18"/>
        <v>Not Used</v>
      </c>
    </row>
    <row r="91" spans="1:23" ht="15.95">
      <c r="A91" s="62" t="s">
        <v>415</v>
      </c>
      <c r="B91" s="63" t="s">
        <v>219</v>
      </c>
      <c r="C91" s="63" t="s">
        <v>447</v>
      </c>
      <c r="D91" s="105">
        <f t="shared" ref="D91:I91" ca="1" si="19">SUMPRODUCT(D22:D60,$M$22:$M$60)</f>
        <v>0</v>
      </c>
      <c r="E91" s="105">
        <f t="shared" ca="1" si="19"/>
        <v>2424220</v>
      </c>
      <c r="F91" s="105">
        <f t="shared" ca="1" si="19"/>
        <v>1391977</v>
      </c>
      <c r="G91" s="105">
        <f t="shared" ca="1" si="19"/>
        <v>132.68435013262601</v>
      </c>
      <c r="H91" s="105">
        <f t="shared" ca="1" si="19"/>
        <v>0</v>
      </c>
      <c r="I91" s="105">
        <f t="shared" ca="1" si="19"/>
        <v>0</v>
      </c>
    </row>
    <row r="92" spans="1:23" ht="15.95">
      <c r="A92" s="64" t="s">
        <v>417</v>
      </c>
      <c r="B92" s="1" t="s">
        <v>219</v>
      </c>
      <c r="C92" s="1" t="s">
        <v>447</v>
      </c>
      <c r="D92" s="106">
        <f t="shared" ref="D92:I92" ca="1" si="20">SUMPRODUCT(D22:D60,$R$22:$R$60)</f>
        <v>0</v>
      </c>
      <c r="E92" s="106">
        <f t="shared" ca="1" si="20"/>
        <v>304800</v>
      </c>
      <c r="F92" s="106">
        <f t="shared" ca="1" si="20"/>
        <v>594320</v>
      </c>
      <c r="G92" s="106">
        <f t="shared" ca="1" si="20"/>
        <v>38.932544378698225</v>
      </c>
      <c r="H92" s="106">
        <f t="shared" ca="1" si="20"/>
        <v>0</v>
      </c>
      <c r="I92" s="106">
        <f t="shared" ca="1" si="20"/>
        <v>0</v>
      </c>
    </row>
    <row r="93" spans="1:23" ht="15.95">
      <c r="A93" s="65" t="s">
        <v>391</v>
      </c>
      <c r="B93" s="66" t="s">
        <v>219</v>
      </c>
      <c r="C93" s="66" t="s">
        <v>447</v>
      </c>
      <c r="D93" s="107">
        <f t="shared" ref="D93:I93" ca="1" si="21">SUM(D91:D92)</f>
        <v>0</v>
      </c>
      <c r="E93" s="107">
        <f t="shared" ca="1" si="21"/>
        <v>2729020</v>
      </c>
      <c r="F93" s="107">
        <f t="shared" ca="1" si="21"/>
        <v>1986297</v>
      </c>
      <c r="G93" s="107">
        <f t="shared" ca="1" si="21"/>
        <v>171.61689451132423</v>
      </c>
      <c r="H93" s="107">
        <f t="shared" ca="1" si="21"/>
        <v>0</v>
      </c>
      <c r="I93" s="107">
        <f t="shared" ca="1" si="21"/>
        <v>0</v>
      </c>
    </row>
    <row r="94" spans="1:23" ht="15.95">
      <c r="S94" s="37"/>
      <c r="T94" s="1"/>
    </row>
    <row r="95" spans="1:23" ht="15.95">
      <c r="A95" s="444" t="s">
        <v>212</v>
      </c>
      <c r="B95" s="445"/>
      <c r="C95" s="446"/>
    </row>
    <row r="96" spans="1:23" ht="15.95">
      <c r="A96" s="92" t="s">
        <v>215</v>
      </c>
      <c r="B96" s="92" t="s">
        <v>216</v>
      </c>
      <c r="C96" s="92" t="s">
        <v>217</v>
      </c>
      <c r="S96" s="1"/>
      <c r="T96" s="1"/>
    </row>
    <row r="97" spans="1:20" ht="15.95">
      <c r="A97" s="33" t="s">
        <v>220</v>
      </c>
      <c r="B97" s="41">
        <v>19</v>
      </c>
      <c r="C97" s="36">
        <v>500</v>
      </c>
      <c r="S97" s="1"/>
      <c r="T97" s="1"/>
    </row>
    <row r="98" spans="1:20" ht="15.95">
      <c r="A98" s="33" t="s">
        <v>222</v>
      </c>
      <c r="B98" s="41">
        <v>3.3</v>
      </c>
      <c r="C98" s="36">
        <v>500</v>
      </c>
      <c r="S98" s="1"/>
      <c r="T98" s="1"/>
    </row>
    <row r="99" spans="1:20" ht="15.95">
      <c r="A99" s="34" t="s">
        <v>225</v>
      </c>
      <c r="B99" s="42">
        <v>8.4</v>
      </c>
      <c r="C99" s="38">
        <v>500</v>
      </c>
    </row>
    <row r="100" spans="1:20" ht="15.95">
      <c r="R100" s="1"/>
      <c r="S100" s="1"/>
      <c r="T100" s="1"/>
    </row>
    <row r="101" spans="1:20" ht="15.95">
      <c r="A101" s="444" t="s">
        <v>227</v>
      </c>
      <c r="B101" s="445"/>
      <c r="C101" s="446"/>
      <c r="R101" s="1"/>
      <c r="T101" s="1"/>
    </row>
    <row r="102" spans="1:20" ht="15.95">
      <c r="A102" s="34" t="s">
        <v>232</v>
      </c>
      <c r="B102" s="34" t="s">
        <v>233</v>
      </c>
      <c r="C102" s="34" t="s">
        <v>234</v>
      </c>
      <c r="R102" s="1"/>
      <c r="S102" s="37"/>
      <c r="T102" s="18"/>
    </row>
    <row r="103" spans="1:20" ht="15.95">
      <c r="A103" s="33" t="s">
        <v>236</v>
      </c>
      <c r="B103" s="40">
        <v>0.37</v>
      </c>
      <c r="C103" s="33" t="s">
        <v>197</v>
      </c>
      <c r="R103" s="1"/>
      <c r="S103" s="37"/>
      <c r="T103" s="18"/>
    </row>
    <row r="104" spans="1:20" ht="15.95">
      <c r="A104" s="33" t="s">
        <v>238</v>
      </c>
      <c r="B104" s="161">
        <f>SUMPRODUCT(B97:B99,C97:C99)*B103/1000/3.6</f>
        <v>1.5776388888888888</v>
      </c>
      <c r="C104" s="33" t="s">
        <v>239</v>
      </c>
      <c r="R104" s="1"/>
      <c r="S104" s="37"/>
      <c r="T104" s="18"/>
    </row>
    <row r="105" spans="1:20" ht="15.95">
      <c r="A105" s="33" t="s">
        <v>240</v>
      </c>
      <c r="B105" s="163">
        <v>3.1</v>
      </c>
      <c r="C105" s="33" t="s">
        <v>239</v>
      </c>
      <c r="R105" s="1"/>
      <c r="S105" s="37"/>
      <c r="T105" s="18"/>
    </row>
    <row r="106" spans="1:20" ht="15.95">
      <c r="A106" s="34" t="s">
        <v>242</v>
      </c>
      <c r="B106" s="162">
        <f>B105-B104</f>
        <v>1.5223611111111113</v>
      </c>
      <c r="C106" s="34" t="s">
        <v>239</v>
      </c>
      <c r="R106" s="1"/>
      <c r="S106" s="37"/>
      <c r="T106" s="18"/>
    </row>
    <row r="107" spans="1:20" ht="15.95">
      <c r="A107" s="37" t="s">
        <v>448</v>
      </c>
      <c r="B107" s="1"/>
      <c r="C107" s="1"/>
    </row>
    <row r="108" spans="1:20" ht="15.95">
      <c r="T108" s="86"/>
    </row>
    <row r="109" spans="1:20" ht="15.95">
      <c r="J109" s="443"/>
      <c r="K109" s="443"/>
      <c r="L109" s="443"/>
      <c r="M109" s="443"/>
      <c r="N109" s="443"/>
    </row>
    <row r="110" spans="1:20" ht="20.25" customHeight="1">
      <c r="A110" t="s">
        <v>12</v>
      </c>
      <c r="H110" s="78"/>
      <c r="I110" s="78"/>
    </row>
    <row r="111" spans="1:20" ht="20.25" customHeight="1">
      <c r="A111" s="409" t="s">
        <v>422</v>
      </c>
      <c r="B111" s="409"/>
      <c r="C111" s="409"/>
      <c r="D111" s="409"/>
      <c r="E111" s="409"/>
      <c r="H111" s="78"/>
      <c r="I111" s="78"/>
      <c r="K111" s="88"/>
      <c r="M111" s="18"/>
    </row>
    <row r="112" spans="1:20" ht="20.25" customHeight="1">
      <c r="A112" s="409" t="s">
        <v>449</v>
      </c>
      <c r="B112" s="409"/>
      <c r="C112" s="409"/>
      <c r="D112" s="409"/>
      <c r="E112" s="409"/>
      <c r="M112" s="18"/>
    </row>
    <row r="113" spans="1:14" ht="20.25" customHeight="1">
      <c r="A113" s="409" t="s">
        <v>424</v>
      </c>
      <c r="B113" s="409"/>
      <c r="C113" s="409"/>
      <c r="D113" s="409"/>
      <c r="E113" s="409"/>
      <c r="L113" s="443"/>
      <c r="M113" s="443"/>
      <c r="N113" s="443"/>
    </row>
    <row r="114" spans="1:14" ht="20.25" customHeight="1">
      <c r="A114" s="497" t="s">
        <v>425</v>
      </c>
      <c r="B114" s="497"/>
      <c r="C114" s="497"/>
      <c r="D114" s="497"/>
      <c r="E114" s="497"/>
      <c r="F114" s="497"/>
      <c r="G114" s="497"/>
      <c r="H114" s="497"/>
    </row>
    <row r="115" spans="1:14" ht="20.25" customHeight="1">
      <c r="A115" s="246" t="s">
        <v>450</v>
      </c>
      <c r="F115" s="88"/>
    </row>
    <row r="116" spans="1:14" ht="20.25" customHeight="1">
      <c r="D116" s="110"/>
    </row>
    <row r="117" spans="1:14" ht="20.25" customHeight="1">
      <c r="D117" s="110"/>
    </row>
    <row r="118" spans="1:14" ht="20.25" customHeight="1">
      <c r="F118" s="84"/>
    </row>
    <row r="119" spans="1:14" ht="15.75" customHeight="1">
      <c r="F119" s="124"/>
      <c r="G119" s="78"/>
    </row>
  </sheetData>
  <mergeCells count="54">
    <mergeCell ref="A114:H114"/>
    <mergeCell ref="A95:C95"/>
    <mergeCell ref="A101:C101"/>
    <mergeCell ref="J109:N109"/>
    <mergeCell ref="A111:E111"/>
    <mergeCell ref="A112:E112"/>
    <mergeCell ref="A113:E113"/>
    <mergeCell ref="L113:N113"/>
    <mergeCell ref="E76:F76"/>
    <mergeCell ref="B77:B78"/>
    <mergeCell ref="E77:F77"/>
    <mergeCell ref="E78:F78"/>
    <mergeCell ref="B79:B81"/>
    <mergeCell ref="E79:F79"/>
    <mergeCell ref="E80:F80"/>
    <mergeCell ref="E81:F81"/>
    <mergeCell ref="B71:B75"/>
    <mergeCell ref="E71:F71"/>
    <mergeCell ref="E72:F72"/>
    <mergeCell ref="E73:F73"/>
    <mergeCell ref="E74:F74"/>
    <mergeCell ref="E75:F75"/>
    <mergeCell ref="B65:B67"/>
    <mergeCell ref="E65:F65"/>
    <mergeCell ref="E66:F66"/>
    <mergeCell ref="E67:F67"/>
    <mergeCell ref="B68:B70"/>
    <mergeCell ref="E68:F68"/>
    <mergeCell ref="E69:F69"/>
    <mergeCell ref="E70:F70"/>
    <mergeCell ref="B49:B56"/>
    <mergeCell ref="B57:B59"/>
    <mergeCell ref="P61:Q61"/>
    <mergeCell ref="A63:C63"/>
    <mergeCell ref="E63:H63"/>
    <mergeCell ref="I63:P63"/>
    <mergeCell ref="T20:T21"/>
    <mergeCell ref="B22:B26"/>
    <mergeCell ref="B27:B33"/>
    <mergeCell ref="B34:B38"/>
    <mergeCell ref="B39:B43"/>
    <mergeCell ref="K20:N20"/>
    <mergeCell ref="O20:S20"/>
    <mergeCell ref="B44:B48"/>
    <mergeCell ref="A12:B12"/>
    <mergeCell ref="A13:B13"/>
    <mergeCell ref="A20:C20"/>
    <mergeCell ref="D20:J20"/>
    <mergeCell ref="A11:B11"/>
    <mergeCell ref="B4:C4"/>
    <mergeCell ref="B5:C5"/>
    <mergeCell ref="A8:B8"/>
    <mergeCell ref="A9:B9"/>
    <mergeCell ref="A10:B10"/>
  </mergeCells>
  <dataValidations count="11">
    <dataValidation type="list" allowBlank="1" showInputMessage="1" showErrorMessage="1" sqref="O22:O61" xr:uid="{821EAE0A-B7D0-46A7-8829-C946963DE690}">
      <formula1>"Default,Site Specific,Included"</formula1>
    </dataValidation>
    <dataValidation type="list" allowBlank="1" showInputMessage="1" showErrorMessage="1" sqref="C13" xr:uid="{B12BA9FC-0957-4D14-9472-904D7766BB3A}">
      <formula1>"Not Applicable,Carbon Capture &amp; Storage,Carbon Capture &amp; Use,Renewable Hydrogen,Renewable Electricity,Bioenergy"</formula1>
    </dataValidation>
    <dataValidation type="list" allowBlank="1" showInputMessage="1" showErrorMessage="1" sqref="K12" xr:uid="{6BF5AC81-FDE1-4A4F-B38F-0FEE2E528756}">
      <formula1>INDEX(Electricity_EF,0,1)</formula1>
    </dataValidation>
    <dataValidation type="list" allowBlank="1" showInputMessage="1" showErrorMessage="1" sqref="K11" xr:uid="{4B7A4CD0-38A3-4F56-9CD4-2A21127D9384}">
      <formula1>"Country,Global,Site Specific"</formula1>
    </dataValidation>
    <dataValidation type="list" allowBlank="1" showInputMessage="1" showErrorMessage="1" sqref="E65:F65" xr:uid="{79C4311A-A794-44B6-B34C-C6FE69B659D7}">
      <formula1>_xlfn.DROP(INDEX(Byproduct_EF,0,2),1)</formula1>
    </dataValidation>
    <dataValidation type="list" allowBlank="1" showInputMessage="1" showErrorMessage="1" sqref="E66:F81" xr:uid="{2AC368DA-D111-4A7F-9395-B2A814DE249A}">
      <formula1>INDEX(Byproduct_EF,0,2)</formula1>
    </dataValidation>
    <dataValidation type="list" allowBlank="1" showInputMessage="1" showErrorMessage="1" sqref="B3" xr:uid="{368CDD82-2C7B-4E09-BE98-3128B57193C5}">
      <formula1>"Hot Rolled Product (HRP),Crude Steel"</formula1>
    </dataValidation>
    <dataValidation type="list" allowBlank="1" showInputMessage="1" showErrorMessage="1" sqref="O97:O99" xr:uid="{E31C1FDC-52A3-43DE-B1E2-65C10C7DE768}">
      <formula1>"Cement or clinker production, Aggregate or roadstone, Fertiliser"</formula1>
    </dataValidation>
    <dataValidation type="list" allowBlank="1" showInputMessage="1" showErrorMessage="1" sqref="D17:I18" xr:uid="{21A9A4ED-7A6C-4A21-8774-442503B049B9}">
      <formula1>"TRUE,FALSE"</formula1>
    </dataValidation>
    <dataValidation type="list" allowBlank="1" showInputMessage="1" showErrorMessage="1" sqref="A44:A48" xr:uid="{E6FC0F5C-781D-43A2-9E96-C780D1930085}">
      <formula1>INDEX(Ferroalloys,0,1)</formula1>
    </dataValidation>
    <dataValidation type="list" allowBlank="1" showInputMessage="1" showErrorMessage="1" sqref="H65:H81 K65:K81 K22:K61" xr:uid="{D2085154-87B9-4D38-A1FB-6A6B02987CDD}">
      <formula1>"Default,Site Specific"</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E8B16A-7A8D-FF4F-A9E2-95DC3847D755}">
  <dimension ref="A1:W122"/>
  <sheetViews>
    <sheetView topLeftCell="A90" zoomScaleNormal="100" workbookViewId="0">
      <selection activeCell="J108" sqref="J108"/>
    </sheetView>
  </sheetViews>
  <sheetFormatPr defaultColWidth="11" defaultRowHeight="15.75" customHeight="1"/>
  <cols>
    <col min="1" max="1" width="30.625" customWidth="1"/>
    <col min="2" max="9" width="15.875" customWidth="1"/>
    <col min="10" max="10" width="26.125" customWidth="1"/>
    <col min="11" max="22" width="15.875" customWidth="1"/>
  </cols>
  <sheetData>
    <row r="1" spans="1:12" ht="15.95">
      <c r="A1" s="113" t="s">
        <v>427</v>
      </c>
    </row>
    <row r="2" spans="1:12" ht="15.75" customHeight="1">
      <c r="F2" s="73" t="s">
        <v>166</v>
      </c>
      <c r="G2" s="77"/>
      <c r="H2" s="74"/>
      <c r="J2" s="73" t="s">
        <v>198</v>
      </c>
      <c r="K2" s="74"/>
    </row>
    <row r="3" spans="1:12" ht="15.75" customHeight="1">
      <c r="A3" s="3" t="s">
        <v>168</v>
      </c>
      <c r="B3" s="458" t="s">
        <v>428</v>
      </c>
      <c r="C3" s="459"/>
      <c r="F3" s="5" t="s">
        <v>171</v>
      </c>
      <c r="G3" s="9" t="s">
        <v>172</v>
      </c>
      <c r="H3" s="10" t="s">
        <v>173</v>
      </c>
      <c r="J3" s="170" t="s">
        <v>451</v>
      </c>
      <c r="K3" s="68">
        <f>SUM(J24:J26)/K8</f>
        <v>0.49586776859504134</v>
      </c>
    </row>
    <row r="4" spans="1:12" ht="15.95">
      <c r="A4" s="3" t="s">
        <v>178</v>
      </c>
      <c r="B4" s="458">
        <v>2040000</v>
      </c>
      <c r="C4" s="459"/>
      <c r="F4" s="4" t="s">
        <v>179</v>
      </c>
      <c r="G4" s="28">
        <f t="shared" ref="G4:G9" si="0">INDEX($J$22:$J$60,MATCH(F4,$A$22:$A$60,0))</f>
        <v>2500000</v>
      </c>
      <c r="H4" s="14">
        <v>0.6</v>
      </c>
      <c r="J4" s="168" t="s">
        <v>452</v>
      </c>
      <c r="K4" s="173">
        <f>J25/SUM(J23:J26)</f>
        <v>0.11764705882352941</v>
      </c>
    </row>
    <row r="5" spans="1:12" ht="15.95">
      <c r="A5" s="3" t="s">
        <v>181</v>
      </c>
      <c r="B5" s="458">
        <v>2000000</v>
      </c>
      <c r="C5" s="459"/>
      <c r="F5" s="5" t="s">
        <v>182</v>
      </c>
      <c r="G5" s="17">
        <f t="shared" si="0"/>
        <v>800000</v>
      </c>
      <c r="H5" s="15">
        <v>0.65</v>
      </c>
      <c r="J5" s="168" t="s">
        <v>453</v>
      </c>
      <c r="K5" s="173">
        <f>J26/SUM(J23:J26)</f>
        <v>0.23529411764705882</v>
      </c>
    </row>
    <row r="6" spans="1:12" ht="15.95">
      <c r="B6" s="18"/>
      <c r="F6" s="5" t="s">
        <v>184</v>
      </c>
      <c r="G6" s="17">
        <f t="shared" si="0"/>
        <v>0</v>
      </c>
      <c r="H6" s="15">
        <v>0.8</v>
      </c>
      <c r="J6" s="171" t="s">
        <v>454</v>
      </c>
      <c r="K6" s="69">
        <f>SUMPRODUCT(H4:H9,G4:G9)</f>
        <v>2020000</v>
      </c>
    </row>
    <row r="7" spans="1:12" ht="15.95">
      <c r="A7" s="142" t="s">
        <v>186</v>
      </c>
      <c r="B7" s="143"/>
      <c r="C7" s="143"/>
      <c r="D7" s="144"/>
      <c r="F7" s="5" t="s">
        <v>187</v>
      </c>
      <c r="G7" s="17">
        <f t="shared" si="0"/>
        <v>0</v>
      </c>
      <c r="H7" s="15">
        <v>0.95</v>
      </c>
      <c r="J7" s="171" t="s">
        <v>206</v>
      </c>
      <c r="K7" s="69">
        <f>J26</f>
        <v>400000</v>
      </c>
    </row>
    <row r="8" spans="1:12" ht="15.95">
      <c r="A8" s="487" t="s">
        <v>189</v>
      </c>
      <c r="B8" s="488"/>
      <c r="C8" s="164" t="e">
        <f ca="1">C17</f>
        <v>#N/A</v>
      </c>
      <c r="D8" s="156" t="str">
        <f>"tCO2e/"&amp;IF(B3="Crude Steel","t crude","t HRP")</f>
        <v>tCO2e/t HRP</v>
      </c>
      <c r="F8" s="5" t="s">
        <v>190</v>
      </c>
      <c r="G8" s="17">
        <f t="shared" si="0"/>
        <v>0</v>
      </c>
      <c r="H8" s="15">
        <v>0.95</v>
      </c>
      <c r="J8" s="172" t="s">
        <v>207</v>
      </c>
      <c r="K8" s="70">
        <f>SUM(K6:K7)</f>
        <v>2420000</v>
      </c>
    </row>
    <row r="9" spans="1:12" ht="15.95">
      <c r="A9" s="470" t="s">
        <v>192</v>
      </c>
      <c r="B9" s="471"/>
      <c r="C9" s="165" t="e">
        <f ca="1">C18+C12</f>
        <v>#N/A</v>
      </c>
      <c r="D9" s="157" t="s">
        <v>193</v>
      </c>
      <c r="F9" s="6" t="s">
        <v>194</v>
      </c>
      <c r="G9" s="32">
        <f t="shared" si="0"/>
        <v>0</v>
      </c>
      <c r="H9" s="19">
        <v>0.95</v>
      </c>
    </row>
    <row r="10" spans="1:12" ht="15.95">
      <c r="A10" s="470" t="s">
        <v>196</v>
      </c>
      <c r="B10" s="471"/>
      <c r="C10" s="166" t="e" cm="1">
        <f t="array" aca="1" ref="C10" ca="1">SUM(N22:N60,(O22:O60="Site Specific")*$S$22:$S$60*$Q$22:$Q$60)/B18</f>
        <v>#N/A</v>
      </c>
      <c r="D10" s="157" t="s">
        <v>197</v>
      </c>
      <c r="J10" s="147" t="s">
        <v>429</v>
      </c>
      <c r="K10" s="148"/>
      <c r="L10" s="149"/>
    </row>
    <row r="11" spans="1:12" ht="15.95" customHeight="1">
      <c r="A11" s="470" t="s">
        <v>107</v>
      </c>
      <c r="B11" s="471"/>
      <c r="C11" s="167">
        <f>K3</f>
        <v>0.49586776859504134</v>
      </c>
      <c r="D11" s="157" t="s">
        <v>197</v>
      </c>
      <c r="F11" s="62" t="s">
        <v>430</v>
      </c>
      <c r="G11" s="53" t="s">
        <v>229</v>
      </c>
      <c r="H11" s="53" t="s">
        <v>230</v>
      </c>
      <c r="J11" s="52" t="s">
        <v>171</v>
      </c>
      <c r="K11" s="150" t="s">
        <v>221</v>
      </c>
      <c r="L11" s="151" t="s">
        <v>219</v>
      </c>
    </row>
    <row r="12" spans="1:12" ht="15.95">
      <c r="A12" s="470" t="s">
        <v>199</v>
      </c>
      <c r="B12" s="471"/>
      <c r="C12" s="165">
        <f ca="1">SUM(P68:P84)/B5</f>
        <v>-0.13415260000000001</v>
      </c>
      <c r="D12" s="157" t="s">
        <v>193</v>
      </c>
      <c r="F12" s="64" t="s">
        <v>235</v>
      </c>
      <c r="G12" s="40">
        <v>1</v>
      </c>
      <c r="H12" s="114">
        <f>1-G12</f>
        <v>0</v>
      </c>
      <c r="J12" s="33" t="s">
        <v>221</v>
      </c>
      <c r="K12" s="41" t="s">
        <v>431</v>
      </c>
      <c r="L12" s="152" t="s">
        <v>219</v>
      </c>
    </row>
    <row r="13" spans="1:12" ht="15.95">
      <c r="A13" s="472" t="s">
        <v>110</v>
      </c>
      <c r="B13" s="472"/>
      <c r="C13" s="489" t="s">
        <v>201</v>
      </c>
      <c r="D13" s="490"/>
      <c r="F13" s="65" t="s">
        <v>237</v>
      </c>
      <c r="G13" s="115">
        <v>1</v>
      </c>
      <c r="H13" s="116">
        <f>1-G13</f>
        <v>0</v>
      </c>
      <c r="J13" s="33" t="s">
        <v>331</v>
      </c>
      <c r="K13" s="41"/>
      <c r="L13" s="152" t="s">
        <v>224</v>
      </c>
    </row>
    <row r="14" spans="1:12" ht="15.95">
      <c r="B14" s="75"/>
      <c r="C14" s="76"/>
      <c r="G14" s="75"/>
      <c r="H14" s="76"/>
      <c r="J14" s="34" t="s">
        <v>223</v>
      </c>
      <c r="K14" s="153">
        <f ca="1">IF(K11="Site Specific",K13,IF(K11="Country",INDEX(Electricity_EF,MATCH(K12,INDEX(Electricity_EF,0,1),0),2),INDEX(Electricity_EF,MATCH("World",INDEX(Electricity_EF,0,1),0),2)))</f>
        <v>0.40106637000000001</v>
      </c>
      <c r="L14" s="154" t="s">
        <v>224</v>
      </c>
    </row>
    <row r="15" spans="1:12" ht="17.100000000000001">
      <c r="A15" s="96" t="s">
        <v>432</v>
      </c>
      <c r="B15" s="18"/>
      <c r="G15" s="75"/>
      <c r="H15" s="76"/>
      <c r="I15" s="76"/>
    </row>
    <row r="16" spans="1:12" ht="33.950000000000003">
      <c r="A16" s="99" t="s">
        <v>247</v>
      </c>
      <c r="B16" s="97" t="s">
        <v>248</v>
      </c>
      <c r="C16" s="97" t="s">
        <v>249</v>
      </c>
      <c r="D16" s="97" t="str">
        <f t="shared" ref="D16:I16" si="1">D21</f>
        <v>Mining/Fuel Extraction</v>
      </c>
      <c r="E16" s="97" t="str">
        <f t="shared" si="1"/>
        <v>Raw Material Processing</v>
      </c>
      <c r="F16" s="97" t="str">
        <f t="shared" si="1"/>
        <v>Iron- and Steel-making</v>
      </c>
      <c r="G16" s="97" t="str">
        <f t="shared" si="1"/>
        <v>Hot Rolling</v>
      </c>
      <c r="H16" s="87" t="str">
        <f t="shared" si="1"/>
        <v>Downstream Processing</v>
      </c>
      <c r="I16" s="87" t="str">
        <f t="shared" si="1"/>
        <v>Not Used</v>
      </c>
    </row>
    <row r="17" spans="1:20" ht="15.95">
      <c r="A17" s="4" t="s">
        <v>259</v>
      </c>
      <c r="B17" s="100" t="e" cm="1">
        <f t="array" aca="1" ref="B17" ca="1">SUMPRODUCT(D17:H17*1,D96:H96)</f>
        <v>#N/A</v>
      </c>
      <c r="C17" s="100" t="e">
        <f ca="1">B17/B4</f>
        <v>#N/A</v>
      </c>
      <c r="D17" s="101" t="b">
        <v>1</v>
      </c>
      <c r="E17" s="102" t="b">
        <v>1</v>
      </c>
      <c r="F17" s="102" t="b">
        <v>1</v>
      </c>
      <c r="G17" s="102" t="b">
        <v>1</v>
      </c>
      <c r="H17" s="102" t="b">
        <v>0</v>
      </c>
      <c r="I17" s="102" t="b">
        <v>0</v>
      </c>
      <c r="J17" t="s">
        <v>433</v>
      </c>
    </row>
    <row r="18" spans="1:20" ht="15.95">
      <c r="A18" s="6" t="s">
        <v>260</v>
      </c>
      <c r="B18" s="103" t="e" cm="1">
        <f t="array" aca="1" ref="B18" ca="1">SUMPRODUCT(D18:H18*1,D96:H96)</f>
        <v>#N/A</v>
      </c>
      <c r="C18" s="103" t="e">
        <f ca="1">B18/B5</f>
        <v>#N/A</v>
      </c>
      <c r="D18" s="104" t="b">
        <v>1</v>
      </c>
      <c r="E18" s="104" t="b">
        <v>1</v>
      </c>
      <c r="F18" s="104" t="b">
        <v>1</v>
      </c>
      <c r="G18" s="104" t="b">
        <v>1</v>
      </c>
      <c r="H18" s="104" t="b">
        <v>1</v>
      </c>
      <c r="I18" s="104" t="b">
        <v>1</v>
      </c>
    </row>
    <row r="19" spans="1:20" ht="15.95"/>
    <row r="20" spans="1:20" ht="16.5" customHeight="1">
      <c r="A20" s="460" t="s">
        <v>264</v>
      </c>
      <c r="B20" s="461"/>
      <c r="C20" s="493"/>
      <c r="D20" s="460" t="s">
        <v>265</v>
      </c>
      <c r="E20" s="461"/>
      <c r="F20" s="461"/>
      <c r="G20" s="461"/>
      <c r="H20" s="461"/>
      <c r="I20" s="461"/>
      <c r="J20" s="461"/>
      <c r="K20" s="460" t="s">
        <v>266</v>
      </c>
      <c r="L20" s="461"/>
      <c r="M20" s="445"/>
      <c r="N20" s="461"/>
      <c r="O20" s="460" t="s">
        <v>267</v>
      </c>
      <c r="P20" s="461"/>
      <c r="Q20" s="461"/>
      <c r="R20" s="461"/>
      <c r="S20" s="461"/>
      <c r="T20" s="425" t="s">
        <v>268</v>
      </c>
    </row>
    <row r="21" spans="1:20" ht="33.950000000000003">
      <c r="A21" s="23" t="s">
        <v>269</v>
      </c>
      <c r="B21" s="24" t="s">
        <v>25</v>
      </c>
      <c r="C21" s="24" t="s">
        <v>234</v>
      </c>
      <c r="D21" s="98" t="s">
        <v>250</v>
      </c>
      <c r="E21" s="98" t="s">
        <v>434</v>
      </c>
      <c r="F21" s="98" t="s">
        <v>435</v>
      </c>
      <c r="G21" s="98" t="s">
        <v>255</v>
      </c>
      <c r="H21" s="98" t="s">
        <v>436</v>
      </c>
      <c r="I21" s="98" t="s">
        <v>437</v>
      </c>
      <c r="J21" s="24" t="s">
        <v>273</v>
      </c>
      <c r="K21" s="24" t="s">
        <v>274</v>
      </c>
      <c r="L21" s="25" t="s">
        <v>275</v>
      </c>
      <c r="M21" s="2" t="s">
        <v>276</v>
      </c>
      <c r="N21" s="24" t="s">
        <v>277</v>
      </c>
      <c r="O21" s="24" t="s">
        <v>278</v>
      </c>
      <c r="P21" s="24" t="s">
        <v>279</v>
      </c>
      <c r="Q21" s="24" t="s">
        <v>280</v>
      </c>
      <c r="R21" s="24" t="s">
        <v>281</v>
      </c>
      <c r="S21" s="25" t="s">
        <v>282</v>
      </c>
      <c r="T21" s="427"/>
    </row>
    <row r="22" spans="1:20" ht="15.95" customHeight="1">
      <c r="A22" s="4" t="s">
        <v>179</v>
      </c>
      <c r="B22" s="449" t="s">
        <v>455</v>
      </c>
      <c r="C22" s="9" t="s">
        <v>61</v>
      </c>
      <c r="D22" s="27"/>
      <c r="E22" s="27">
        <v>2500000</v>
      </c>
      <c r="F22" s="27"/>
      <c r="G22" s="27"/>
      <c r="H22" s="27"/>
      <c r="I22" s="27"/>
      <c r="J22" s="28">
        <f>SUM(D22:I22)</f>
        <v>2500000</v>
      </c>
      <c r="K22" s="11" t="s">
        <v>285</v>
      </c>
      <c r="L22" s="11"/>
      <c r="M22" s="9">
        <f ca="1">IFERROR(IF(K22="Default",INDEX(Direct_EF,MATCH(A22,INDEX(Direct_EF,0,1),0),3),L22),NA())</f>
        <v>3.6999999999999998E-2</v>
      </c>
      <c r="N22" s="28">
        <f ca="1">J22*M22</f>
        <v>92500</v>
      </c>
      <c r="O22" s="111" t="s">
        <v>286</v>
      </c>
      <c r="P22" s="11"/>
      <c r="Q22" s="14">
        <v>1</v>
      </c>
      <c r="R22" s="9">
        <f ca="1">IF(O22="Default",INDEX(Indirect_EF,MATCH(A22,INDEX(Indirect_EF,0,1),0),3),IF(O22="Included",0,P22))</f>
        <v>0</v>
      </c>
      <c r="S22" s="28">
        <f ca="1">R22*J22</f>
        <v>0</v>
      </c>
      <c r="T22" s="30">
        <f ca="1">N22+S22</f>
        <v>92500</v>
      </c>
    </row>
    <row r="23" spans="1:20" ht="33.75" customHeight="1">
      <c r="A23" s="155" t="s">
        <v>456</v>
      </c>
      <c r="B23" s="450"/>
      <c r="C23" s="7" t="s">
        <v>61</v>
      </c>
      <c r="D23" s="29"/>
      <c r="E23" s="29"/>
      <c r="F23" s="29"/>
      <c r="G23" s="29"/>
      <c r="H23" s="29"/>
      <c r="I23" s="29"/>
      <c r="J23" s="17">
        <v>500000</v>
      </c>
      <c r="K23" s="12" t="s">
        <v>285</v>
      </c>
      <c r="L23" s="12"/>
      <c r="M23" s="8" t="e">
        <f ca="1">IFERROR(IF(K23="Default",INDEX(Direct_EF,MATCH(A23,INDEX(Direct_EF,0,1),0),3),L23),NA())</f>
        <v>#N/A</v>
      </c>
      <c r="N23" s="18"/>
      <c r="O23" s="112"/>
      <c r="P23" s="12"/>
      <c r="Q23" s="15"/>
      <c r="R23" s="7"/>
      <c r="S23" s="17"/>
      <c r="T23" s="31"/>
    </row>
    <row r="24" spans="1:20" ht="33" customHeight="1">
      <c r="A24" s="155" t="s">
        <v>457</v>
      </c>
      <c r="B24" s="450"/>
      <c r="C24" s="7" t="s">
        <v>61</v>
      </c>
      <c r="D24" s="29"/>
      <c r="E24" s="29"/>
      <c r="F24" s="29"/>
      <c r="G24" s="29"/>
      <c r="H24" s="29"/>
      <c r="I24" s="29"/>
      <c r="J24" s="17">
        <v>600000</v>
      </c>
      <c r="K24" s="12" t="s">
        <v>285</v>
      </c>
      <c r="L24" s="12"/>
      <c r="M24" s="7" t="e">
        <f ca="1">IFERROR(IF(K24="Default",INDEX(Direct_EF,MATCH(A24,INDEX(Direct_EF,0,1),0),3),L24),NA())</f>
        <v>#N/A</v>
      </c>
      <c r="N24" s="17" t="e">
        <f t="shared" ref="N24:N60" ca="1" si="2">J24*M24</f>
        <v>#N/A</v>
      </c>
      <c r="O24" s="112" t="s">
        <v>285</v>
      </c>
      <c r="P24" s="12"/>
      <c r="Q24" s="15">
        <v>1</v>
      </c>
      <c r="R24" s="7" t="e">
        <f ca="1">IF(O24="Default",INDEX(Indirect_EF,MATCH(A24,INDEX(Indirect_EF,0,1),0),3),IF(O24="Included",0,P24))</f>
        <v>#N/A</v>
      </c>
      <c r="S24" s="17" t="e">
        <f t="shared" ref="S24:S60" ca="1" si="3">R24*J24</f>
        <v>#N/A</v>
      </c>
      <c r="T24" s="31" t="e">
        <f t="shared" ref="T24:T60" ca="1" si="4">N24+S24</f>
        <v>#N/A</v>
      </c>
    </row>
    <row r="25" spans="1:20" ht="15.95" customHeight="1">
      <c r="A25" s="5" t="s">
        <v>288</v>
      </c>
      <c r="B25" s="450"/>
      <c r="C25" s="7" t="s">
        <v>61</v>
      </c>
      <c r="D25" s="29"/>
      <c r="E25" s="29"/>
      <c r="F25" s="29"/>
      <c r="G25" s="29"/>
      <c r="H25" s="29"/>
      <c r="I25" s="29"/>
      <c r="J25" s="17">
        <v>200000</v>
      </c>
      <c r="K25" s="12" t="s">
        <v>285</v>
      </c>
      <c r="L25" s="12"/>
      <c r="M25" s="7">
        <f ca="1">IFERROR(IF(K25="Default",INDEX(Direct_EF,MATCH(A25,INDEX(Direct_EF,0,1),0),3),L25),NA())</f>
        <v>0</v>
      </c>
      <c r="N25" s="17">
        <f t="shared" ca="1" si="2"/>
        <v>0</v>
      </c>
      <c r="O25" s="112" t="s">
        <v>285</v>
      </c>
      <c r="P25" s="12"/>
      <c r="Q25" s="15">
        <v>1</v>
      </c>
      <c r="R25" s="7">
        <f ca="1">IF(O25="Default",INDEX(Indirect_EF,MATCH(A25,INDEX(Indirect_EF,0,1),0),3),IF(O25="Included",0,P25))</f>
        <v>0</v>
      </c>
      <c r="S25" s="17">
        <f t="shared" ca="1" si="3"/>
        <v>0</v>
      </c>
      <c r="T25" s="31">
        <f t="shared" ca="1" si="4"/>
        <v>0</v>
      </c>
    </row>
    <row r="26" spans="1:20" ht="15.95" customHeight="1">
      <c r="A26" s="6" t="s">
        <v>290</v>
      </c>
      <c r="B26" s="450"/>
      <c r="C26" s="7" t="s">
        <v>61</v>
      </c>
      <c r="D26" s="29"/>
      <c r="E26" s="29"/>
      <c r="F26" s="29">
        <v>400000</v>
      </c>
      <c r="G26" s="29"/>
      <c r="H26" s="29"/>
      <c r="I26" s="29"/>
      <c r="J26" s="17">
        <f t="shared" ref="J26:J60" si="5">SUM(D26:I26)</f>
        <v>400000</v>
      </c>
      <c r="K26" s="12" t="s">
        <v>285</v>
      </c>
      <c r="L26" s="13"/>
      <c r="M26" s="7">
        <f ca="1">IFERROR(IF(K26="Default",INDEX(Direct_EF,MATCH(A26,INDEX(Direct_EF,0,1),0),3),L26),0)</f>
        <v>0</v>
      </c>
      <c r="N26" s="17">
        <f t="shared" ca="1" si="2"/>
        <v>0</v>
      </c>
      <c r="O26" s="112" t="s">
        <v>285</v>
      </c>
      <c r="P26" s="12"/>
      <c r="Q26" s="15">
        <v>1</v>
      </c>
      <c r="R26" s="7">
        <f t="shared" ref="R26:R43" ca="1" si="6">IF(O26="Default",INDEX(Indirect_EF,MATCH(A26,INDEX(Indirect_EF,0,1),0),3),P26)</f>
        <v>0</v>
      </c>
      <c r="S26" s="17">
        <f t="shared" ca="1" si="3"/>
        <v>0</v>
      </c>
      <c r="T26" s="31">
        <f t="shared" ca="1" si="4"/>
        <v>0</v>
      </c>
    </row>
    <row r="27" spans="1:20" ht="15.95" customHeight="1">
      <c r="A27" s="5" t="s">
        <v>291</v>
      </c>
      <c r="B27" s="425" t="s">
        <v>292</v>
      </c>
      <c r="C27" s="7" t="s">
        <v>61</v>
      </c>
      <c r="D27" s="29"/>
      <c r="E27" s="29">
        <v>762000</v>
      </c>
      <c r="F27" s="29"/>
      <c r="G27" s="29"/>
      <c r="H27" s="29"/>
      <c r="I27" s="29"/>
      <c r="J27" s="17">
        <f t="shared" si="5"/>
        <v>762000</v>
      </c>
      <c r="K27" s="12" t="s">
        <v>285</v>
      </c>
      <c r="L27" s="13"/>
      <c r="M27" s="7">
        <f ca="1">IFERROR(IF(K27="Default",INDEX(Direct_EF,MATCH(A27,INDEX(Direct_EF,0,1),0),3),L27),0)</f>
        <v>3.06</v>
      </c>
      <c r="N27" s="17">
        <f t="shared" ca="1" si="2"/>
        <v>2331720</v>
      </c>
      <c r="O27" s="112" t="s">
        <v>285</v>
      </c>
      <c r="P27" s="16"/>
      <c r="Q27" s="15">
        <v>1</v>
      </c>
      <c r="R27" s="8">
        <f t="shared" ca="1" si="6"/>
        <v>0.39999999999999997</v>
      </c>
      <c r="S27" s="17">
        <f t="shared" ca="1" si="3"/>
        <v>304800</v>
      </c>
      <c r="T27" s="31">
        <f t="shared" ca="1" si="4"/>
        <v>2636520</v>
      </c>
    </row>
    <row r="28" spans="1:20" ht="15.95" customHeight="1">
      <c r="A28" s="5" t="s">
        <v>293</v>
      </c>
      <c r="B28" s="426"/>
      <c r="C28" s="7" t="s">
        <v>61</v>
      </c>
      <c r="D28" s="29"/>
      <c r="E28" s="29"/>
      <c r="F28" s="29">
        <v>464000</v>
      </c>
      <c r="G28" s="29"/>
      <c r="H28" s="29"/>
      <c r="I28" s="29"/>
      <c r="J28" s="17">
        <f t="shared" si="5"/>
        <v>464000</v>
      </c>
      <c r="K28" s="12" t="s">
        <v>285</v>
      </c>
      <c r="L28" s="13"/>
      <c r="M28" s="7">
        <f t="shared" ref="M28:M60" ca="1" si="7">IFERROR(IF(K28="Default",INDEX(Direct_EF,MATCH(A28,INDEX(Direct_EF,0,1),0),3),L28),0)</f>
        <v>2.9529999999999998</v>
      </c>
      <c r="N28" s="17">
        <f ca="1">J28*M28</f>
        <v>1370192</v>
      </c>
      <c r="O28" s="112" t="s">
        <v>285</v>
      </c>
      <c r="P28" s="16"/>
      <c r="Q28" s="15">
        <v>1</v>
      </c>
      <c r="R28" s="8">
        <f t="shared" ca="1" si="6"/>
        <v>0.39999999999999997</v>
      </c>
      <c r="S28" s="17">
        <f t="shared" ca="1" si="3"/>
        <v>185599.99999999997</v>
      </c>
      <c r="T28" s="31">
        <f t="shared" ca="1" si="4"/>
        <v>1555792</v>
      </c>
    </row>
    <row r="29" spans="1:20" ht="15.95" customHeight="1">
      <c r="A29" s="5" t="s">
        <v>294</v>
      </c>
      <c r="B29" s="426"/>
      <c r="C29" s="7" t="s">
        <v>61</v>
      </c>
      <c r="D29" s="29"/>
      <c r="E29" s="29"/>
      <c r="F29" s="29"/>
      <c r="G29" s="29"/>
      <c r="H29" s="29"/>
      <c r="I29" s="29"/>
      <c r="J29" s="17">
        <f t="shared" si="5"/>
        <v>0</v>
      </c>
      <c r="K29" s="12" t="s">
        <v>285</v>
      </c>
      <c r="L29" s="13"/>
      <c r="M29" s="7">
        <f t="shared" ca="1" si="7"/>
        <v>2.7850000000000001</v>
      </c>
      <c r="N29" s="17">
        <f ca="1">J29*M29</f>
        <v>0</v>
      </c>
      <c r="O29" s="112" t="s">
        <v>285</v>
      </c>
      <c r="P29" s="16"/>
      <c r="Q29" s="15">
        <v>1</v>
      </c>
      <c r="R29" s="8">
        <f t="shared" ca="1" si="6"/>
        <v>0.39999999999999997</v>
      </c>
      <c r="S29" s="17">
        <f t="shared" ca="1" si="3"/>
        <v>0</v>
      </c>
      <c r="T29" s="31">
        <f t="shared" ca="1" si="4"/>
        <v>0</v>
      </c>
    </row>
    <row r="30" spans="1:20" ht="15.95" customHeight="1">
      <c r="A30" s="5" t="s">
        <v>295</v>
      </c>
      <c r="B30" s="426"/>
      <c r="C30" s="7" t="s">
        <v>61</v>
      </c>
      <c r="D30" s="29"/>
      <c r="E30" s="29"/>
      <c r="F30" s="29"/>
      <c r="G30" s="29"/>
      <c r="H30" s="29"/>
      <c r="I30" s="29"/>
      <c r="J30" s="17">
        <f t="shared" si="5"/>
        <v>0</v>
      </c>
      <c r="K30" s="12" t="s">
        <v>285</v>
      </c>
      <c r="L30" s="13"/>
      <c r="M30" s="7">
        <f t="shared" ca="1" si="7"/>
        <v>2.4620000000000002</v>
      </c>
      <c r="N30" s="17">
        <f t="shared" ref="N30" ca="1" si="8">J30*M30</f>
        <v>0</v>
      </c>
      <c r="O30" s="112" t="s">
        <v>285</v>
      </c>
      <c r="P30" s="16"/>
      <c r="Q30" s="15">
        <v>1</v>
      </c>
      <c r="R30" s="8">
        <f t="shared" ca="1" si="6"/>
        <v>0.39999999999999997</v>
      </c>
      <c r="S30" s="17">
        <f t="shared" ca="1" si="3"/>
        <v>0</v>
      </c>
      <c r="T30" s="31">
        <f t="shared" ca="1" si="4"/>
        <v>0</v>
      </c>
    </row>
    <row r="31" spans="1:20" ht="15.95" customHeight="1">
      <c r="A31" s="5" t="s">
        <v>296</v>
      </c>
      <c r="B31" s="426"/>
      <c r="C31" s="7" t="s">
        <v>61</v>
      </c>
      <c r="D31" s="29"/>
      <c r="E31" s="29"/>
      <c r="F31" s="29"/>
      <c r="G31" s="29"/>
      <c r="H31" s="29"/>
      <c r="I31" s="29"/>
      <c r="J31" s="17">
        <f t="shared" si="5"/>
        <v>0</v>
      </c>
      <c r="K31" s="12" t="s">
        <v>285</v>
      </c>
      <c r="L31" s="13"/>
      <c r="M31" s="7">
        <f t="shared" ca="1" si="7"/>
        <v>0</v>
      </c>
      <c r="N31" s="17">
        <f t="shared" ca="1" si="2"/>
        <v>0</v>
      </c>
      <c r="O31" s="112" t="s">
        <v>285</v>
      </c>
      <c r="P31" s="16"/>
      <c r="Q31" s="15">
        <v>1</v>
      </c>
      <c r="R31" s="8">
        <f t="shared" ca="1" si="6"/>
        <v>0.39999999999999997</v>
      </c>
      <c r="S31" s="17">
        <f t="shared" ca="1" si="3"/>
        <v>0</v>
      </c>
      <c r="T31" s="31">
        <f t="shared" ca="1" si="4"/>
        <v>0</v>
      </c>
    </row>
    <row r="32" spans="1:20" ht="15.95" customHeight="1">
      <c r="A32" s="5" t="s">
        <v>298</v>
      </c>
      <c r="B32" s="426"/>
      <c r="C32" s="7" t="s">
        <v>61</v>
      </c>
      <c r="D32" s="29"/>
      <c r="E32" s="29"/>
      <c r="F32" s="29"/>
      <c r="G32" s="29"/>
      <c r="H32" s="29"/>
      <c r="I32" s="29"/>
      <c r="J32" s="17">
        <f t="shared" si="5"/>
        <v>0</v>
      </c>
      <c r="K32" s="12" t="s">
        <v>285</v>
      </c>
      <c r="L32" s="13"/>
      <c r="M32" s="7">
        <f t="shared" ca="1" si="7"/>
        <v>3.2570000000000001</v>
      </c>
      <c r="N32" s="17">
        <f t="shared" ca="1" si="2"/>
        <v>0</v>
      </c>
      <c r="O32" s="112" t="s">
        <v>285</v>
      </c>
      <c r="P32" s="16"/>
      <c r="Q32" s="15">
        <v>1</v>
      </c>
      <c r="R32" s="8">
        <f t="shared" ca="1" si="6"/>
        <v>0.39999999999999997</v>
      </c>
      <c r="S32" s="17">
        <f t="shared" ca="1" si="3"/>
        <v>0</v>
      </c>
      <c r="T32" s="31">
        <f t="shared" ca="1" si="4"/>
        <v>0</v>
      </c>
    </row>
    <row r="33" spans="1:20" ht="15.95" customHeight="1">
      <c r="A33" s="6" t="s">
        <v>299</v>
      </c>
      <c r="B33" s="427"/>
      <c r="C33" s="7" t="s">
        <v>61</v>
      </c>
      <c r="D33" s="29"/>
      <c r="E33" s="29"/>
      <c r="F33" s="29">
        <v>5000</v>
      </c>
      <c r="G33" s="29"/>
      <c r="H33" s="29"/>
      <c r="I33" s="29"/>
      <c r="J33" s="17">
        <f t="shared" si="5"/>
        <v>5000</v>
      </c>
      <c r="K33" s="12" t="s">
        <v>285</v>
      </c>
      <c r="L33" s="13"/>
      <c r="M33" s="7">
        <f t="shared" ca="1" si="7"/>
        <v>3.2570000000000001</v>
      </c>
      <c r="N33" s="17">
        <f t="shared" ca="1" si="2"/>
        <v>16285</v>
      </c>
      <c r="O33" s="112" t="s">
        <v>331</v>
      </c>
      <c r="P33" s="109">
        <v>0.224</v>
      </c>
      <c r="Q33" s="15">
        <v>1</v>
      </c>
      <c r="R33" s="8">
        <f t="shared" ca="1" si="6"/>
        <v>0.224</v>
      </c>
      <c r="S33" s="17">
        <f t="shared" ca="1" si="3"/>
        <v>1120</v>
      </c>
      <c r="T33" s="31">
        <f t="shared" ca="1" si="4"/>
        <v>17405</v>
      </c>
    </row>
    <row r="34" spans="1:20" ht="15.95" customHeight="1">
      <c r="A34" s="5" t="s">
        <v>300</v>
      </c>
      <c r="B34" s="449" t="s">
        <v>301</v>
      </c>
      <c r="C34" s="7" t="s">
        <v>302</v>
      </c>
      <c r="D34" s="29"/>
      <c r="E34" s="29"/>
      <c r="F34" s="29"/>
      <c r="G34" s="29"/>
      <c r="H34" s="29"/>
      <c r="I34" s="29"/>
      <c r="J34" s="17">
        <f t="shared" si="5"/>
        <v>0</v>
      </c>
      <c r="K34" s="12" t="s">
        <v>285</v>
      </c>
      <c r="L34" s="13"/>
      <c r="M34" s="7">
        <f t="shared" ca="1" si="7"/>
        <v>2.601</v>
      </c>
      <c r="N34" s="17">
        <f t="shared" ca="1" si="2"/>
        <v>0</v>
      </c>
      <c r="O34" s="112" t="s">
        <v>286</v>
      </c>
      <c r="P34" s="16"/>
      <c r="Q34" s="15">
        <v>1</v>
      </c>
      <c r="R34" s="8">
        <f t="shared" ca="1" si="6"/>
        <v>0</v>
      </c>
      <c r="S34" s="17">
        <f t="shared" ca="1" si="3"/>
        <v>0</v>
      </c>
      <c r="T34" s="31">
        <f t="shared" ca="1" si="4"/>
        <v>0</v>
      </c>
    </row>
    <row r="35" spans="1:20" ht="15.95" customHeight="1">
      <c r="A35" s="5" t="s">
        <v>303</v>
      </c>
      <c r="B35" s="450"/>
      <c r="C35" s="7" t="s">
        <v>302</v>
      </c>
      <c r="D35" s="29"/>
      <c r="E35" s="29"/>
      <c r="F35" s="29"/>
      <c r="G35" s="29"/>
      <c r="H35" s="29"/>
      <c r="I35" s="29"/>
      <c r="J35" s="17">
        <f t="shared" si="5"/>
        <v>0</v>
      </c>
      <c r="K35" s="12" t="s">
        <v>285</v>
      </c>
      <c r="L35" s="13"/>
      <c r="M35" s="7">
        <f t="shared" ca="1" si="7"/>
        <v>2.907</v>
      </c>
      <c r="N35" s="17">
        <f t="shared" ca="1" si="2"/>
        <v>0</v>
      </c>
      <c r="O35" s="112" t="s">
        <v>286</v>
      </c>
      <c r="P35" s="16"/>
      <c r="Q35" s="15">
        <v>1</v>
      </c>
      <c r="R35" s="8">
        <f t="shared" ca="1" si="6"/>
        <v>0</v>
      </c>
      <c r="S35" s="17">
        <f t="shared" ca="1" si="3"/>
        <v>0</v>
      </c>
      <c r="T35" s="31">
        <f t="shared" ca="1" si="4"/>
        <v>0</v>
      </c>
    </row>
    <row r="36" spans="1:20" ht="15.95" customHeight="1">
      <c r="A36" s="5" t="s">
        <v>304</v>
      </c>
      <c r="B36" s="450"/>
      <c r="C36" s="7" t="s">
        <v>61</v>
      </c>
      <c r="D36" s="29"/>
      <c r="E36" s="29"/>
      <c r="F36" s="29"/>
      <c r="G36" s="29"/>
      <c r="H36" s="29"/>
      <c r="I36" s="29"/>
      <c r="J36" s="17">
        <f t="shared" si="5"/>
        <v>0</v>
      </c>
      <c r="K36" s="12" t="s">
        <v>285</v>
      </c>
      <c r="L36" s="13"/>
      <c r="M36" s="7">
        <f t="shared" ca="1" si="7"/>
        <v>3.1509999999999998</v>
      </c>
      <c r="N36" s="17">
        <f t="shared" ca="1" si="2"/>
        <v>0</v>
      </c>
      <c r="O36" s="112" t="s">
        <v>286</v>
      </c>
      <c r="P36" s="16"/>
      <c r="Q36" s="15">
        <v>1</v>
      </c>
      <c r="R36" s="8">
        <f t="shared" ca="1" si="6"/>
        <v>0</v>
      </c>
      <c r="S36" s="17">
        <f t="shared" ca="1" si="3"/>
        <v>0</v>
      </c>
      <c r="T36" s="31">
        <f t="shared" ca="1" si="4"/>
        <v>0</v>
      </c>
    </row>
    <row r="37" spans="1:20" ht="15.95" customHeight="1">
      <c r="A37" s="5" t="s">
        <v>305</v>
      </c>
      <c r="B37" s="450"/>
      <c r="C37" s="7" t="s">
        <v>61</v>
      </c>
      <c r="D37" s="29"/>
      <c r="E37" s="29"/>
      <c r="F37" s="29"/>
      <c r="G37" s="29"/>
      <c r="H37" s="29"/>
      <c r="I37" s="29"/>
      <c r="J37" s="17">
        <f t="shared" si="5"/>
        <v>0</v>
      </c>
      <c r="K37" s="12" t="s">
        <v>285</v>
      </c>
      <c r="L37" s="13"/>
      <c r="M37" s="7">
        <f t="shared" ca="1" si="7"/>
        <v>2.9849999999999999</v>
      </c>
      <c r="N37" s="17">
        <f t="shared" ca="1" si="2"/>
        <v>0</v>
      </c>
      <c r="O37" s="112" t="s">
        <v>286</v>
      </c>
      <c r="P37" s="16"/>
      <c r="Q37" s="15">
        <v>1</v>
      </c>
      <c r="R37" s="8">
        <f t="shared" ca="1" si="6"/>
        <v>0</v>
      </c>
      <c r="S37" s="17">
        <f t="shared" ca="1" si="3"/>
        <v>0</v>
      </c>
      <c r="T37" s="31">
        <f t="shared" ca="1" si="4"/>
        <v>0</v>
      </c>
    </row>
    <row r="38" spans="1:20" ht="15.95" customHeight="1">
      <c r="A38" s="6" t="s">
        <v>306</v>
      </c>
      <c r="B38" s="450"/>
      <c r="C38" s="7" t="s">
        <v>61</v>
      </c>
      <c r="D38" s="29"/>
      <c r="E38" s="29"/>
      <c r="F38" s="29"/>
      <c r="G38" s="29">
        <v>60000</v>
      </c>
      <c r="H38" s="29"/>
      <c r="I38" s="29"/>
      <c r="J38" s="17">
        <f t="shared" si="5"/>
        <v>60000</v>
      </c>
      <c r="K38" s="12" t="s">
        <v>285</v>
      </c>
      <c r="L38" s="13"/>
      <c r="M38" s="7">
        <f t="shared" ca="1" si="7"/>
        <v>2.2114058355437666E-3</v>
      </c>
      <c r="N38" s="17">
        <f t="shared" ca="1" si="2"/>
        <v>132.68435013262601</v>
      </c>
      <c r="O38" s="112" t="s">
        <v>285</v>
      </c>
      <c r="P38" s="16"/>
      <c r="Q38" s="15">
        <v>1</v>
      </c>
      <c r="R38" s="8">
        <f t="shared" ca="1" si="6"/>
        <v>6.4887573964497042E-4</v>
      </c>
      <c r="S38" s="17">
        <f t="shared" ca="1" si="3"/>
        <v>38.932544378698225</v>
      </c>
      <c r="T38" s="31">
        <f t="shared" ca="1" si="4"/>
        <v>171.61689451132423</v>
      </c>
    </row>
    <row r="39" spans="1:20" ht="15.95" customHeight="1">
      <c r="A39" s="5" t="s">
        <v>182</v>
      </c>
      <c r="B39" s="449" t="s">
        <v>307</v>
      </c>
      <c r="C39" s="7" t="s">
        <v>61</v>
      </c>
      <c r="D39" s="29"/>
      <c r="E39" s="29"/>
      <c r="F39" s="29">
        <v>800000</v>
      </c>
      <c r="G39" s="29"/>
      <c r="H39" s="29"/>
      <c r="I39" s="29"/>
      <c r="J39" s="17">
        <f t="shared" si="5"/>
        <v>800000</v>
      </c>
      <c r="K39" s="12" t="s">
        <v>285</v>
      </c>
      <c r="L39" s="13"/>
      <c r="M39" s="7">
        <f ca="1">IFERROR(IF(K39="Default",INDEX(Direct_EF,MATCH(A39,INDEX(Direct_EF,0,1),0),3),L39),0)</f>
        <v>0</v>
      </c>
      <c r="N39" s="17">
        <f t="shared" ca="1" si="2"/>
        <v>0</v>
      </c>
      <c r="O39" s="112" t="s">
        <v>285</v>
      </c>
      <c r="P39" s="16"/>
      <c r="Q39" s="15">
        <v>1</v>
      </c>
      <c r="R39" s="8">
        <f t="shared" ca="1" si="6"/>
        <v>0.13700000000000001</v>
      </c>
      <c r="S39" s="17">
        <f t="shared" ca="1" si="3"/>
        <v>109600.00000000001</v>
      </c>
      <c r="T39" s="31">
        <f t="shared" ca="1" si="4"/>
        <v>109600.00000000001</v>
      </c>
    </row>
    <row r="40" spans="1:20" ht="15.95" customHeight="1">
      <c r="A40" s="5" t="s">
        <v>184</v>
      </c>
      <c r="B40" s="450"/>
      <c r="C40" s="7" t="s">
        <v>61</v>
      </c>
      <c r="D40" s="29"/>
      <c r="E40" s="29"/>
      <c r="F40" s="29"/>
      <c r="G40" s="29"/>
      <c r="H40" s="29"/>
      <c r="I40" s="29"/>
      <c r="J40" s="17">
        <f t="shared" si="5"/>
        <v>0</v>
      </c>
      <c r="K40" s="12" t="s">
        <v>285</v>
      </c>
      <c r="L40" s="13"/>
      <c r="M40" s="7">
        <f t="shared" ca="1" si="7"/>
        <v>0</v>
      </c>
      <c r="N40" s="17">
        <f t="shared" ca="1" si="2"/>
        <v>0</v>
      </c>
      <c r="O40" s="112" t="s">
        <v>285</v>
      </c>
      <c r="P40" s="16"/>
      <c r="Q40" s="15">
        <v>1</v>
      </c>
      <c r="R40" s="8">
        <f t="shared" ca="1" si="6"/>
        <v>0.26200000000000001</v>
      </c>
      <c r="S40" s="17">
        <f t="shared" ca="1" si="3"/>
        <v>0</v>
      </c>
      <c r="T40" s="31">
        <f t="shared" ca="1" si="4"/>
        <v>0</v>
      </c>
    </row>
    <row r="41" spans="1:20" ht="15.95" customHeight="1">
      <c r="A41" s="5" t="s">
        <v>187</v>
      </c>
      <c r="B41" s="450"/>
      <c r="C41" s="7" t="s">
        <v>61</v>
      </c>
      <c r="D41" s="29"/>
      <c r="E41" s="29"/>
      <c r="F41" s="29"/>
      <c r="G41" s="29"/>
      <c r="H41" s="29"/>
      <c r="I41" s="29"/>
      <c r="J41" s="17">
        <f t="shared" si="5"/>
        <v>0</v>
      </c>
      <c r="K41" s="12" t="s">
        <v>285</v>
      </c>
      <c r="L41" s="13"/>
      <c r="M41" s="7">
        <f t="shared" ca="1" si="7"/>
        <v>0.17199999999999999</v>
      </c>
      <c r="N41" s="17">
        <f t="shared" ca="1" si="2"/>
        <v>0</v>
      </c>
      <c r="O41" s="112" t="s">
        <v>285</v>
      </c>
      <c r="P41" s="16"/>
      <c r="Q41" s="15">
        <v>1</v>
      </c>
      <c r="R41" s="8">
        <f t="shared" ca="1" si="6"/>
        <v>1.855</v>
      </c>
      <c r="S41" s="17">
        <f t="shared" ca="1" si="3"/>
        <v>0</v>
      </c>
      <c r="T41" s="31">
        <f t="shared" ca="1" si="4"/>
        <v>0</v>
      </c>
    </row>
    <row r="42" spans="1:20" ht="15.95" customHeight="1">
      <c r="A42" s="5" t="s">
        <v>190</v>
      </c>
      <c r="B42" s="450"/>
      <c r="C42" s="7" t="s">
        <v>61</v>
      </c>
      <c r="D42" s="29"/>
      <c r="E42" s="29"/>
      <c r="F42" s="29"/>
      <c r="G42" s="29"/>
      <c r="H42" s="29"/>
      <c r="I42" s="29"/>
      <c r="J42" s="17">
        <f t="shared" si="5"/>
        <v>0</v>
      </c>
      <c r="K42" s="12" t="s">
        <v>285</v>
      </c>
      <c r="L42" s="13"/>
      <c r="M42" s="7">
        <f t="shared" ca="1" si="7"/>
        <v>7.2999999999999995E-2</v>
      </c>
      <c r="N42" s="17">
        <f t="shared" ca="1" si="2"/>
        <v>0</v>
      </c>
      <c r="O42" s="112" t="s">
        <v>285</v>
      </c>
      <c r="P42" s="16"/>
      <c r="Q42" s="15">
        <v>1</v>
      </c>
      <c r="R42" s="51">
        <f t="shared" ca="1" si="6"/>
        <v>1.21</v>
      </c>
      <c r="S42" s="17">
        <f t="shared" ca="1" si="3"/>
        <v>0</v>
      </c>
      <c r="T42" s="31">
        <f t="shared" ca="1" si="4"/>
        <v>0</v>
      </c>
    </row>
    <row r="43" spans="1:20" ht="15.95" customHeight="1">
      <c r="A43" s="6" t="s">
        <v>194</v>
      </c>
      <c r="B43" s="450"/>
      <c r="C43" s="7" t="s">
        <v>61</v>
      </c>
      <c r="D43" s="29"/>
      <c r="E43" s="29"/>
      <c r="F43" s="29"/>
      <c r="G43" s="29"/>
      <c r="H43" s="29"/>
      <c r="I43" s="29"/>
      <c r="J43" s="17">
        <f t="shared" si="5"/>
        <v>0</v>
      </c>
      <c r="K43" s="12" t="s">
        <v>285</v>
      </c>
      <c r="L43" s="13"/>
      <c r="M43" s="7">
        <f ca="1">IFERROR(IF(K43="Default",INDEX(Direct_EF,MATCH(A43,INDEX(Direct_EF,0,1),0),3),L43),0)</f>
        <v>7.2999999999999995E-2</v>
      </c>
      <c r="N43" s="17">
        <f t="shared" ca="1" si="2"/>
        <v>0</v>
      </c>
      <c r="O43" s="112" t="s">
        <v>285</v>
      </c>
      <c r="P43" s="16"/>
      <c r="Q43" s="15">
        <v>1</v>
      </c>
      <c r="R43" s="51">
        <f t="shared" ca="1" si="6"/>
        <v>0.78</v>
      </c>
      <c r="S43" s="17">
        <f t="shared" ca="1" si="3"/>
        <v>0</v>
      </c>
      <c r="T43" s="31">
        <f t="shared" ca="1" si="4"/>
        <v>0</v>
      </c>
    </row>
    <row r="44" spans="1:20" ht="15.95" customHeight="1">
      <c r="A44" s="5" t="s">
        <v>308</v>
      </c>
      <c r="B44" s="449" t="s">
        <v>309</v>
      </c>
      <c r="C44" s="7" t="str">
        <f>INDEX(Ferroalloys,MATCH($A44,INDEX(Ferroalloys,0,1),0),2)</f>
        <v>t</v>
      </c>
      <c r="D44" s="29"/>
      <c r="E44" s="29"/>
      <c r="F44" s="29">
        <v>20000</v>
      </c>
      <c r="G44" s="29"/>
      <c r="H44" s="29"/>
      <c r="I44" s="29"/>
      <c r="J44" s="17">
        <f t="shared" si="5"/>
        <v>20000</v>
      </c>
      <c r="K44" s="12" t="s">
        <v>285</v>
      </c>
      <c r="L44" s="13"/>
      <c r="M44" s="50">
        <f>IF(K44="Default",INDEX(Ferroalloys,MATCH($A44,INDEX(Ferroalloys,0,1),0),4),L44)</f>
        <v>0.27499999999999997</v>
      </c>
      <c r="N44" s="17">
        <f t="shared" si="2"/>
        <v>5499.9999999999991</v>
      </c>
      <c r="O44" s="112" t="s">
        <v>285</v>
      </c>
      <c r="P44" s="16"/>
      <c r="Q44" s="15">
        <v>1</v>
      </c>
      <c r="R44" s="51">
        <f>IF(K44="Default",INDEX(Ferroalloys,MATCH($A44,INDEX(Ferroalloys,0,1),0),5),L44)</f>
        <v>6.35</v>
      </c>
      <c r="S44" s="17">
        <f t="shared" si="3"/>
        <v>127000</v>
      </c>
      <c r="T44" s="31">
        <f t="shared" si="4"/>
        <v>132500</v>
      </c>
    </row>
    <row r="45" spans="1:20" ht="15.95" customHeight="1">
      <c r="A45" s="5" t="s">
        <v>310</v>
      </c>
      <c r="B45" s="450"/>
      <c r="C45" s="7" t="str">
        <f>INDEX(Ferroalloys,MATCH($A45,INDEX(Ferroalloys,0,1),0),2)</f>
        <v>t</v>
      </c>
      <c r="D45" s="29"/>
      <c r="E45" s="29"/>
      <c r="F45" s="29"/>
      <c r="G45" s="29"/>
      <c r="H45" s="29"/>
      <c r="I45" s="29"/>
      <c r="J45" s="17">
        <f t="shared" si="5"/>
        <v>0</v>
      </c>
      <c r="K45" s="12" t="s">
        <v>285</v>
      </c>
      <c r="L45" s="13"/>
      <c r="M45" s="50">
        <f>IF(K45="Default",INDEX(Ferroalloys,MATCH($A45,INDEX(Ferroalloys,0,1),0),4),L45)</f>
        <v>0.18333333333333335</v>
      </c>
      <c r="N45" s="17">
        <f t="shared" si="2"/>
        <v>0</v>
      </c>
      <c r="O45" s="112" t="s">
        <v>285</v>
      </c>
      <c r="P45" s="16"/>
      <c r="Q45" s="15">
        <v>1</v>
      </c>
      <c r="R45" s="51">
        <f>IF(K45="Default",INDEX(Ferroalloys,MATCH($A45,INDEX(Ferroalloys,0,1),0),5),L45)</f>
        <v>5.719666666666666</v>
      </c>
      <c r="S45" s="17">
        <f t="shared" si="3"/>
        <v>0</v>
      </c>
      <c r="T45" s="31">
        <f t="shared" si="4"/>
        <v>0</v>
      </c>
    </row>
    <row r="46" spans="1:20" ht="15.95" customHeight="1">
      <c r="A46" s="5" t="s">
        <v>311</v>
      </c>
      <c r="B46" s="450"/>
      <c r="C46" s="7" t="str">
        <f>INDEX(Ferroalloys,MATCH($A46,INDEX(Ferroalloys,0,1),0),2)</f>
        <v>t</v>
      </c>
      <c r="D46" s="29"/>
      <c r="E46" s="29"/>
      <c r="F46" s="29"/>
      <c r="G46" s="29"/>
      <c r="H46" s="29"/>
      <c r="I46" s="29"/>
      <c r="J46" s="17">
        <f t="shared" si="5"/>
        <v>0</v>
      </c>
      <c r="K46" s="12" t="s">
        <v>285</v>
      </c>
      <c r="L46" s="13"/>
      <c r="M46" s="50">
        <f>IF(K46="Default",INDEX(Ferroalloys,MATCH($A46,INDEX(Ferroalloys,0,1),0),4),L46)</f>
        <v>1.8333333333333333E-2</v>
      </c>
      <c r="N46" s="17">
        <f t="shared" si="2"/>
        <v>0</v>
      </c>
      <c r="O46" s="112" t="s">
        <v>285</v>
      </c>
      <c r="P46" s="16"/>
      <c r="Q46" s="15">
        <v>1</v>
      </c>
      <c r="R46" s="51">
        <f>IF(K46="Default",INDEX(Ferroalloys,MATCH($A46,INDEX(Ferroalloys,0,1),0),5),L46)</f>
        <v>8.0726666666666667</v>
      </c>
      <c r="S46" s="17">
        <f t="shared" si="3"/>
        <v>0</v>
      </c>
      <c r="T46" s="31">
        <f t="shared" si="4"/>
        <v>0</v>
      </c>
    </row>
    <row r="47" spans="1:20" ht="15.95" customHeight="1">
      <c r="A47" s="5" t="s">
        <v>312</v>
      </c>
      <c r="B47" s="450"/>
      <c r="C47" s="7" t="str">
        <f>INDEX(Ferroalloys,MATCH($A47,INDEX(Ferroalloys,0,1),0),2)</f>
        <v>t</v>
      </c>
      <c r="D47" s="29"/>
      <c r="E47" s="29"/>
      <c r="F47" s="29"/>
      <c r="G47" s="29"/>
      <c r="H47" s="29"/>
      <c r="I47" s="29"/>
      <c r="J47" s="17">
        <f t="shared" si="5"/>
        <v>0</v>
      </c>
      <c r="K47" s="12" t="s">
        <v>285</v>
      </c>
      <c r="L47" s="13"/>
      <c r="M47" s="50">
        <f>IF(K47="Default",INDEX(Ferroalloys,MATCH($A47,INDEX(Ferroalloys,0,1),0),4),L47)</f>
        <v>3.6666666666666666E-3</v>
      </c>
      <c r="N47" s="17">
        <f t="shared" si="2"/>
        <v>0</v>
      </c>
      <c r="O47" s="112" t="s">
        <v>285</v>
      </c>
      <c r="P47" s="16"/>
      <c r="Q47" s="15">
        <v>1</v>
      </c>
      <c r="R47" s="51">
        <f>IF(K47="Default",INDEX(Ferroalloys,MATCH($A47,INDEX(Ferroalloys,0,1),0),5),L47)</f>
        <v>11.431333333333335</v>
      </c>
      <c r="S47" s="17">
        <f t="shared" si="3"/>
        <v>0</v>
      </c>
      <c r="T47" s="31">
        <f t="shared" si="4"/>
        <v>0</v>
      </c>
    </row>
    <row r="48" spans="1:20" ht="15.95" customHeight="1">
      <c r="A48" s="6" t="s">
        <v>313</v>
      </c>
      <c r="B48" s="450"/>
      <c r="C48" s="7" t="str">
        <f>INDEX(Ferroalloys,MATCH($A48,INDEX(Ferroalloys,0,1),0),2)</f>
        <v>t</v>
      </c>
      <c r="D48" s="29"/>
      <c r="E48" s="29"/>
      <c r="F48" s="29"/>
      <c r="G48" s="29"/>
      <c r="H48" s="29"/>
      <c r="I48" s="29"/>
      <c r="J48" s="17">
        <f t="shared" si="5"/>
        <v>0</v>
      </c>
      <c r="K48" s="12" t="s">
        <v>285</v>
      </c>
      <c r="L48" s="13"/>
      <c r="M48" s="50">
        <f>IF(K48="Default",INDEX(Ferroalloys,MATCH($A48,INDEX(Ferroalloys,0,1),0),4),L48)</f>
        <v>5.4999999999999993E-2</v>
      </c>
      <c r="N48" s="17">
        <f t="shared" si="2"/>
        <v>0</v>
      </c>
      <c r="O48" s="112" t="s">
        <v>285</v>
      </c>
      <c r="P48" s="16"/>
      <c r="Q48" s="15">
        <v>1</v>
      </c>
      <c r="R48" s="51">
        <f>IF(K48="Default",INDEX(Ferroalloys,MATCH($A48,INDEX(Ferroalloys,0,1),0),5),L48)</f>
        <v>12.095000000000002</v>
      </c>
      <c r="S48" s="17">
        <f t="shared" si="3"/>
        <v>0</v>
      </c>
      <c r="T48" s="31">
        <f t="shared" si="4"/>
        <v>0</v>
      </c>
    </row>
    <row r="49" spans="1:20" ht="15.95" customHeight="1">
      <c r="A49" s="5" t="s">
        <v>314</v>
      </c>
      <c r="B49" s="449" t="s">
        <v>315</v>
      </c>
      <c r="C49" s="7" t="s">
        <v>61</v>
      </c>
      <c r="D49" s="29"/>
      <c r="E49" s="29"/>
      <c r="F49" s="29"/>
      <c r="G49" s="29"/>
      <c r="H49" s="29"/>
      <c r="I49" s="29"/>
      <c r="J49" s="17">
        <f t="shared" si="5"/>
        <v>0</v>
      </c>
      <c r="K49" s="12" t="s">
        <v>285</v>
      </c>
      <c r="L49" s="13"/>
      <c r="M49" s="7">
        <f t="shared" ca="1" si="7"/>
        <v>0.44</v>
      </c>
      <c r="N49" s="17">
        <f t="shared" ca="1" si="2"/>
        <v>0</v>
      </c>
      <c r="O49" s="112" t="s">
        <v>286</v>
      </c>
      <c r="P49" s="16"/>
      <c r="Q49" s="15">
        <v>1</v>
      </c>
      <c r="R49" s="51">
        <f>IF(O49="Included",0,IF(K49="Default",INDEX(Ferroalloys,MATCH($A49,INDEX(Ferroalloys,0,1),0),5),L49))</f>
        <v>0</v>
      </c>
      <c r="S49" s="17">
        <f t="shared" si="3"/>
        <v>0</v>
      </c>
      <c r="T49" s="31">
        <f t="shared" ca="1" si="4"/>
        <v>0</v>
      </c>
    </row>
    <row r="50" spans="1:20" ht="15.95" customHeight="1">
      <c r="A50" s="5" t="s">
        <v>316</v>
      </c>
      <c r="B50" s="450"/>
      <c r="C50" s="7" t="s">
        <v>61</v>
      </c>
      <c r="D50" s="29"/>
      <c r="E50" s="29"/>
      <c r="F50" s="29"/>
      <c r="G50" s="29"/>
      <c r="H50" s="29"/>
      <c r="I50" s="29"/>
      <c r="J50" s="17">
        <f t="shared" si="5"/>
        <v>0</v>
      </c>
      <c r="K50" s="12" t="s">
        <v>285</v>
      </c>
      <c r="L50" s="13"/>
      <c r="M50" s="7">
        <f t="shared" ca="1" si="7"/>
        <v>0.47599999999999998</v>
      </c>
      <c r="N50" s="17">
        <f t="shared" ca="1" si="2"/>
        <v>0</v>
      </c>
      <c r="O50" s="112" t="s">
        <v>286</v>
      </c>
      <c r="P50" s="16"/>
      <c r="Q50" s="15">
        <v>1</v>
      </c>
      <c r="R50" s="51">
        <f>IF(O50="Included",0,IF(K50="Default",INDEX(Ferroalloys,MATCH($A50,INDEX(Ferroalloys,0,1),0),5),L50))</f>
        <v>0</v>
      </c>
      <c r="S50" s="17">
        <f t="shared" si="3"/>
        <v>0</v>
      </c>
      <c r="T50" s="31">
        <f t="shared" ca="1" si="4"/>
        <v>0</v>
      </c>
    </row>
    <row r="51" spans="1:20" ht="15.95" customHeight="1">
      <c r="A51" s="5" t="s">
        <v>317</v>
      </c>
      <c r="B51" s="450"/>
      <c r="C51" s="7" t="s">
        <v>61</v>
      </c>
      <c r="D51" s="29"/>
      <c r="E51" s="29"/>
      <c r="F51" s="29"/>
      <c r="G51" s="29"/>
      <c r="H51" s="29"/>
      <c r="I51" s="29"/>
      <c r="J51" s="17">
        <f t="shared" si="5"/>
        <v>0</v>
      </c>
      <c r="K51" s="12" t="s">
        <v>285</v>
      </c>
      <c r="L51" s="13"/>
      <c r="M51" s="7">
        <f t="shared" ca="1" si="7"/>
        <v>3.6629999999999998</v>
      </c>
      <c r="N51" s="17">
        <f t="shared" ca="1" si="2"/>
        <v>0</v>
      </c>
      <c r="O51" s="112" t="s">
        <v>286</v>
      </c>
      <c r="P51" s="16"/>
      <c r="Q51" s="15">
        <v>1</v>
      </c>
      <c r="R51" s="51">
        <f>IF(O51="Included",0,IF(K51="Default",INDEX(Ferroalloys,MATCH($A51,INDEX(Ferroalloys,0,1),0),5),L51))</f>
        <v>0</v>
      </c>
      <c r="S51" s="17">
        <f t="shared" si="3"/>
        <v>0</v>
      </c>
      <c r="T51" s="31">
        <f t="shared" ca="1" si="4"/>
        <v>0</v>
      </c>
    </row>
    <row r="52" spans="1:20" ht="15.95" customHeight="1">
      <c r="A52" s="5" t="s">
        <v>318</v>
      </c>
      <c r="B52" s="450"/>
      <c r="C52" s="7" t="s">
        <v>61</v>
      </c>
      <c r="D52" s="29"/>
      <c r="E52" s="29"/>
      <c r="F52" s="29">
        <v>180000</v>
      </c>
      <c r="G52" s="29"/>
      <c r="H52" s="29"/>
      <c r="I52" s="29"/>
      <c r="J52" s="17">
        <f t="shared" si="5"/>
        <v>180000</v>
      </c>
      <c r="K52" s="12" t="s">
        <v>285</v>
      </c>
      <c r="L52" s="13"/>
      <c r="M52" s="7">
        <f t="shared" ca="1" si="7"/>
        <v>0</v>
      </c>
      <c r="N52" s="17">
        <f t="shared" ca="1" si="2"/>
        <v>0</v>
      </c>
      <c r="O52" s="112" t="s">
        <v>285</v>
      </c>
      <c r="P52" s="16"/>
      <c r="Q52" s="15">
        <v>1</v>
      </c>
      <c r="R52" s="8">
        <f t="shared" ref="R52:R57" ca="1" si="9">IF(O52="Default",INDEX(Indirect_EF,MATCH(A52,INDEX(Indirect_EF,0,1),0),3),P52)</f>
        <v>0.95</v>
      </c>
      <c r="S52" s="18">
        <f t="shared" ca="1" si="3"/>
        <v>171000</v>
      </c>
      <c r="T52" s="31">
        <f t="shared" ca="1" si="4"/>
        <v>171000</v>
      </c>
    </row>
    <row r="53" spans="1:20" ht="15.95" customHeight="1">
      <c r="A53" s="5" t="s">
        <v>319</v>
      </c>
      <c r="B53" s="450"/>
      <c r="C53" s="7" t="s">
        <v>61</v>
      </c>
      <c r="D53" s="29"/>
      <c r="E53" s="29"/>
      <c r="F53" s="29"/>
      <c r="G53" s="29"/>
      <c r="H53" s="29"/>
      <c r="I53" s="29"/>
      <c r="J53" s="17">
        <f t="shared" si="5"/>
        <v>0</v>
      </c>
      <c r="K53" s="12" t="s">
        <v>285</v>
      </c>
      <c r="L53" s="13"/>
      <c r="M53" s="7">
        <f t="shared" ca="1" si="7"/>
        <v>0</v>
      </c>
      <c r="N53" s="17">
        <f t="shared" ca="1" si="2"/>
        <v>0</v>
      </c>
      <c r="O53" s="112" t="s">
        <v>285</v>
      </c>
      <c r="P53" s="16"/>
      <c r="Q53" s="15">
        <v>1</v>
      </c>
      <c r="R53" s="8">
        <f t="shared" ca="1" si="9"/>
        <v>1.1000000000000001</v>
      </c>
      <c r="S53" s="18">
        <f t="shared" ca="1" si="3"/>
        <v>0</v>
      </c>
      <c r="T53" s="31">
        <f t="shared" ca="1" si="4"/>
        <v>0</v>
      </c>
    </row>
    <row r="54" spans="1:20" ht="15.95" customHeight="1">
      <c r="A54" s="5" t="s">
        <v>320</v>
      </c>
      <c r="B54" s="450"/>
      <c r="C54" s="7" t="s">
        <v>61</v>
      </c>
      <c r="D54" s="29"/>
      <c r="E54" s="29"/>
      <c r="F54" s="29"/>
      <c r="G54" s="29"/>
      <c r="H54" s="29"/>
      <c r="I54" s="29"/>
      <c r="J54" s="17">
        <f t="shared" si="5"/>
        <v>0</v>
      </c>
      <c r="K54" s="12" t="s">
        <v>285</v>
      </c>
      <c r="L54" s="13"/>
      <c r="M54" s="7">
        <f t="shared" ca="1" si="7"/>
        <v>0</v>
      </c>
      <c r="N54" s="17">
        <f t="shared" ca="1" si="2"/>
        <v>0</v>
      </c>
      <c r="O54" s="112" t="s">
        <v>285</v>
      </c>
      <c r="P54" s="16"/>
      <c r="Q54" s="15">
        <v>1</v>
      </c>
      <c r="R54" s="22">
        <f t="shared" ca="1" si="9"/>
        <v>0.2702</v>
      </c>
      <c r="S54" s="18">
        <f t="shared" ca="1" si="3"/>
        <v>0</v>
      </c>
      <c r="T54" s="31">
        <f t="shared" ca="1" si="4"/>
        <v>0</v>
      </c>
    </row>
    <row r="55" spans="1:20" ht="15.95" customHeight="1">
      <c r="A55" s="5" t="s">
        <v>321</v>
      </c>
      <c r="B55" s="450"/>
      <c r="C55" s="7" t="s">
        <v>61</v>
      </c>
      <c r="D55" s="29"/>
      <c r="E55" s="29"/>
      <c r="F55" s="29"/>
      <c r="G55" s="29"/>
      <c r="H55" s="29"/>
      <c r="I55" s="29"/>
      <c r="J55" s="17">
        <f t="shared" si="5"/>
        <v>0</v>
      </c>
      <c r="K55" s="12" t="s">
        <v>285</v>
      </c>
      <c r="L55" s="13"/>
      <c r="M55" s="7">
        <f t="shared" ca="1" si="7"/>
        <v>0</v>
      </c>
      <c r="N55" s="17">
        <f t="shared" ca="1" si="2"/>
        <v>0</v>
      </c>
      <c r="O55" s="112" t="s">
        <v>285</v>
      </c>
      <c r="P55" s="16"/>
      <c r="Q55" s="15">
        <v>1</v>
      </c>
      <c r="R55" s="22">
        <f t="shared" ca="1" si="9"/>
        <v>8.8789999999999994E-2</v>
      </c>
      <c r="S55" s="18">
        <f t="shared" ca="1" si="3"/>
        <v>0</v>
      </c>
      <c r="T55" s="31">
        <f t="shared" ca="1" si="4"/>
        <v>0</v>
      </c>
    </row>
    <row r="56" spans="1:20" ht="15.95" customHeight="1">
      <c r="A56" s="6" t="s">
        <v>322</v>
      </c>
      <c r="B56" s="450"/>
      <c r="C56" s="7" t="s">
        <v>61</v>
      </c>
      <c r="D56" s="29"/>
      <c r="E56" s="29"/>
      <c r="F56" s="29"/>
      <c r="G56" s="29"/>
      <c r="H56" s="29"/>
      <c r="I56" s="29"/>
      <c r="J56" s="17">
        <f t="shared" si="5"/>
        <v>0</v>
      </c>
      <c r="K56" s="12" t="s">
        <v>285</v>
      </c>
      <c r="L56" s="13"/>
      <c r="M56" s="7">
        <f t="shared" ca="1" si="7"/>
        <v>0</v>
      </c>
      <c r="N56" s="17">
        <f t="shared" ca="1" si="2"/>
        <v>0</v>
      </c>
      <c r="O56" s="112" t="s">
        <v>285</v>
      </c>
      <c r="P56" s="16"/>
      <c r="Q56" s="15">
        <v>1</v>
      </c>
      <c r="R56" s="22">
        <f t="shared" ca="1" si="9"/>
        <v>6.2799999999999995E-2</v>
      </c>
      <c r="S56" s="18">
        <f t="shared" ca="1" si="3"/>
        <v>0</v>
      </c>
      <c r="T56" s="31">
        <f t="shared" ca="1" si="4"/>
        <v>0</v>
      </c>
    </row>
    <row r="57" spans="1:20" ht="15.95" customHeight="1">
      <c r="A57" s="5" t="s">
        <v>328</v>
      </c>
      <c r="B57" s="428" t="s">
        <v>439</v>
      </c>
      <c r="C57" s="7" t="s">
        <v>239</v>
      </c>
      <c r="D57" s="29"/>
      <c r="E57" s="29"/>
      <c r="F57" s="29"/>
      <c r="G57" s="29"/>
      <c r="H57" s="29"/>
      <c r="I57" s="29"/>
      <c r="J57" s="17">
        <f t="shared" si="5"/>
        <v>0</v>
      </c>
      <c r="K57" s="12" t="s">
        <v>285</v>
      </c>
      <c r="L57" s="13"/>
      <c r="M57" s="7">
        <f t="shared" ca="1" si="7"/>
        <v>0</v>
      </c>
      <c r="N57" s="17">
        <f t="shared" ca="1" si="2"/>
        <v>0</v>
      </c>
      <c r="O57" s="112" t="s">
        <v>285</v>
      </c>
      <c r="P57" s="16"/>
      <c r="Q57" s="15">
        <v>1</v>
      </c>
      <c r="R57" s="22">
        <f t="shared" ca="1" si="9"/>
        <v>0.438</v>
      </c>
      <c r="S57" s="18">
        <f t="shared" ca="1" si="3"/>
        <v>0</v>
      </c>
      <c r="T57" s="31">
        <f t="shared" ca="1" si="4"/>
        <v>0</v>
      </c>
    </row>
    <row r="58" spans="1:20" ht="15.95" customHeight="1">
      <c r="A58" s="5" t="s">
        <v>330</v>
      </c>
      <c r="B58" s="429"/>
      <c r="C58" s="7" t="s">
        <v>239</v>
      </c>
      <c r="D58" s="29"/>
      <c r="E58" s="29"/>
      <c r="F58" s="29"/>
      <c r="G58" s="29"/>
      <c r="H58" s="29"/>
      <c r="I58" s="29"/>
      <c r="J58" s="17">
        <f t="shared" si="5"/>
        <v>0</v>
      </c>
      <c r="K58" s="12" t="s">
        <v>285</v>
      </c>
      <c r="L58" s="13"/>
      <c r="M58" s="7">
        <f t="shared" ca="1" si="7"/>
        <v>0</v>
      </c>
      <c r="N58" s="17">
        <f t="shared" ca="1" si="2"/>
        <v>0</v>
      </c>
      <c r="O58" s="112" t="s">
        <v>286</v>
      </c>
      <c r="P58" s="16"/>
      <c r="Q58" s="15">
        <v>1</v>
      </c>
      <c r="R58" s="22">
        <f ca="1">IF(O58="Default",INDEX(Indirect_EF,MATCH(A58,INDEX(Indirect_EF,0,1),0),3),IF(O58="Included",0,P58))</f>
        <v>0</v>
      </c>
      <c r="S58" s="192">
        <f t="shared" ca="1" si="3"/>
        <v>0</v>
      </c>
      <c r="T58" s="192">
        <f t="shared" ca="1" si="4"/>
        <v>0</v>
      </c>
    </row>
    <row r="59" spans="1:20" ht="15.95" customHeight="1">
      <c r="A59" s="6" t="s">
        <v>440</v>
      </c>
      <c r="B59" s="430"/>
      <c r="C59" s="7" t="s">
        <v>239</v>
      </c>
      <c r="D59" s="29"/>
      <c r="E59" s="29"/>
      <c r="F59" s="29"/>
      <c r="G59" s="29"/>
      <c r="H59" s="29"/>
      <c r="I59" s="29"/>
      <c r="J59" s="17">
        <f t="shared" si="5"/>
        <v>0</v>
      </c>
      <c r="K59" s="12" t="s">
        <v>285</v>
      </c>
      <c r="L59" s="13"/>
      <c r="M59" s="7">
        <f t="shared" ca="1" si="7"/>
        <v>0</v>
      </c>
      <c r="N59" s="17">
        <f t="shared" ca="1" si="2"/>
        <v>0</v>
      </c>
      <c r="O59" s="112" t="s">
        <v>286</v>
      </c>
      <c r="P59" s="16"/>
      <c r="Q59" s="15">
        <v>1</v>
      </c>
      <c r="R59" s="22">
        <f ca="1">IF(O59="Default",INDEX(Indirect_EF,MATCH(A59,INDEX(Indirect_EF,0,1),0),3),IF(O59="Included",0,P59))</f>
        <v>0</v>
      </c>
      <c r="S59" s="192">
        <f t="shared" ca="1" si="3"/>
        <v>0</v>
      </c>
      <c r="T59" s="192">
        <f t="shared" ca="1" si="4"/>
        <v>0</v>
      </c>
    </row>
    <row r="60" spans="1:20" ht="15.95" customHeight="1">
      <c r="A60" s="55" t="s">
        <v>323</v>
      </c>
      <c r="B60" s="56" t="s">
        <v>324</v>
      </c>
      <c r="C60" s="57" t="s">
        <v>61</v>
      </c>
      <c r="D60" s="58"/>
      <c r="E60" s="58"/>
      <c r="F60" s="58"/>
      <c r="G60" s="58"/>
      <c r="H60" s="58"/>
      <c r="I60" s="58"/>
      <c r="J60" s="59">
        <f t="shared" si="5"/>
        <v>0</v>
      </c>
      <c r="K60" s="60" t="s">
        <v>285</v>
      </c>
      <c r="L60" s="61"/>
      <c r="M60" s="57">
        <f t="shared" ca="1" si="7"/>
        <v>0</v>
      </c>
      <c r="N60" s="59">
        <f t="shared" ca="1" si="2"/>
        <v>0</v>
      </c>
      <c r="O60" s="12" t="s">
        <v>285</v>
      </c>
      <c r="P60" s="13"/>
      <c r="Q60" s="196">
        <v>1</v>
      </c>
      <c r="R60" s="8">
        <f ca="1">IF(O60="Default",INDEX(Indirect_EF,MATCH(A60,INDEX(Indirect_EF,0,1),0),3),P60)</f>
        <v>0.19500000000000001</v>
      </c>
      <c r="S60" s="192">
        <f t="shared" ca="1" si="3"/>
        <v>0</v>
      </c>
      <c r="T60" s="192">
        <f t="shared" ca="1" si="4"/>
        <v>0</v>
      </c>
    </row>
    <row r="61" spans="1:20" ht="15.95" customHeight="1">
      <c r="A61" s="170" t="s">
        <v>458</v>
      </c>
      <c r="B61" s="498" t="s">
        <v>459</v>
      </c>
      <c r="C61" s="182" t="s">
        <v>61</v>
      </c>
      <c r="D61" s="184"/>
      <c r="E61" s="184"/>
      <c r="F61" s="184"/>
      <c r="G61" s="184"/>
      <c r="H61" s="184"/>
      <c r="I61" s="184"/>
      <c r="J61" s="18">
        <f>SUM(D61:I61)</f>
        <v>0</v>
      </c>
      <c r="K61" s="501" t="s">
        <v>460</v>
      </c>
      <c r="L61" s="502"/>
      <c r="M61" s="502"/>
      <c r="N61" s="503"/>
      <c r="O61" s="194" t="s">
        <v>285</v>
      </c>
      <c r="P61" s="117"/>
      <c r="Q61" s="197">
        <v>1</v>
      </c>
      <c r="R61" s="8">
        <f ca="1">IF(O61="Default",INDEX(Indirect_EF,MATCH(A61,INDEX(Indirect_EF,0,1),0),3),P61)</f>
        <v>0.36</v>
      </c>
      <c r="S61" s="192">
        <f ca="1">R61*J61</f>
        <v>0</v>
      </c>
      <c r="T61" s="192">
        <f ca="1">N61+S61</f>
        <v>0</v>
      </c>
    </row>
    <row r="62" spans="1:20" ht="15.95" customHeight="1">
      <c r="A62" s="168" t="s">
        <v>461</v>
      </c>
      <c r="B62" s="499"/>
      <c r="C62" s="182" t="s">
        <v>61</v>
      </c>
      <c r="D62" s="184"/>
      <c r="E62" s="184"/>
      <c r="F62" s="184"/>
      <c r="G62" s="184"/>
      <c r="H62" s="184"/>
      <c r="I62" s="184"/>
      <c r="J62" s="18">
        <f>SUM(D62:I62)</f>
        <v>0</v>
      </c>
      <c r="K62" s="504"/>
      <c r="L62" s="505"/>
      <c r="M62" s="505"/>
      <c r="N62" s="506"/>
      <c r="O62" s="194" t="s">
        <v>285</v>
      </c>
      <c r="P62" s="117"/>
      <c r="Q62" s="197">
        <v>1</v>
      </c>
      <c r="R62" s="8">
        <f ca="1">IF(O62="Default",INDEX(Indirect_EF,MATCH(A62,INDEX(Indirect_EF,0,1),0),3),P62)</f>
        <v>0.11</v>
      </c>
      <c r="S62" s="192">
        <f ca="1">R62*J62</f>
        <v>0</v>
      </c>
      <c r="T62" s="192">
        <f ca="1">N62+S62</f>
        <v>0</v>
      </c>
    </row>
    <row r="63" spans="1:20" ht="15.95" customHeight="1">
      <c r="A63" s="181" t="s">
        <v>306</v>
      </c>
      <c r="B63" s="500"/>
      <c r="C63" s="183" t="s">
        <v>462</v>
      </c>
      <c r="D63" s="180"/>
      <c r="E63" s="180"/>
      <c r="F63" s="180"/>
      <c r="G63" s="180"/>
      <c r="H63" s="180"/>
      <c r="I63" s="180"/>
      <c r="J63" s="190">
        <f>SUM(D63:I63)</f>
        <v>0</v>
      </c>
      <c r="K63" s="507"/>
      <c r="L63" s="508"/>
      <c r="M63" s="508"/>
      <c r="N63" s="509"/>
      <c r="O63" s="195" t="s">
        <v>285</v>
      </c>
      <c r="P63" s="191"/>
      <c r="Q63" s="198">
        <v>1</v>
      </c>
      <c r="R63" s="183">
        <f ca="1">IF(O63="Default",INDEX(Indirect_EF,MATCH(A63,INDEX(Indirect_EF,0,1),0),3),P63)</f>
        <v>6.4887573964497042E-4</v>
      </c>
      <c r="S63" s="193">
        <f ca="1">R63*J63</f>
        <v>0</v>
      </c>
      <c r="T63" s="193">
        <f ca="1">N63+S63</f>
        <v>0</v>
      </c>
    </row>
    <row r="64" spans="1:20" ht="15.95" customHeight="1">
      <c r="B64" s="1"/>
      <c r="C64" s="1"/>
      <c r="D64" s="88"/>
      <c r="E64" s="88"/>
      <c r="F64" s="88"/>
      <c r="G64" s="88"/>
      <c r="H64" s="88"/>
      <c r="I64" s="88"/>
      <c r="J64" s="18"/>
      <c r="K64" s="1"/>
      <c r="M64" s="1"/>
      <c r="N64" s="18"/>
      <c r="O64" s="1"/>
      <c r="R64" s="1"/>
      <c r="S64" s="18"/>
      <c r="T64" s="18"/>
    </row>
    <row r="65" spans="1:23" ht="15.75" customHeight="1">
      <c r="E65" s="88"/>
    </row>
    <row r="66" spans="1:23" ht="15.75" customHeight="1">
      <c r="A66" s="460" t="s">
        <v>336</v>
      </c>
      <c r="B66" s="461"/>
      <c r="C66" s="493"/>
      <c r="D66" s="9" t="s">
        <v>337</v>
      </c>
      <c r="E66" s="455" t="s">
        <v>338</v>
      </c>
      <c r="F66" s="456"/>
      <c r="G66" s="456"/>
      <c r="H66" s="456"/>
      <c r="I66" s="455" t="s">
        <v>339</v>
      </c>
      <c r="J66" s="456"/>
      <c r="K66" s="456"/>
      <c r="L66" s="456"/>
      <c r="M66" s="456"/>
      <c r="N66" s="456"/>
      <c r="O66" s="456"/>
      <c r="P66" s="457"/>
    </row>
    <row r="67" spans="1:23" ht="33.950000000000003">
      <c r="A67" s="23" t="s">
        <v>340</v>
      </c>
      <c r="B67" s="24" t="s">
        <v>25</v>
      </c>
      <c r="C67" s="24" t="s">
        <v>234</v>
      </c>
      <c r="D67" s="24" t="s">
        <v>341</v>
      </c>
      <c r="E67" s="127" t="s">
        <v>338</v>
      </c>
      <c r="F67" s="128"/>
      <c r="G67" s="125" t="s">
        <v>343</v>
      </c>
      <c r="H67" s="2" t="s">
        <v>344</v>
      </c>
      <c r="I67" s="125" t="s">
        <v>345</v>
      </c>
      <c r="J67" s="125" t="s">
        <v>346</v>
      </c>
      <c r="K67" s="125" t="s">
        <v>347</v>
      </c>
      <c r="L67" s="125" t="s">
        <v>441</v>
      </c>
      <c r="M67" s="125" t="s">
        <v>349</v>
      </c>
      <c r="N67" s="125" t="s">
        <v>350</v>
      </c>
      <c r="O67" s="145" t="s">
        <v>351</v>
      </c>
      <c r="P67" s="145" t="s">
        <v>352</v>
      </c>
    </row>
    <row r="68" spans="1:23" ht="15.75" customHeight="1">
      <c r="A68" s="5" t="s">
        <v>354</v>
      </c>
      <c r="B68" s="448" t="s">
        <v>215</v>
      </c>
      <c r="C68" s="10" t="s">
        <v>355</v>
      </c>
      <c r="D68" s="27">
        <v>0</v>
      </c>
      <c r="E68" s="440" t="s">
        <v>356</v>
      </c>
      <c r="F68" s="496"/>
      <c r="G68" s="10" t="str">
        <f ca="1">INDEX(Byproduct_EF,MATCH(E68,INDEX(Byproduct_EF,0,2),0),3)</f>
        <v>MWh</v>
      </c>
      <c r="H68" s="132" t="s">
        <v>285</v>
      </c>
      <c r="I68" s="129"/>
      <c r="J68" s="137">
        <f ca="1">IF(H68="Default",INDEX(Byproduct_EF,MATCH(E68,INDEX(Byproduct_EF,0,2),0),4),I68)</f>
        <v>0</v>
      </c>
      <c r="K68" s="132" t="s">
        <v>331</v>
      </c>
      <c r="L68" s="129"/>
      <c r="M68" s="10">
        <f t="shared" ref="M68:M84" ca="1" si="10">IF(K68="Default",INDEX(Direct_EF,MATCH(A68,INDEX(Direct_EF,0,1),0),2),L68)</f>
        <v>0</v>
      </c>
      <c r="N68" s="111">
        <v>1</v>
      </c>
      <c r="O68" s="22">
        <f ca="1">(M68-J68)*N68</f>
        <v>0</v>
      </c>
      <c r="P68" s="31">
        <f ca="1">O68*D68</f>
        <v>0</v>
      </c>
    </row>
    <row r="69" spans="1:23" ht="15.75" customHeight="1">
      <c r="A69" s="5" t="s">
        <v>357</v>
      </c>
      <c r="B69" s="448"/>
      <c r="C69" s="8" t="s">
        <v>358</v>
      </c>
      <c r="D69" s="29">
        <v>0</v>
      </c>
      <c r="E69" s="437" t="s">
        <v>359</v>
      </c>
      <c r="F69" s="438"/>
      <c r="G69" s="8" t="str">
        <f ca="1">INDEX(Byproduct_EF,MATCH(E69,INDEX(Byproduct_EF,0,2),0),3)</f>
        <v>GJ</v>
      </c>
      <c r="H69" s="133" t="s">
        <v>285</v>
      </c>
      <c r="I69" s="130"/>
      <c r="J69" s="22">
        <f ca="1">IF(H69="Default",INDEX(Byproduct_EF,MATCH(E69,INDEX(Byproduct_EF,0,2),0),4),I69)</f>
        <v>0.13075611083282368</v>
      </c>
      <c r="K69" s="133" t="s">
        <v>331</v>
      </c>
      <c r="L69" s="130"/>
      <c r="M69" s="8">
        <f t="shared" ca="1" si="10"/>
        <v>0</v>
      </c>
      <c r="N69" s="112">
        <v>1</v>
      </c>
      <c r="O69" s="22">
        <f t="shared" ref="O69:O84" ca="1" si="11">(M69-J69)*N69</f>
        <v>-0.13075611083282368</v>
      </c>
      <c r="P69" s="31">
        <f t="shared" ref="P69:P84" ca="1" si="12">O69*D69</f>
        <v>0</v>
      </c>
    </row>
    <row r="70" spans="1:23" ht="15.75" customHeight="1">
      <c r="A70" s="5" t="s">
        <v>360</v>
      </c>
      <c r="B70" s="448"/>
      <c r="C70" s="8" t="s">
        <v>358</v>
      </c>
      <c r="D70" s="29">
        <v>0</v>
      </c>
      <c r="E70" s="437" t="s">
        <v>359</v>
      </c>
      <c r="F70" s="438"/>
      <c r="G70" s="8" t="str">
        <f ca="1">INDEX(Byproduct_EF,MATCH(E70,INDEX(Byproduct_EF,0,2),0),3)</f>
        <v>GJ</v>
      </c>
      <c r="H70" s="133" t="s">
        <v>285</v>
      </c>
      <c r="I70" s="130"/>
      <c r="J70" s="22">
        <f ca="1">IF(H70="Default",INDEX(Byproduct_EF,MATCH(E70,INDEX(Byproduct_EF,0,2),0),4),I70)</f>
        <v>0.13075611083282368</v>
      </c>
      <c r="K70" s="133" t="s">
        <v>331</v>
      </c>
      <c r="L70" s="130"/>
      <c r="M70" s="8">
        <f t="shared" ca="1" si="10"/>
        <v>0</v>
      </c>
      <c r="N70" s="112">
        <v>1</v>
      </c>
      <c r="O70" s="22">
        <f t="shared" ca="1" si="11"/>
        <v>-0.13075611083282368</v>
      </c>
      <c r="P70" s="31">
        <f t="shared" ca="1" si="12"/>
        <v>0</v>
      </c>
    </row>
    <row r="71" spans="1:23" ht="15.75" customHeight="1">
      <c r="A71" s="5" t="s">
        <v>362</v>
      </c>
      <c r="B71" s="448" t="s">
        <v>363</v>
      </c>
      <c r="C71" s="8" t="s">
        <v>61</v>
      </c>
      <c r="D71" s="29">
        <v>569000</v>
      </c>
      <c r="E71" s="437" t="s">
        <v>364</v>
      </c>
      <c r="F71" s="438"/>
      <c r="G71" s="8" t="str">
        <f ca="1">INDEX(Byproduct_EF,MATCH(E71,INDEX(Byproduct_EF,0,2),0),3)</f>
        <v>t</v>
      </c>
      <c r="H71" s="133" t="s">
        <v>285</v>
      </c>
      <c r="I71" s="130"/>
      <c r="J71" s="22">
        <f ca="1">IF(H71="Default",INDEX(Byproduct_EF,MATCH(E71,INDEX(Byproduct_EF,0,2),0),4),I71)</f>
        <v>0.83799999999999997</v>
      </c>
      <c r="K71" s="133" t="s">
        <v>331</v>
      </c>
      <c r="L71" s="112">
        <v>0</v>
      </c>
      <c r="M71" s="8">
        <f t="shared" ca="1" si="10"/>
        <v>0</v>
      </c>
      <c r="N71" s="112">
        <v>1</v>
      </c>
      <c r="O71" s="22">
        <f t="shared" ca="1" si="11"/>
        <v>-0.83799999999999997</v>
      </c>
      <c r="P71" s="31">
        <f t="shared" ca="1" si="12"/>
        <v>-476822</v>
      </c>
    </row>
    <row r="72" spans="1:23" ht="15.75" customHeight="1">
      <c r="A72" s="5" t="s">
        <v>365</v>
      </c>
      <c r="B72" s="448"/>
      <c r="C72" s="8" t="s">
        <v>61</v>
      </c>
      <c r="D72" s="29">
        <v>240000</v>
      </c>
      <c r="E72" s="437" t="s">
        <v>366</v>
      </c>
      <c r="F72" s="438"/>
      <c r="G72" s="8" t="str">
        <f ca="1">INDEX(Byproduct_EF,MATCH(E72,INDEX(Byproduct_EF,0,2),0),3)</f>
        <v>t</v>
      </c>
      <c r="H72" s="133" t="s">
        <v>285</v>
      </c>
      <c r="I72" s="130"/>
      <c r="J72" s="22">
        <f ca="1">IF(H72="Default",INDEX(Byproduct_EF,MATCH(E72,INDEX(Byproduct_EF,0,2),0),4),I72)</f>
        <v>6.1799999999999997E-3</v>
      </c>
      <c r="K72" s="133" t="s">
        <v>331</v>
      </c>
      <c r="L72" s="112">
        <v>0</v>
      </c>
      <c r="M72" s="8">
        <f t="shared" ca="1" si="10"/>
        <v>0</v>
      </c>
      <c r="N72" s="112">
        <v>1</v>
      </c>
      <c r="O72" s="22">
        <f t="shared" ca="1" si="11"/>
        <v>-6.1799999999999997E-3</v>
      </c>
      <c r="P72" s="31">
        <f t="shared" ca="1" si="12"/>
        <v>-1483.2</v>
      </c>
      <c r="W72" s="88"/>
    </row>
    <row r="73" spans="1:23" ht="15.75" customHeight="1">
      <c r="A73" s="5" t="s">
        <v>367</v>
      </c>
      <c r="B73" s="448"/>
      <c r="C73" s="8" t="s">
        <v>61</v>
      </c>
      <c r="D73" s="29">
        <v>0</v>
      </c>
      <c r="E73" s="437" t="s">
        <v>366</v>
      </c>
      <c r="F73" s="438"/>
      <c r="G73" s="8" t="str">
        <f ca="1">INDEX(Byproduct_EF,MATCH(E73,INDEX(Byproduct_EF,0,2),0),3)</f>
        <v>t</v>
      </c>
      <c r="H73" s="133" t="s">
        <v>285</v>
      </c>
      <c r="I73" s="130"/>
      <c r="J73" s="22">
        <f ca="1">IF(H73="Default",INDEX(Byproduct_EF,MATCH(E73,INDEX(Byproduct_EF,0,2),0),4),I73)</f>
        <v>6.1799999999999997E-3</v>
      </c>
      <c r="K73" s="133" t="s">
        <v>331</v>
      </c>
      <c r="L73" s="130"/>
      <c r="M73" s="8">
        <f t="shared" ca="1" si="10"/>
        <v>0</v>
      </c>
      <c r="N73" s="112">
        <v>1</v>
      </c>
      <c r="O73" s="22">
        <f t="shared" ca="1" si="11"/>
        <v>-6.1799999999999997E-3</v>
      </c>
      <c r="P73" s="31">
        <f t="shared" ca="1" si="12"/>
        <v>0</v>
      </c>
      <c r="W73" s="88"/>
    </row>
    <row r="74" spans="1:23" ht="15.75" customHeight="1">
      <c r="A74" s="5" t="s">
        <v>368</v>
      </c>
      <c r="B74" s="439" t="s">
        <v>369</v>
      </c>
      <c r="C74" s="8" t="s">
        <v>61</v>
      </c>
      <c r="D74" s="29">
        <v>0</v>
      </c>
      <c r="E74" s="437" t="s">
        <v>370</v>
      </c>
      <c r="F74" s="438"/>
      <c r="G74" s="8" t="str">
        <f ca="1">INDEX(Byproduct_EF,MATCH(E74,INDEX(Byproduct_EF,0,2),0),3)</f>
        <v>-</v>
      </c>
      <c r="H74" s="133" t="s">
        <v>331</v>
      </c>
      <c r="I74" s="130"/>
      <c r="J74" s="22">
        <f ca="1">IF(H74="Default",INDEX(Byproduct_EF,MATCH(E74,INDEX(Byproduct_EF,0,2),0),4),I74)</f>
        <v>0</v>
      </c>
      <c r="K74" s="133" t="s">
        <v>331</v>
      </c>
      <c r="L74" s="130"/>
      <c r="M74" s="8">
        <f t="shared" ca="1" si="10"/>
        <v>0</v>
      </c>
      <c r="N74" s="112">
        <v>1</v>
      </c>
      <c r="O74" s="22">
        <f t="shared" ca="1" si="11"/>
        <v>0</v>
      </c>
      <c r="P74" s="31">
        <f t="shared" ca="1" si="12"/>
        <v>0</v>
      </c>
    </row>
    <row r="75" spans="1:23" ht="15.75" customHeight="1">
      <c r="A75" s="5" t="s">
        <v>372</v>
      </c>
      <c r="B75" s="439"/>
      <c r="C75" s="8" t="s">
        <v>61</v>
      </c>
      <c r="D75" s="29">
        <v>0</v>
      </c>
      <c r="E75" s="437" t="s">
        <v>370</v>
      </c>
      <c r="F75" s="438"/>
      <c r="G75" s="8" t="str">
        <f ca="1">INDEX(Byproduct_EF,MATCH(E75,INDEX(Byproduct_EF,0,2),0),3)</f>
        <v>-</v>
      </c>
      <c r="H75" s="133" t="s">
        <v>331</v>
      </c>
      <c r="I75" s="130"/>
      <c r="J75" s="22">
        <f ca="1">IF(H75="Default",INDEX(Byproduct_EF,MATCH(E75,INDEX(Byproduct_EF,0,2),0),4),I75)</f>
        <v>0</v>
      </c>
      <c r="K75" s="133" t="s">
        <v>331</v>
      </c>
      <c r="L75" s="130"/>
      <c r="M75" s="8">
        <f t="shared" ca="1" si="10"/>
        <v>0</v>
      </c>
      <c r="N75" s="112">
        <v>1</v>
      </c>
      <c r="O75" s="22">
        <f t="shared" ca="1" si="11"/>
        <v>0</v>
      </c>
      <c r="P75" s="31">
        <f t="shared" ca="1" si="12"/>
        <v>0</v>
      </c>
    </row>
    <row r="76" spans="1:23" ht="15.75" customHeight="1">
      <c r="A76" s="5" t="s">
        <v>373</v>
      </c>
      <c r="B76" s="439"/>
      <c r="C76" s="8" t="s">
        <v>61</v>
      </c>
      <c r="D76" s="29">
        <v>0</v>
      </c>
      <c r="E76" s="437" t="s">
        <v>370</v>
      </c>
      <c r="F76" s="438"/>
      <c r="G76" s="8" t="str">
        <f ca="1">INDEX(Byproduct_EF,MATCH(E76,INDEX(Byproduct_EF,0,2),0),3)</f>
        <v>-</v>
      </c>
      <c r="H76" s="133" t="s">
        <v>331</v>
      </c>
      <c r="I76" s="130"/>
      <c r="J76" s="22">
        <f ca="1">IF(H76="Default",INDEX(Byproduct_EF,MATCH(E76,INDEX(Byproduct_EF,0,2),0),4),I76)</f>
        <v>0</v>
      </c>
      <c r="K76" s="133" t="s">
        <v>331</v>
      </c>
      <c r="L76" s="130"/>
      <c r="M76" s="8">
        <f t="shared" ca="1" si="10"/>
        <v>0</v>
      </c>
      <c r="N76" s="112">
        <v>1</v>
      </c>
      <c r="O76" s="22">
        <f t="shared" ca="1" si="11"/>
        <v>0</v>
      </c>
      <c r="P76" s="31">
        <f t="shared" ca="1" si="12"/>
        <v>0</v>
      </c>
      <c r="W76" s="88"/>
    </row>
    <row r="77" spans="1:23" ht="15.75" customHeight="1">
      <c r="A77" s="5" t="s">
        <v>374</v>
      </c>
      <c r="B77" s="439"/>
      <c r="C77" s="8" t="s">
        <v>61</v>
      </c>
      <c r="D77" s="29">
        <v>0</v>
      </c>
      <c r="E77" s="437" t="s">
        <v>370</v>
      </c>
      <c r="F77" s="438"/>
      <c r="G77" s="8" t="str">
        <f ca="1">INDEX(Byproduct_EF,MATCH(E77,INDEX(Byproduct_EF,0,2),0),3)</f>
        <v>-</v>
      </c>
      <c r="H77" s="133" t="s">
        <v>331</v>
      </c>
      <c r="I77" s="130"/>
      <c r="J77" s="22">
        <f ca="1">IF(H77="Default",INDEX(Byproduct_EF,MATCH(E77,INDEX(Byproduct_EF,0,2),0),4),I77)</f>
        <v>0</v>
      </c>
      <c r="K77" s="133" t="s">
        <v>331</v>
      </c>
      <c r="L77" s="130"/>
      <c r="M77" s="8">
        <f t="shared" ca="1" si="10"/>
        <v>0</v>
      </c>
      <c r="N77" s="112">
        <v>1</v>
      </c>
      <c r="O77" s="22">
        <f t="shared" ca="1" si="11"/>
        <v>0</v>
      </c>
      <c r="P77" s="31">
        <f t="shared" ca="1" si="12"/>
        <v>0</v>
      </c>
    </row>
    <row r="78" spans="1:23" ht="15.75" customHeight="1">
      <c r="A78" s="5" t="s">
        <v>376</v>
      </c>
      <c r="B78" s="439"/>
      <c r="C78" s="8" t="s">
        <v>61</v>
      </c>
      <c r="D78" s="29">
        <v>0</v>
      </c>
      <c r="E78" s="437" t="s">
        <v>370</v>
      </c>
      <c r="F78" s="438"/>
      <c r="G78" s="8" t="str">
        <f ca="1">INDEX(Byproduct_EF,MATCH(E78,INDEX(Byproduct_EF,0,2),0),3)</f>
        <v>-</v>
      </c>
      <c r="H78" s="133" t="s">
        <v>331</v>
      </c>
      <c r="I78" s="130"/>
      <c r="J78" s="22">
        <f ca="1">IF(H78="Default",INDEX(Byproduct_EF,MATCH(E78,INDEX(Byproduct_EF,0,2),0),4),I78)</f>
        <v>0</v>
      </c>
      <c r="K78" s="133" t="s">
        <v>331</v>
      </c>
      <c r="L78" s="130"/>
      <c r="M78" s="8">
        <f t="shared" ca="1" si="10"/>
        <v>0</v>
      </c>
      <c r="N78" s="112">
        <v>1</v>
      </c>
      <c r="O78" s="22">
        <f t="shared" ca="1" si="11"/>
        <v>0</v>
      </c>
      <c r="P78" s="31">
        <f t="shared" ca="1" si="12"/>
        <v>0</v>
      </c>
    </row>
    <row r="79" spans="1:23" ht="15.75" customHeight="1">
      <c r="A79" s="5" t="s">
        <v>377</v>
      </c>
      <c r="B79" s="139" t="s">
        <v>378</v>
      </c>
      <c r="C79" s="8" t="s">
        <v>61</v>
      </c>
      <c r="D79" s="29">
        <v>0</v>
      </c>
      <c r="E79" s="437" t="s">
        <v>370</v>
      </c>
      <c r="F79" s="438"/>
      <c r="G79" s="8" t="str">
        <f ca="1">INDEX(Byproduct_EF,MATCH(E79,INDEX(Byproduct_EF,0,2),0),3)</f>
        <v>-</v>
      </c>
      <c r="H79" s="133" t="s">
        <v>331</v>
      </c>
      <c r="I79" s="130"/>
      <c r="J79" s="22">
        <f ca="1">IF(H79="Default",INDEX(Byproduct_EF,MATCH(E79,INDEX(Byproduct_EF,0,2),0),4),I79)</f>
        <v>0</v>
      </c>
      <c r="K79" s="133" t="s">
        <v>331</v>
      </c>
      <c r="L79" s="130"/>
      <c r="M79" s="8">
        <f t="shared" ca="1" si="10"/>
        <v>0</v>
      </c>
      <c r="N79" s="112">
        <v>1</v>
      </c>
      <c r="O79" s="22">
        <f t="shared" ca="1" si="11"/>
        <v>0</v>
      </c>
      <c r="P79" s="31">
        <f t="shared" ca="1" si="12"/>
        <v>0</v>
      </c>
    </row>
    <row r="80" spans="1:23" ht="15.75" customHeight="1">
      <c r="A80" s="5" t="s">
        <v>379</v>
      </c>
      <c r="B80" s="448" t="s">
        <v>380</v>
      </c>
      <c r="C80" s="8" t="s">
        <v>239</v>
      </c>
      <c r="D80" s="29">
        <v>100000</v>
      </c>
      <c r="E80" s="437" t="s">
        <v>356</v>
      </c>
      <c r="F80" s="438"/>
      <c r="G80" s="8" t="str">
        <f ca="1">INDEX(Byproduct_EF,MATCH(E80,INDEX(Byproduct_EF,0,2),0),3)</f>
        <v>MWh</v>
      </c>
      <c r="H80" s="133" t="s">
        <v>285</v>
      </c>
      <c r="I80" s="130"/>
      <c r="J80" s="22">
        <f ca="1">IF(H80="Default",INDEX(Byproduct_EF,MATCH(E80,INDEX(Byproduct_EF,0,2),0),4),I80)</f>
        <v>0</v>
      </c>
      <c r="K80" s="133" t="s">
        <v>331</v>
      </c>
      <c r="L80" s="112">
        <v>2.1</v>
      </c>
      <c r="M80" s="8">
        <f t="shared" ca="1" si="10"/>
        <v>2.1</v>
      </c>
      <c r="N80" s="112">
        <v>1</v>
      </c>
      <c r="O80" s="22">
        <f t="shared" ca="1" si="11"/>
        <v>2.1</v>
      </c>
      <c r="P80" s="31">
        <f t="shared" ca="1" si="12"/>
        <v>210000</v>
      </c>
    </row>
    <row r="81" spans="1:23" ht="15.75" customHeight="1">
      <c r="A81" s="5" t="s">
        <v>323</v>
      </c>
      <c r="B81" s="428"/>
      <c r="C81" s="8" t="s">
        <v>358</v>
      </c>
      <c r="D81" s="29">
        <v>0</v>
      </c>
      <c r="E81" s="437" t="s">
        <v>442</v>
      </c>
      <c r="F81" s="438"/>
      <c r="G81" s="8" t="str">
        <f ca="1">INDEX(Byproduct_EF,MATCH(E81,INDEX(Byproduct_EF,0,2),0),3)</f>
        <v>GJ</v>
      </c>
      <c r="H81" s="133" t="s">
        <v>285</v>
      </c>
      <c r="I81" s="130"/>
      <c r="J81" s="22">
        <f ca="1">IF(H81="Default",INDEX(Byproduct_EF,MATCH(E81,INDEX(Byproduct_EF,0,2),0),4),I81)</f>
        <v>0.13075611083282368</v>
      </c>
      <c r="K81" s="133" t="s">
        <v>331</v>
      </c>
      <c r="L81" s="130"/>
      <c r="M81" s="8">
        <f t="shared" ca="1" si="10"/>
        <v>0</v>
      </c>
      <c r="N81" s="112">
        <v>1</v>
      </c>
      <c r="O81" s="22">
        <f t="shared" ca="1" si="11"/>
        <v>-0.13075611083282368</v>
      </c>
      <c r="P81" s="31">
        <f t="shared" ca="1" si="12"/>
        <v>0</v>
      </c>
    </row>
    <row r="82" spans="1:23" ht="15.75" customHeight="1">
      <c r="A82" s="5" t="s">
        <v>443</v>
      </c>
      <c r="B82" s="448" t="s">
        <v>363</v>
      </c>
      <c r="C82" s="8" t="s">
        <v>61</v>
      </c>
      <c r="D82" s="29">
        <v>569000</v>
      </c>
      <c r="E82" s="437" t="s">
        <v>370</v>
      </c>
      <c r="F82" s="438"/>
      <c r="G82" s="8" t="str">
        <f ca="1">INDEX(Byproduct_EF,MATCH(E82,INDEX(Byproduct_EF,0,2),0),3)</f>
        <v>-</v>
      </c>
      <c r="H82" s="133" t="s">
        <v>331</v>
      </c>
      <c r="I82" s="130"/>
      <c r="J82" s="22">
        <f ca="1">IF(H82="Default",INDEX(Byproduct_EF,MATCH(E82,INDEX(Byproduct_EF,0,2),0),4),I82)</f>
        <v>0</v>
      </c>
      <c r="K82" s="133" t="s">
        <v>331</v>
      </c>
      <c r="L82" s="130"/>
      <c r="M82" s="8">
        <f t="shared" ca="1" si="10"/>
        <v>0</v>
      </c>
      <c r="N82" s="112">
        <v>1</v>
      </c>
      <c r="O82" s="22">
        <f t="shared" ca="1" si="11"/>
        <v>0</v>
      </c>
      <c r="P82" s="31">
        <f t="shared" ca="1" si="12"/>
        <v>0</v>
      </c>
    </row>
    <row r="83" spans="1:23" ht="15.75" customHeight="1">
      <c r="A83" s="5" t="s">
        <v>382</v>
      </c>
      <c r="B83" s="448"/>
      <c r="C83" s="8" t="s">
        <v>61</v>
      </c>
      <c r="D83" s="29">
        <v>240000</v>
      </c>
      <c r="E83" s="437" t="s">
        <v>370</v>
      </c>
      <c r="F83" s="438"/>
      <c r="G83" s="8" t="str">
        <f ca="1">INDEX(Byproduct_EF,MATCH(E83,INDEX(Byproduct_EF,0,2),0),3)</f>
        <v>-</v>
      </c>
      <c r="H83" s="133" t="s">
        <v>331</v>
      </c>
      <c r="I83" s="130"/>
      <c r="J83" s="22">
        <f ca="1">IF(H83="Default",INDEX(Byproduct_EF,MATCH(E83,INDEX(Byproduct_EF,0,2),0),4),I83)</f>
        <v>0</v>
      </c>
      <c r="K83" s="133" t="s">
        <v>331</v>
      </c>
      <c r="L83" s="130"/>
      <c r="M83" s="8">
        <f t="shared" ca="1" si="10"/>
        <v>0</v>
      </c>
      <c r="N83" s="112">
        <v>1</v>
      </c>
      <c r="O83" s="22">
        <f t="shared" ca="1" si="11"/>
        <v>0</v>
      </c>
      <c r="P83" s="31">
        <f t="shared" ca="1" si="12"/>
        <v>0</v>
      </c>
      <c r="W83" s="88"/>
    </row>
    <row r="84" spans="1:23" ht="15.75" customHeight="1">
      <c r="A84" s="6" t="s">
        <v>383</v>
      </c>
      <c r="B84" s="448"/>
      <c r="C84" s="119" t="s">
        <v>61</v>
      </c>
      <c r="D84" s="126">
        <v>0</v>
      </c>
      <c r="E84" s="479" t="s">
        <v>370</v>
      </c>
      <c r="F84" s="480"/>
      <c r="G84" s="119" t="str">
        <f ca="1">INDEX(Byproduct_EF,MATCH(E84,INDEX(Byproduct_EF,0,2),0),3)</f>
        <v>-</v>
      </c>
      <c r="H84" s="135" t="s">
        <v>331</v>
      </c>
      <c r="I84" s="131"/>
      <c r="J84" s="138">
        <f ca="1">IF(H84="Default",INDEX(Byproduct_EF,MATCH(E84,INDEX(Byproduct_EF,0,2),0),4),I84)</f>
        <v>0</v>
      </c>
      <c r="K84" s="135" t="s">
        <v>331</v>
      </c>
      <c r="L84" s="131"/>
      <c r="M84" s="119">
        <f t="shared" ca="1" si="10"/>
        <v>0</v>
      </c>
      <c r="N84" s="134">
        <v>1</v>
      </c>
      <c r="O84" s="138">
        <f t="shared" ca="1" si="11"/>
        <v>0</v>
      </c>
      <c r="P84" s="146">
        <f t="shared" ca="1" si="12"/>
        <v>0</v>
      </c>
      <c r="W84" s="88"/>
    </row>
    <row r="85" spans="1:23" ht="15.75" customHeight="1">
      <c r="D85" t="s">
        <v>384</v>
      </c>
      <c r="E85" s="88"/>
    </row>
    <row r="86" spans="1:23" ht="15.75" customHeight="1">
      <c r="E86" s="88"/>
    </row>
    <row r="87" spans="1:23" ht="15.75" customHeight="1">
      <c r="E87" s="88"/>
    </row>
    <row r="88" spans="1:23" ht="33.950000000000003" customHeight="1">
      <c r="A88" s="120" t="s">
        <v>444</v>
      </c>
      <c r="B88" s="121"/>
      <c r="C88" s="121"/>
      <c r="D88" s="122" t="str">
        <f t="shared" ref="D88:I88" si="13">D21</f>
        <v>Mining/Fuel Extraction</v>
      </c>
      <c r="E88" s="122" t="str">
        <f t="shared" si="13"/>
        <v>Raw Material Processing</v>
      </c>
      <c r="F88" s="122" t="str">
        <f t="shared" si="13"/>
        <v>Iron- and Steel-making</v>
      </c>
      <c r="G88" s="122" t="str">
        <f t="shared" si="13"/>
        <v>Hot Rolling</v>
      </c>
      <c r="H88" s="123" t="str">
        <f t="shared" si="13"/>
        <v>Downstream Processing</v>
      </c>
      <c r="I88" s="123" t="str">
        <f t="shared" si="13"/>
        <v>Not Used</v>
      </c>
    </row>
    <row r="89" spans="1:23" ht="15.95">
      <c r="A89" s="64" t="s">
        <v>415</v>
      </c>
      <c r="B89" s="1" t="s">
        <v>219</v>
      </c>
      <c r="C89" s="1" t="s">
        <v>445</v>
      </c>
      <c r="D89" s="43" t="e">
        <f t="shared" ref="D89:I89" ca="1" si="14">SUMPRODUCT(D22:D60,$M$22:$M$60)/$B$4</f>
        <v>#N/A</v>
      </c>
      <c r="E89" s="43" t="e">
        <f t="shared" ca="1" si="14"/>
        <v>#N/A</v>
      </c>
      <c r="F89" s="43" t="e">
        <f t="shared" ca="1" si="14"/>
        <v>#N/A</v>
      </c>
      <c r="G89" s="43" t="e">
        <f t="shared" ca="1" si="14"/>
        <v>#N/A</v>
      </c>
      <c r="H89" s="43" t="e">
        <f t="shared" ca="1" si="14"/>
        <v>#N/A</v>
      </c>
      <c r="I89" s="43" t="e">
        <f t="shared" ca="1" si="14"/>
        <v>#N/A</v>
      </c>
    </row>
    <row r="90" spans="1:23" ht="15.95">
      <c r="A90" s="64" t="s">
        <v>417</v>
      </c>
      <c r="B90" s="1" t="s">
        <v>219</v>
      </c>
      <c r="C90" s="1" t="s">
        <v>445</v>
      </c>
      <c r="D90" s="43" t="e">
        <f t="shared" ref="D90:I90" ca="1" si="15">SUMPRODUCT(D22:D60,$R$22:$R$60)/$B$4</f>
        <v>#N/A</v>
      </c>
      <c r="E90" s="43" t="e">
        <f t="shared" ca="1" si="15"/>
        <v>#N/A</v>
      </c>
      <c r="F90" s="43" t="e">
        <f t="shared" ca="1" si="15"/>
        <v>#N/A</v>
      </c>
      <c r="G90" s="43" t="e">
        <f t="shared" ca="1" si="15"/>
        <v>#N/A</v>
      </c>
      <c r="H90" s="43" t="e">
        <f t="shared" ca="1" si="15"/>
        <v>#N/A</v>
      </c>
      <c r="I90" s="43" t="e">
        <f t="shared" ca="1" si="15"/>
        <v>#N/A</v>
      </c>
    </row>
    <row r="91" spans="1:23" ht="15.95">
      <c r="A91" s="65" t="s">
        <v>391</v>
      </c>
      <c r="B91" s="66" t="s">
        <v>219</v>
      </c>
      <c r="C91" s="66" t="s">
        <v>445</v>
      </c>
      <c r="D91" s="67" t="e">
        <f ca="1">SUM(D89:D90)</f>
        <v>#N/A</v>
      </c>
      <c r="E91" s="67" t="e">
        <f t="shared" ref="E91:I91" ca="1" si="16">SUM(E89:E90)</f>
        <v>#N/A</v>
      </c>
      <c r="F91" s="67" t="e">
        <f t="shared" ca="1" si="16"/>
        <v>#N/A</v>
      </c>
      <c r="G91" s="67" t="e">
        <f t="shared" ca="1" si="16"/>
        <v>#N/A</v>
      </c>
      <c r="H91" s="67" t="e">
        <f t="shared" ca="1" si="16"/>
        <v>#N/A</v>
      </c>
      <c r="I91" s="67" t="e">
        <f t="shared" ca="1" si="16"/>
        <v>#N/A</v>
      </c>
    </row>
    <row r="92" spans="1:23" ht="15.95">
      <c r="B92" s="1"/>
      <c r="C92" s="1"/>
      <c r="D92" s="21"/>
      <c r="E92" s="21"/>
      <c r="F92" s="21"/>
      <c r="G92" s="21"/>
      <c r="H92" s="21"/>
      <c r="I92" s="21"/>
    </row>
    <row r="93" spans="1:23" ht="33.950000000000003" customHeight="1">
      <c r="A93" s="120" t="s">
        <v>446</v>
      </c>
      <c r="B93" s="121"/>
      <c r="C93" s="121"/>
      <c r="D93" s="122" t="str">
        <f t="shared" ref="D93:I93" si="17">D21</f>
        <v>Mining/Fuel Extraction</v>
      </c>
      <c r="E93" s="122" t="str">
        <f t="shared" si="17"/>
        <v>Raw Material Processing</v>
      </c>
      <c r="F93" s="122" t="str">
        <f t="shared" si="17"/>
        <v>Iron- and Steel-making</v>
      </c>
      <c r="G93" s="122" t="str">
        <f t="shared" si="17"/>
        <v>Hot Rolling</v>
      </c>
      <c r="H93" s="123" t="str">
        <f t="shared" si="17"/>
        <v>Downstream Processing</v>
      </c>
      <c r="I93" s="123" t="str">
        <f t="shared" si="17"/>
        <v>Not Used</v>
      </c>
    </row>
    <row r="94" spans="1:23" ht="15.95">
      <c r="A94" s="62" t="s">
        <v>415</v>
      </c>
      <c r="B94" s="63" t="s">
        <v>219</v>
      </c>
      <c r="C94" s="63" t="s">
        <v>447</v>
      </c>
      <c r="D94" s="105" t="e">
        <f t="shared" ref="D94:I94" ca="1" si="18">SUMPRODUCT(D22:D60,$M$22:$M$60)</f>
        <v>#N/A</v>
      </c>
      <c r="E94" s="105" t="e">
        <f t="shared" ca="1" si="18"/>
        <v>#N/A</v>
      </c>
      <c r="F94" s="105" t="e">
        <f t="shared" ca="1" si="18"/>
        <v>#N/A</v>
      </c>
      <c r="G94" s="105" t="e">
        <f t="shared" ca="1" si="18"/>
        <v>#N/A</v>
      </c>
      <c r="H94" s="105" t="e">
        <f t="shared" ca="1" si="18"/>
        <v>#N/A</v>
      </c>
      <c r="I94" s="105" t="e">
        <f t="shared" ca="1" si="18"/>
        <v>#N/A</v>
      </c>
    </row>
    <row r="95" spans="1:23" ht="15.95">
      <c r="A95" s="64" t="s">
        <v>417</v>
      </c>
      <c r="B95" s="1" t="s">
        <v>219</v>
      </c>
      <c r="C95" s="1" t="s">
        <v>447</v>
      </c>
      <c r="D95" s="106" t="e">
        <f t="shared" ref="D95:I95" ca="1" si="19">SUMPRODUCT(D22:D60,$R$22:$R$60)</f>
        <v>#N/A</v>
      </c>
      <c r="E95" s="106" t="e">
        <f t="shared" ca="1" si="19"/>
        <v>#N/A</v>
      </c>
      <c r="F95" s="106" t="e">
        <f t="shared" ca="1" si="19"/>
        <v>#N/A</v>
      </c>
      <c r="G95" s="106" t="e">
        <f t="shared" ca="1" si="19"/>
        <v>#N/A</v>
      </c>
      <c r="H95" s="106" t="e">
        <f t="shared" ca="1" si="19"/>
        <v>#N/A</v>
      </c>
      <c r="I95" s="106" t="e">
        <f t="shared" ca="1" si="19"/>
        <v>#N/A</v>
      </c>
    </row>
    <row r="96" spans="1:23" ht="15.95">
      <c r="A96" s="65" t="s">
        <v>391</v>
      </c>
      <c r="B96" s="66" t="s">
        <v>219</v>
      </c>
      <c r="C96" s="66" t="s">
        <v>447</v>
      </c>
      <c r="D96" s="107" t="e">
        <f t="shared" ref="D96:I96" ca="1" si="20">SUM(D94:D95)</f>
        <v>#N/A</v>
      </c>
      <c r="E96" s="107" t="e">
        <f t="shared" ca="1" si="20"/>
        <v>#N/A</v>
      </c>
      <c r="F96" s="107" t="e">
        <f t="shared" ca="1" si="20"/>
        <v>#N/A</v>
      </c>
      <c r="G96" s="107" t="e">
        <f t="shared" ca="1" si="20"/>
        <v>#N/A</v>
      </c>
      <c r="H96" s="107" t="e">
        <f t="shared" ca="1" si="20"/>
        <v>#N/A</v>
      </c>
      <c r="I96" s="107" t="e">
        <f t="shared" ca="1" si="20"/>
        <v>#N/A</v>
      </c>
    </row>
    <row r="97" spans="1:20" ht="15.95">
      <c r="S97" s="37"/>
      <c r="T97" s="1"/>
    </row>
    <row r="98" spans="1:20" ht="15.95">
      <c r="A98" s="444" t="s">
        <v>212</v>
      </c>
      <c r="B98" s="445"/>
      <c r="C98" s="446"/>
    </row>
    <row r="99" spans="1:20" ht="15.95">
      <c r="A99" s="92" t="s">
        <v>215</v>
      </c>
      <c r="B99" s="92" t="s">
        <v>216</v>
      </c>
      <c r="C99" s="92" t="s">
        <v>217</v>
      </c>
      <c r="S99" s="1"/>
      <c r="T99" s="1"/>
    </row>
    <row r="100" spans="1:20" ht="15.95">
      <c r="A100" s="33" t="s">
        <v>220</v>
      </c>
      <c r="B100" s="41">
        <v>19</v>
      </c>
      <c r="C100" s="36"/>
      <c r="S100" s="1"/>
      <c r="T100" s="1"/>
    </row>
    <row r="101" spans="1:20" ht="15.95">
      <c r="A101" s="33" t="s">
        <v>222</v>
      </c>
      <c r="B101" s="41">
        <v>3.3</v>
      </c>
      <c r="C101" s="36"/>
      <c r="S101" s="1"/>
      <c r="T101" s="1"/>
    </row>
    <row r="102" spans="1:20" ht="15.95">
      <c r="A102" s="34" t="s">
        <v>225</v>
      </c>
      <c r="B102" s="42">
        <v>8.4</v>
      </c>
      <c r="C102" s="38"/>
    </row>
    <row r="103" spans="1:20" ht="15.95">
      <c r="R103" s="1"/>
      <c r="S103" s="1"/>
      <c r="T103" s="1"/>
    </row>
    <row r="104" spans="1:20" ht="15.95">
      <c r="A104" s="444" t="s">
        <v>227</v>
      </c>
      <c r="B104" s="445"/>
      <c r="C104" s="446"/>
      <c r="R104" s="1"/>
      <c r="T104" s="1"/>
    </row>
    <row r="105" spans="1:20" ht="15.95">
      <c r="A105" s="34" t="s">
        <v>232</v>
      </c>
      <c r="B105" s="34" t="s">
        <v>233</v>
      </c>
      <c r="C105" s="34" t="s">
        <v>234</v>
      </c>
      <c r="R105" s="1"/>
      <c r="S105" s="37"/>
      <c r="T105" s="18"/>
    </row>
    <row r="106" spans="1:20" ht="15.95">
      <c r="A106" s="33" t="s">
        <v>236</v>
      </c>
      <c r="B106" s="40">
        <v>0.37</v>
      </c>
      <c r="C106" s="33" t="s">
        <v>197</v>
      </c>
      <c r="R106" s="1"/>
      <c r="S106" s="37"/>
      <c r="T106" s="18"/>
    </row>
    <row r="107" spans="1:20" ht="15.95">
      <c r="A107" s="33" t="s">
        <v>463</v>
      </c>
      <c r="B107" s="35">
        <f>SUMPRODUCT(B100:B102,C100:C102)*B106/1000/3.6</f>
        <v>0</v>
      </c>
      <c r="C107" s="33" t="s">
        <v>239</v>
      </c>
      <c r="R107" s="1"/>
      <c r="S107" s="37"/>
      <c r="T107" s="18"/>
    </row>
    <row r="108" spans="1:20" ht="15.95">
      <c r="A108" s="33" t="s">
        <v>464</v>
      </c>
      <c r="B108" s="36"/>
      <c r="C108" s="33" t="s">
        <v>239</v>
      </c>
      <c r="R108" s="1"/>
      <c r="S108" s="37"/>
      <c r="T108" s="18"/>
    </row>
    <row r="109" spans="1:20" ht="15.95">
      <c r="A109" s="34" t="s">
        <v>465</v>
      </c>
      <c r="B109" s="39">
        <f>B108-B107</f>
        <v>0</v>
      </c>
      <c r="C109" s="34" t="s">
        <v>239</v>
      </c>
      <c r="R109" s="1"/>
      <c r="S109" s="37"/>
      <c r="T109" s="18"/>
    </row>
    <row r="110" spans="1:20" ht="15.95">
      <c r="A110" s="37" t="s">
        <v>448</v>
      </c>
      <c r="B110" s="1"/>
      <c r="C110" s="1"/>
    </row>
    <row r="111" spans="1:20" ht="15.95">
      <c r="T111" s="86"/>
    </row>
    <row r="112" spans="1:20" ht="15.95">
      <c r="J112" s="443"/>
      <c r="K112" s="443"/>
      <c r="L112" s="443"/>
      <c r="M112" s="443"/>
      <c r="N112" s="443"/>
    </row>
    <row r="113" spans="1:14" ht="20.25" customHeight="1">
      <c r="A113" t="s">
        <v>12</v>
      </c>
      <c r="H113" s="78"/>
      <c r="I113" s="78"/>
    </row>
    <row r="114" spans="1:14" ht="20.25" customHeight="1">
      <c r="A114" s="409" t="s">
        <v>422</v>
      </c>
      <c r="B114" s="409"/>
      <c r="C114" s="409"/>
      <c r="D114" s="409"/>
      <c r="E114" s="409"/>
      <c r="H114" s="78"/>
      <c r="I114" s="78"/>
      <c r="K114" s="88"/>
      <c r="M114" s="18"/>
    </row>
    <row r="115" spans="1:14" ht="20.25" customHeight="1">
      <c r="A115" s="409" t="s">
        <v>449</v>
      </c>
      <c r="B115" s="409"/>
      <c r="C115" s="409"/>
      <c r="D115" s="409"/>
      <c r="E115" s="409"/>
      <c r="M115" s="18"/>
    </row>
    <row r="116" spans="1:14" ht="20.25" customHeight="1">
      <c r="A116" s="409" t="s">
        <v>424</v>
      </c>
      <c r="B116" s="409"/>
      <c r="C116" s="409"/>
      <c r="D116" s="409"/>
      <c r="E116" s="409"/>
      <c r="L116" s="443"/>
      <c r="M116" s="443"/>
      <c r="N116" s="443"/>
    </row>
    <row r="117" spans="1:14" ht="20.25" customHeight="1">
      <c r="A117" s="497" t="s">
        <v>425</v>
      </c>
      <c r="B117" s="497"/>
      <c r="C117" s="497"/>
      <c r="D117" s="497"/>
      <c r="E117" s="497"/>
      <c r="F117" s="497"/>
      <c r="G117" s="497"/>
      <c r="H117" s="497"/>
    </row>
    <row r="118" spans="1:14" ht="20.25" customHeight="1">
      <c r="F118" s="88"/>
    </row>
    <row r="119" spans="1:14" ht="20.25" customHeight="1">
      <c r="D119" s="110"/>
    </row>
    <row r="120" spans="1:14" ht="20.25" customHeight="1">
      <c r="D120" s="110"/>
    </row>
    <row r="121" spans="1:14" ht="20.25" customHeight="1">
      <c r="F121" s="84"/>
    </row>
    <row r="122" spans="1:14" ht="15.75" customHeight="1">
      <c r="F122" s="124"/>
      <c r="G122" s="78"/>
    </row>
  </sheetData>
  <mergeCells count="57">
    <mergeCell ref="B61:B63"/>
    <mergeCell ref="K61:N63"/>
    <mergeCell ref="A10:B10"/>
    <mergeCell ref="B3:C3"/>
    <mergeCell ref="B4:C4"/>
    <mergeCell ref="B5:C5"/>
    <mergeCell ref="A8:B8"/>
    <mergeCell ref="A9:B9"/>
    <mergeCell ref="A11:B11"/>
    <mergeCell ref="A12:B12"/>
    <mergeCell ref="A20:C20"/>
    <mergeCell ref="D20:J20"/>
    <mergeCell ref="K20:N20"/>
    <mergeCell ref="A13:B13"/>
    <mergeCell ref="C13:D13"/>
    <mergeCell ref="B68:B70"/>
    <mergeCell ref="E68:F68"/>
    <mergeCell ref="E69:F69"/>
    <mergeCell ref="E70:F70"/>
    <mergeCell ref="T20:T21"/>
    <mergeCell ref="B22:B26"/>
    <mergeCell ref="B27:B33"/>
    <mergeCell ref="B34:B38"/>
    <mergeCell ref="B39:B43"/>
    <mergeCell ref="B44:B48"/>
    <mergeCell ref="O20:S20"/>
    <mergeCell ref="B49:B56"/>
    <mergeCell ref="B57:B59"/>
    <mergeCell ref="A66:C66"/>
    <mergeCell ref="E66:H66"/>
    <mergeCell ref="I66:P66"/>
    <mergeCell ref="B71:B73"/>
    <mergeCell ref="E71:F71"/>
    <mergeCell ref="E72:F72"/>
    <mergeCell ref="E73:F73"/>
    <mergeCell ref="B74:B78"/>
    <mergeCell ref="E74:F74"/>
    <mergeCell ref="E75:F75"/>
    <mergeCell ref="E76:F76"/>
    <mergeCell ref="E77:F77"/>
    <mergeCell ref="E78:F78"/>
    <mergeCell ref="E79:F79"/>
    <mergeCell ref="B80:B81"/>
    <mergeCell ref="E80:F80"/>
    <mergeCell ref="E81:F81"/>
    <mergeCell ref="B82:B84"/>
    <mergeCell ref="E82:F82"/>
    <mergeCell ref="E83:F83"/>
    <mergeCell ref="E84:F84"/>
    <mergeCell ref="A117:H117"/>
    <mergeCell ref="A98:C98"/>
    <mergeCell ref="A104:C104"/>
    <mergeCell ref="J112:N112"/>
    <mergeCell ref="A114:E114"/>
    <mergeCell ref="A115:E115"/>
    <mergeCell ref="A116:E116"/>
    <mergeCell ref="L116:N116"/>
  </mergeCells>
  <dataValidations count="12">
    <dataValidation type="list" allowBlank="1" showInputMessage="1" showErrorMessage="1" sqref="K12" xr:uid="{B8757E0F-E6A1-B54C-A047-E2C777B51414}">
      <formula1>INDEX(Electricity_EF,0,1)</formula1>
    </dataValidation>
    <dataValidation type="list" allowBlank="1" showInputMessage="1" showErrorMessage="1" sqref="K11" xr:uid="{F2CB793F-22AC-8F45-8A70-27C215A9983E}">
      <formula1>"Country,Global,Site Specific"</formula1>
    </dataValidation>
    <dataValidation type="list" allowBlank="1" showInputMessage="1" showErrorMessage="1" sqref="E68:F68" xr:uid="{FB7C3CE0-A4AA-2642-813D-9E64C7E4666D}">
      <formula1>_xlfn.DROP(INDEX(Byproduct_EF,0,2),1)</formula1>
    </dataValidation>
    <dataValidation type="list" allowBlank="1" showInputMessage="1" showErrorMessage="1" sqref="E69:F84" xr:uid="{3BD96D41-29B2-B741-AE41-6CF9CEAF40EB}">
      <formula1>INDEX(Byproduct_EF,0,2)</formula1>
    </dataValidation>
    <dataValidation type="list" allowBlank="1" showInputMessage="1" showErrorMessage="1" sqref="B3" xr:uid="{0AF5AFD0-8F2E-CA41-8D69-F465A5594A4C}">
      <formula1>"Hot Rolled Product (HRP),Crude Steel"</formula1>
    </dataValidation>
    <dataValidation type="list" allowBlank="1" showInputMessage="1" showErrorMessage="1" sqref="O100:O102" xr:uid="{705276C7-A119-DC43-BB75-AA4E00635F23}">
      <formula1>"Cement or clinker production, Aggregate or roadstone, Fertiliser"</formula1>
    </dataValidation>
    <dataValidation type="list" allowBlank="1" showInputMessage="1" showErrorMessage="1" sqref="D17:I18" xr:uid="{FF1D7690-6826-F148-9654-1CFF93B609D7}">
      <formula1>"TRUE,FALSE"</formula1>
    </dataValidation>
    <dataValidation type="list" allowBlank="1" showInputMessage="1" showErrorMessage="1" sqref="A44:A48" xr:uid="{0B06BC5C-7F83-5546-89C3-A73DFA794FE8}">
      <formula1>INDEX(Ferroalloys,0,1)</formula1>
    </dataValidation>
    <dataValidation type="list" allowBlank="1" showInputMessage="1" showErrorMessage="1" sqref="H68:H84 K68:K84 K22:K60 K64" xr:uid="{8FA2436B-2104-6849-AAFF-B1B2282AED6D}">
      <formula1>"Default,Site Specific"</formula1>
    </dataValidation>
    <dataValidation type="list" allowBlank="1" showInputMessage="1" showErrorMessage="1" sqref="C13" xr:uid="{B7B86E55-7C2C-7A45-8336-CA79C5B2B9B9}">
      <formula1>"Not Applicable,Carbon Capture &amp; Storage,Carbon Capture &amp; Use,Renewable Hydrogen,Renewable Electricity,Bioenergy"</formula1>
    </dataValidation>
    <dataValidation type="list" allowBlank="1" showInputMessage="1" showErrorMessage="1" sqref="O22:O64" xr:uid="{873A8121-ECBE-6F42-9592-A5777AAFC7FE}">
      <formula1>"Default,Site Specific,Included"</formula1>
    </dataValidation>
    <dataValidation allowBlank="1" showInputMessage="1" showErrorMessage="1" sqref="K61:N63" xr:uid="{AD7F07E6-F5FA-4D6B-993D-683B8AB1DF37}"/>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73C5ED-70A2-EE4D-8115-42325CDE602D}">
  <dimension ref="A1:AB92"/>
  <sheetViews>
    <sheetView topLeftCell="B6" workbookViewId="0">
      <selection activeCell="H18" sqref="H18"/>
    </sheetView>
  </sheetViews>
  <sheetFormatPr defaultColWidth="11" defaultRowHeight="15.75" customHeight="1"/>
  <cols>
    <col min="1" max="1" width="30.875" customWidth="1"/>
    <col min="2" max="2" width="5.875" customWidth="1"/>
    <col min="3" max="3" width="17.875" customWidth="1"/>
    <col min="4" max="4" width="30.875" customWidth="1"/>
    <col min="6" max="6" width="30.875" customWidth="1"/>
    <col min="7" max="7" width="5.875" customWidth="1"/>
    <col min="8" max="8" width="17.875" style="1" customWidth="1"/>
    <col min="9" max="9" width="30.875" customWidth="1"/>
    <col min="11" max="11" width="23.875" customWidth="1"/>
    <col min="12" max="12" width="5.875" customWidth="1"/>
    <col min="13" max="16" width="17.875" customWidth="1"/>
    <col min="17" max="17" width="30.875" customWidth="1"/>
    <col min="19" max="19" width="20.5" customWidth="1"/>
    <col min="20" max="20" width="25.125" bestFit="1" customWidth="1"/>
    <col min="21" max="21" width="8.625" customWidth="1"/>
    <col min="22" max="22" width="13.125" customWidth="1"/>
    <col min="23" max="23" width="39" customWidth="1"/>
    <col min="25" max="25" width="19" bestFit="1" customWidth="1"/>
    <col min="26" max="26" width="15.125" style="21" customWidth="1"/>
    <col min="27" max="27" width="40.625" customWidth="1"/>
  </cols>
  <sheetData>
    <row r="1" spans="1:28" ht="15.95">
      <c r="A1" t="s">
        <v>466</v>
      </c>
      <c r="F1" t="s">
        <v>467</v>
      </c>
      <c r="K1" t="s">
        <v>309</v>
      </c>
      <c r="S1" t="s">
        <v>468</v>
      </c>
      <c r="Y1" t="s">
        <v>469</v>
      </c>
    </row>
    <row r="3" spans="1:28" s="2" customFormat="1" ht="68.099999999999994">
      <c r="A3" s="2" t="s">
        <v>171</v>
      </c>
      <c r="B3" s="2" t="s">
        <v>234</v>
      </c>
      <c r="C3" s="2" t="s">
        <v>470</v>
      </c>
      <c r="D3" s="2" t="s">
        <v>471</v>
      </c>
      <c r="F3" s="2" t="s">
        <v>171</v>
      </c>
      <c r="G3" s="2" t="s">
        <v>234</v>
      </c>
      <c r="H3" s="2" t="s">
        <v>472</v>
      </c>
      <c r="I3" s="2" t="s">
        <v>471</v>
      </c>
      <c r="K3" s="2" t="s">
        <v>171</v>
      </c>
      <c r="L3" s="2" t="s">
        <v>234</v>
      </c>
      <c r="M3" s="2" t="s">
        <v>473</v>
      </c>
      <c r="N3" s="2" t="s">
        <v>474</v>
      </c>
      <c r="O3" s="2" t="s">
        <v>475</v>
      </c>
      <c r="P3" s="2" t="s">
        <v>476</v>
      </c>
      <c r="Q3" s="2" t="s">
        <v>471</v>
      </c>
      <c r="S3" s="2" t="s">
        <v>37</v>
      </c>
      <c r="T3" s="2" t="s">
        <v>338</v>
      </c>
      <c r="U3" s="2" t="s">
        <v>234</v>
      </c>
      <c r="V3" s="2" t="s">
        <v>477</v>
      </c>
      <c r="W3" s="2" t="s">
        <v>471</v>
      </c>
      <c r="Y3" s="2" t="s">
        <v>221</v>
      </c>
      <c r="Z3" s="141" t="s">
        <v>478</v>
      </c>
      <c r="AA3" s="2" t="s">
        <v>171</v>
      </c>
    </row>
    <row r="4" spans="1:28" ht="17.25" customHeight="1">
      <c r="A4" t="s">
        <v>291</v>
      </c>
      <c r="B4" s="1" t="s">
        <v>61</v>
      </c>
      <c r="C4" s="1">
        <v>3.06</v>
      </c>
      <c r="D4" t="s">
        <v>479</v>
      </c>
      <c r="F4" t="s">
        <v>182</v>
      </c>
      <c r="G4" s="1" t="s">
        <v>61</v>
      </c>
      <c r="H4" s="1">
        <v>0.13700000000000001</v>
      </c>
      <c r="I4" t="s">
        <v>479</v>
      </c>
      <c r="K4" t="s">
        <v>308</v>
      </c>
      <c r="L4" s="1" t="s">
        <v>61</v>
      </c>
      <c r="M4" s="44">
        <v>7.4999999999999997E-2</v>
      </c>
      <c r="N4" s="21">
        <f>M4*44/12</f>
        <v>0.27499999999999997</v>
      </c>
      <c r="O4" s="21">
        <f>P4-N4</f>
        <v>6.35</v>
      </c>
      <c r="P4" s="20">
        <v>6.625</v>
      </c>
      <c r="Q4" t="s">
        <v>480</v>
      </c>
      <c r="S4" s="486" t="s">
        <v>481</v>
      </c>
      <c r="T4" t="s">
        <v>364</v>
      </c>
      <c r="U4" s="1" t="s">
        <v>61</v>
      </c>
      <c r="V4" s="1">
        <v>0.83799999999999997</v>
      </c>
      <c r="W4" t="s">
        <v>482</v>
      </c>
      <c r="X4" s="26" t="s">
        <v>483</v>
      </c>
      <c r="Y4" t="s">
        <v>484</v>
      </c>
      <c r="Z4" s="21">
        <v>9.4E-2</v>
      </c>
      <c r="AA4" t="s">
        <v>485</v>
      </c>
      <c r="AB4" s="26" t="s">
        <v>483</v>
      </c>
    </row>
    <row r="5" spans="1:28" ht="15.95">
      <c r="A5" t="s">
        <v>293</v>
      </c>
      <c r="B5" s="1" t="s">
        <v>61</v>
      </c>
      <c r="C5" s="1">
        <v>2.9529999999999998</v>
      </c>
      <c r="D5" t="s">
        <v>479</v>
      </c>
      <c r="F5" t="s">
        <v>184</v>
      </c>
      <c r="G5" s="1" t="s">
        <v>61</v>
      </c>
      <c r="H5" s="1">
        <v>0.26200000000000001</v>
      </c>
      <c r="I5" t="s">
        <v>479</v>
      </c>
      <c r="K5" t="s">
        <v>310</v>
      </c>
      <c r="L5" s="1" t="s">
        <v>61</v>
      </c>
      <c r="M5" s="44">
        <v>0.05</v>
      </c>
      <c r="N5" s="21">
        <f t="shared" ref="N5:N9" si="0">M5*44/12</f>
        <v>0.18333333333333335</v>
      </c>
      <c r="O5" s="21">
        <f>P5-N5</f>
        <v>5.719666666666666</v>
      </c>
      <c r="P5" s="20">
        <v>5.9029999999999996</v>
      </c>
      <c r="Q5" t="s">
        <v>480</v>
      </c>
      <c r="S5" s="486"/>
      <c r="T5" t="s">
        <v>366</v>
      </c>
      <c r="U5" s="1" t="s">
        <v>61</v>
      </c>
      <c r="V5" s="20">
        <v>6.1799999999999997E-3</v>
      </c>
      <c r="W5" t="s">
        <v>486</v>
      </c>
      <c r="X5" s="26" t="s">
        <v>483</v>
      </c>
      <c r="Y5" t="s">
        <v>487</v>
      </c>
      <c r="Z5" s="21">
        <v>0.17399999999999999</v>
      </c>
      <c r="AA5" t="s">
        <v>485</v>
      </c>
      <c r="AB5" s="26" t="s">
        <v>483</v>
      </c>
    </row>
    <row r="6" spans="1:28" ht="15.75" customHeight="1">
      <c r="A6" t="s">
        <v>294</v>
      </c>
      <c r="B6" s="1" t="s">
        <v>61</v>
      </c>
      <c r="C6" s="1">
        <v>2.7850000000000001</v>
      </c>
      <c r="D6" t="s">
        <v>479</v>
      </c>
      <c r="F6" t="s">
        <v>187</v>
      </c>
      <c r="G6" s="1" t="s">
        <v>61</v>
      </c>
      <c r="H6" s="1">
        <v>1.855</v>
      </c>
      <c r="I6" t="s">
        <v>479</v>
      </c>
      <c r="K6" t="s">
        <v>311</v>
      </c>
      <c r="L6" s="1" t="s">
        <v>61</v>
      </c>
      <c r="M6" s="44">
        <v>5.0000000000000001E-3</v>
      </c>
      <c r="N6" s="21">
        <f t="shared" si="0"/>
        <v>1.8333333333333333E-2</v>
      </c>
      <c r="O6" s="21">
        <f t="shared" ref="O6:O19" si="1">P6-N6</f>
        <v>8.0726666666666667</v>
      </c>
      <c r="P6" s="20">
        <v>8.0909999999999993</v>
      </c>
      <c r="Q6" t="s">
        <v>488</v>
      </c>
      <c r="S6" s="486"/>
      <c r="T6" t="s">
        <v>489</v>
      </c>
      <c r="U6" s="1" t="s">
        <v>61</v>
      </c>
      <c r="V6" s="1" t="e">
        <f>NA()</f>
        <v>#N/A</v>
      </c>
      <c r="W6" t="s">
        <v>490</v>
      </c>
      <c r="X6" s="26" t="s">
        <v>483</v>
      </c>
      <c r="Y6" t="s">
        <v>491</v>
      </c>
      <c r="Z6" s="21">
        <v>0.42399999999999999</v>
      </c>
      <c r="AA6" t="s">
        <v>485</v>
      </c>
      <c r="AB6" s="26" t="s">
        <v>483</v>
      </c>
    </row>
    <row r="7" spans="1:28" ht="15.75" customHeight="1">
      <c r="A7" t="s">
        <v>295</v>
      </c>
      <c r="B7" s="1" t="s">
        <v>61</v>
      </c>
      <c r="C7" s="1">
        <v>2.4620000000000002</v>
      </c>
      <c r="D7" t="s">
        <v>492</v>
      </c>
      <c r="F7" t="s">
        <v>194</v>
      </c>
      <c r="G7" s="1" t="s">
        <v>61</v>
      </c>
      <c r="H7" s="1">
        <v>0.78</v>
      </c>
      <c r="I7" t="s">
        <v>479</v>
      </c>
      <c r="K7" t="s">
        <v>312</v>
      </c>
      <c r="L7" s="1" t="s">
        <v>61</v>
      </c>
      <c r="M7" s="44">
        <v>1E-3</v>
      </c>
      <c r="N7" s="21">
        <f t="shared" si="0"/>
        <v>3.6666666666666666E-3</v>
      </c>
      <c r="O7" s="21">
        <f>P7-N7</f>
        <v>11.431333333333335</v>
      </c>
      <c r="P7" s="20">
        <v>11.435</v>
      </c>
      <c r="Q7" t="s">
        <v>480</v>
      </c>
      <c r="S7" s="486" t="s">
        <v>493</v>
      </c>
      <c r="T7" s="96" t="s">
        <v>359</v>
      </c>
      <c r="U7" s="1" t="s">
        <v>358</v>
      </c>
      <c r="V7" s="20">
        <f>V9</f>
        <v>0.13075611083282368</v>
      </c>
      <c r="W7" s="140" t="s">
        <v>494</v>
      </c>
      <c r="X7" s="26" t="s">
        <v>483</v>
      </c>
      <c r="Y7" t="s">
        <v>495</v>
      </c>
      <c r="Z7" s="21">
        <v>0.16700000000000001</v>
      </c>
      <c r="AA7" t="s">
        <v>485</v>
      </c>
      <c r="AB7" s="26" t="s">
        <v>483</v>
      </c>
    </row>
    <row r="8" spans="1:28" ht="15.75" customHeight="1">
      <c r="A8" t="s">
        <v>296</v>
      </c>
      <c r="B8" s="1" t="s">
        <v>61</v>
      </c>
      <c r="C8" s="1">
        <v>0</v>
      </c>
      <c r="D8" t="s">
        <v>492</v>
      </c>
      <c r="F8" t="s">
        <v>190</v>
      </c>
      <c r="G8" s="1" t="s">
        <v>61</v>
      </c>
      <c r="H8" s="1">
        <v>1.21</v>
      </c>
      <c r="I8" t="s">
        <v>479</v>
      </c>
      <c r="K8" t="s">
        <v>313</v>
      </c>
      <c r="L8" s="1" t="s">
        <v>61</v>
      </c>
      <c r="M8" s="44">
        <v>1.4999999999999999E-2</v>
      </c>
      <c r="N8" s="21">
        <f t="shared" si="0"/>
        <v>5.4999999999999993E-2</v>
      </c>
      <c r="O8" s="21">
        <f t="shared" si="1"/>
        <v>12.095000000000002</v>
      </c>
      <c r="P8" s="20">
        <f>45/(1/0.27)</f>
        <v>12.150000000000002</v>
      </c>
      <c r="Q8" t="s">
        <v>496</v>
      </c>
      <c r="S8" s="486"/>
      <c r="T8" s="80" t="s">
        <v>356</v>
      </c>
      <c r="U8" s="1" t="s">
        <v>239</v>
      </c>
      <c r="V8" s="108">
        <f>'Product-Level Calculation'!$O$15</f>
        <v>0</v>
      </c>
      <c r="W8" s="93" t="s">
        <v>497</v>
      </c>
      <c r="Y8" t="s">
        <v>498</v>
      </c>
      <c r="Z8" s="21">
        <v>0.432</v>
      </c>
      <c r="AA8" t="s">
        <v>485</v>
      </c>
      <c r="AB8" s="26" t="s">
        <v>483</v>
      </c>
    </row>
    <row r="9" spans="1:28" ht="15.95">
      <c r="A9" t="s">
        <v>299</v>
      </c>
      <c r="B9" s="1" t="s">
        <v>61</v>
      </c>
      <c r="C9" s="1">
        <v>3.2570000000000001</v>
      </c>
      <c r="D9" t="s">
        <v>479</v>
      </c>
      <c r="F9" t="s">
        <v>299</v>
      </c>
      <c r="G9" s="1" t="s">
        <v>61</v>
      </c>
      <c r="H9" s="1">
        <v>0.224</v>
      </c>
      <c r="I9" t="s">
        <v>479</v>
      </c>
      <c r="K9" t="s">
        <v>499</v>
      </c>
      <c r="L9" s="1" t="s">
        <v>61</v>
      </c>
      <c r="M9" s="44">
        <v>1E-3</v>
      </c>
      <c r="N9" s="21">
        <f t="shared" si="0"/>
        <v>3.6666666666666666E-3</v>
      </c>
      <c r="O9" s="21">
        <f t="shared" si="1"/>
        <v>82.422333333333341</v>
      </c>
      <c r="P9" s="20">
        <v>82.426000000000002</v>
      </c>
      <c r="Q9" t="s">
        <v>480</v>
      </c>
      <c r="S9" s="486"/>
      <c r="T9" t="s">
        <v>442</v>
      </c>
      <c r="U9" s="1" t="s">
        <v>358</v>
      </c>
      <c r="V9" s="20">
        <f>SUM(66.33,1.25*30,0.125*273)/1000/CONVERT(1000000,"btu","GJ")</f>
        <v>0.13075611083282368</v>
      </c>
      <c r="W9" s="140" t="s">
        <v>494</v>
      </c>
      <c r="X9" s="26" t="s">
        <v>483</v>
      </c>
      <c r="Y9" t="s">
        <v>500</v>
      </c>
      <c r="Z9" s="21">
        <v>0.35</v>
      </c>
      <c r="AA9" t="s">
        <v>485</v>
      </c>
      <c r="AB9" s="26" t="s">
        <v>483</v>
      </c>
    </row>
    <row r="10" spans="1:28" ht="15.95">
      <c r="A10" t="s">
        <v>298</v>
      </c>
      <c r="B10" s="1" t="s">
        <v>61</v>
      </c>
      <c r="C10" s="1">
        <v>3.2570000000000001</v>
      </c>
      <c r="D10" t="s">
        <v>479</v>
      </c>
      <c r="F10" t="s">
        <v>317</v>
      </c>
      <c r="G10" s="1" t="s">
        <v>61</v>
      </c>
      <c r="H10" s="1">
        <v>0.65</v>
      </c>
      <c r="I10" t="s">
        <v>479</v>
      </c>
      <c r="K10" t="s">
        <v>501</v>
      </c>
      <c r="L10" s="1" t="s">
        <v>61</v>
      </c>
      <c r="M10" s="44">
        <v>0</v>
      </c>
      <c r="N10" s="21">
        <f t="shared" ref="N10:N19" si="2">M10*44/12</f>
        <v>0</v>
      </c>
      <c r="O10" s="21">
        <f t="shared" si="1"/>
        <v>1.7589999999999999</v>
      </c>
      <c r="P10" s="20">
        <v>1.7589999999999999</v>
      </c>
      <c r="Q10" t="s">
        <v>480</v>
      </c>
      <c r="S10" s="136" t="s">
        <v>370</v>
      </c>
      <c r="T10" t="s">
        <v>370</v>
      </c>
      <c r="U10" s="1" t="s">
        <v>219</v>
      </c>
      <c r="V10" s="1" t="e">
        <f>NA()</f>
        <v>#N/A</v>
      </c>
      <c r="Y10" t="s">
        <v>502</v>
      </c>
      <c r="Z10" s="21">
        <v>8.8999999999999996E-2</v>
      </c>
      <c r="AA10" t="s">
        <v>485</v>
      </c>
      <c r="AB10" s="26" t="s">
        <v>483</v>
      </c>
    </row>
    <row r="11" spans="1:28" ht="15.95">
      <c r="A11" t="s">
        <v>300</v>
      </c>
      <c r="B11" s="1" t="s">
        <v>302</v>
      </c>
      <c r="C11" s="1">
        <v>2.601</v>
      </c>
      <c r="D11" t="s">
        <v>479</v>
      </c>
      <c r="F11" t="s">
        <v>318</v>
      </c>
      <c r="G11" s="1" t="s">
        <v>61</v>
      </c>
      <c r="H11" s="1">
        <v>0.95</v>
      </c>
      <c r="I11" t="s">
        <v>479</v>
      </c>
      <c r="K11" t="s">
        <v>503</v>
      </c>
      <c r="L11" s="1" t="s">
        <v>61</v>
      </c>
      <c r="M11" s="44">
        <v>0</v>
      </c>
      <c r="N11" s="21">
        <f t="shared" si="2"/>
        <v>0</v>
      </c>
      <c r="O11" s="21">
        <f t="shared" si="1"/>
        <v>33.594000000000001</v>
      </c>
      <c r="P11" s="20">
        <v>33.594000000000001</v>
      </c>
      <c r="Q11" t="s">
        <v>480</v>
      </c>
      <c r="Y11" t="s">
        <v>504</v>
      </c>
      <c r="Z11" s="21">
        <v>5.6000000000000001E-2</v>
      </c>
      <c r="AA11" t="s">
        <v>485</v>
      </c>
      <c r="AB11" s="26" t="s">
        <v>483</v>
      </c>
    </row>
    <row r="12" spans="1:28" ht="15.95">
      <c r="A12" t="s">
        <v>303</v>
      </c>
      <c r="B12" s="1" t="s">
        <v>302</v>
      </c>
      <c r="C12" s="1">
        <v>2.907</v>
      </c>
      <c r="D12" t="s">
        <v>479</v>
      </c>
      <c r="F12" t="s">
        <v>319</v>
      </c>
      <c r="G12" s="1" t="s">
        <v>61</v>
      </c>
      <c r="H12" s="1">
        <v>1.1000000000000001</v>
      </c>
      <c r="I12" t="s">
        <v>479</v>
      </c>
      <c r="K12" t="s">
        <v>505</v>
      </c>
      <c r="L12" s="1" t="s">
        <v>61</v>
      </c>
      <c r="M12" s="44">
        <v>2.9999999999999997E-4</v>
      </c>
      <c r="N12" s="21">
        <f t="shared" si="2"/>
        <v>1.0999999999999998E-3</v>
      </c>
      <c r="O12" s="21">
        <f t="shared" si="1"/>
        <v>33.5929</v>
      </c>
      <c r="P12" s="20">
        <v>33.594000000000001</v>
      </c>
      <c r="Q12" t="s">
        <v>480</v>
      </c>
      <c r="Y12" t="s">
        <v>506</v>
      </c>
      <c r="Z12" s="21">
        <v>0.60599999999999998</v>
      </c>
      <c r="AA12" t="s">
        <v>485</v>
      </c>
      <c r="AB12" s="26" t="s">
        <v>483</v>
      </c>
    </row>
    <row r="13" spans="1:28" ht="15.95">
      <c r="A13" t="s">
        <v>304</v>
      </c>
      <c r="B13" s="1" t="s">
        <v>61</v>
      </c>
      <c r="C13" s="1">
        <v>3.1509999999999998</v>
      </c>
      <c r="D13" t="s">
        <v>507</v>
      </c>
      <c r="F13" t="s">
        <v>320</v>
      </c>
      <c r="G13" s="1" t="s">
        <v>61</v>
      </c>
      <c r="H13" s="20">
        <v>0.2702</v>
      </c>
      <c r="I13" t="s">
        <v>479</v>
      </c>
      <c r="K13" t="s">
        <v>508</v>
      </c>
      <c r="L13" s="1" t="s">
        <v>61</v>
      </c>
      <c r="M13" s="44">
        <v>0</v>
      </c>
      <c r="N13" s="21">
        <f t="shared" si="2"/>
        <v>0</v>
      </c>
      <c r="O13" s="21">
        <f t="shared" si="1"/>
        <v>5</v>
      </c>
      <c r="P13" s="20">
        <v>5</v>
      </c>
      <c r="Q13" t="s">
        <v>488</v>
      </c>
      <c r="Y13" t="s">
        <v>509</v>
      </c>
      <c r="Z13" s="21">
        <v>0.22600000000000001</v>
      </c>
      <c r="AA13" t="s">
        <v>485</v>
      </c>
      <c r="AB13" s="26" t="s">
        <v>483</v>
      </c>
    </row>
    <row r="14" spans="1:28" ht="15.95">
      <c r="A14" t="s">
        <v>305</v>
      </c>
      <c r="B14" s="1" t="s">
        <v>61</v>
      </c>
      <c r="C14" s="1">
        <v>2.9849999999999999</v>
      </c>
      <c r="D14" t="s">
        <v>479</v>
      </c>
      <c r="F14" t="s">
        <v>321</v>
      </c>
      <c r="G14" s="1" t="s">
        <v>61</v>
      </c>
      <c r="H14" s="20">
        <v>8.8789999999999994E-2</v>
      </c>
      <c r="I14" t="s">
        <v>479</v>
      </c>
      <c r="K14" t="s">
        <v>510</v>
      </c>
      <c r="L14" s="1" t="s">
        <v>61</v>
      </c>
      <c r="M14" s="44">
        <v>0</v>
      </c>
      <c r="N14" s="21">
        <f t="shared" si="2"/>
        <v>0</v>
      </c>
      <c r="O14" s="21">
        <f t="shared" si="1"/>
        <v>13</v>
      </c>
      <c r="P14" s="20">
        <v>13</v>
      </c>
      <c r="Q14" t="s">
        <v>496</v>
      </c>
      <c r="Y14" t="s">
        <v>511</v>
      </c>
      <c r="Z14" s="21">
        <v>0.23300000000000001</v>
      </c>
      <c r="AA14" t="s">
        <v>485</v>
      </c>
      <c r="AB14" s="26" t="s">
        <v>483</v>
      </c>
    </row>
    <row r="15" spans="1:28" ht="15.95">
      <c r="A15" t="s">
        <v>306</v>
      </c>
      <c r="B15" s="1" t="s">
        <v>462</v>
      </c>
      <c r="C15" s="174">
        <f>(0.0585/(1470.3/55.58))</f>
        <v>2.2114058355437666E-3</v>
      </c>
      <c r="D15" t="s">
        <v>512</v>
      </c>
      <c r="F15" t="s">
        <v>322</v>
      </c>
      <c r="G15" s="1" t="s">
        <v>61</v>
      </c>
      <c r="H15" s="20">
        <v>6.2799999999999995E-2</v>
      </c>
      <c r="I15" t="s">
        <v>479</v>
      </c>
      <c r="J15" s="26" t="s">
        <v>483</v>
      </c>
      <c r="K15" t="s">
        <v>513</v>
      </c>
      <c r="L15" s="1" t="s">
        <v>61</v>
      </c>
      <c r="M15" s="44">
        <v>0</v>
      </c>
      <c r="N15" s="21">
        <f t="shared" si="2"/>
        <v>0</v>
      </c>
      <c r="O15" s="21">
        <f t="shared" si="1"/>
        <v>20.279166666666669</v>
      </c>
      <c r="P15" s="20">
        <v>20.279166666666669</v>
      </c>
      <c r="Q15" t="s">
        <v>514</v>
      </c>
      <c r="Y15" t="s">
        <v>515</v>
      </c>
      <c r="Z15" s="21">
        <v>8.5000000000000006E-2</v>
      </c>
      <c r="AA15" t="s">
        <v>485</v>
      </c>
      <c r="AB15" s="26" t="s">
        <v>483</v>
      </c>
    </row>
    <row r="16" spans="1:28" ht="15.95">
      <c r="A16" t="s">
        <v>179</v>
      </c>
      <c r="B16" s="1" t="s">
        <v>61</v>
      </c>
      <c r="C16" s="1">
        <v>3.6999999999999998E-2</v>
      </c>
      <c r="D16" t="s">
        <v>479</v>
      </c>
      <c r="F16" t="s">
        <v>516</v>
      </c>
      <c r="G16" s="1" t="s">
        <v>239</v>
      </c>
      <c r="H16" s="21">
        <v>1.901</v>
      </c>
      <c r="I16" t="s">
        <v>517</v>
      </c>
      <c r="J16" s="26" t="s">
        <v>483</v>
      </c>
      <c r="K16" t="s">
        <v>518</v>
      </c>
      <c r="L16" s="1" t="s">
        <v>61</v>
      </c>
      <c r="M16" s="44">
        <v>0.02</v>
      </c>
      <c r="N16" s="21">
        <f t="shared" si="2"/>
        <v>7.3333333333333334E-2</v>
      </c>
      <c r="O16" s="21">
        <f t="shared" si="1"/>
        <v>6.9266666666666667</v>
      </c>
      <c r="P16" s="20">
        <v>7</v>
      </c>
      <c r="Q16" t="s">
        <v>519</v>
      </c>
      <c r="R16" s="26" t="s">
        <v>483</v>
      </c>
      <c r="Y16" t="s">
        <v>520</v>
      </c>
      <c r="Z16" s="21">
        <v>0.39</v>
      </c>
      <c r="AA16" t="s">
        <v>485</v>
      </c>
      <c r="AB16" s="26" t="s">
        <v>483</v>
      </c>
    </row>
    <row r="17" spans="1:28" ht="17.100000000000001">
      <c r="A17" s="96" t="s">
        <v>287</v>
      </c>
      <c r="B17" s="1" t="s">
        <v>61</v>
      </c>
      <c r="C17" s="1">
        <v>0</v>
      </c>
      <c r="D17" t="s">
        <v>521</v>
      </c>
      <c r="F17" t="s">
        <v>328</v>
      </c>
      <c r="G17" s="1" t="s">
        <v>239</v>
      </c>
      <c r="H17" s="108">
        <f ca="1">'Product-Level Calculation'!G27</f>
        <v>0.438</v>
      </c>
      <c r="I17" t="s">
        <v>522</v>
      </c>
      <c r="K17" s="45" t="s">
        <v>523</v>
      </c>
      <c r="L17" s="46" t="s">
        <v>61</v>
      </c>
      <c r="M17" s="47">
        <v>5.0000000000000001E-3</v>
      </c>
      <c r="N17" s="48">
        <f t="shared" si="2"/>
        <v>1.8333333333333333E-2</v>
      </c>
      <c r="O17" s="48">
        <f t="shared" si="1"/>
        <v>5.884666666666666</v>
      </c>
      <c r="P17" s="49">
        <v>5.9029999999999996</v>
      </c>
      <c r="Q17" t="s">
        <v>480</v>
      </c>
      <c r="Y17" t="s">
        <v>524</v>
      </c>
      <c r="Z17" s="21">
        <v>0.751</v>
      </c>
      <c r="AA17" t="s">
        <v>485</v>
      </c>
      <c r="AB17" s="26" t="s">
        <v>483</v>
      </c>
    </row>
    <row r="18" spans="1:28" ht="17.100000000000001">
      <c r="A18" s="96" t="s">
        <v>288</v>
      </c>
      <c r="B18" s="1" t="s">
        <v>61</v>
      </c>
      <c r="C18" s="1">
        <v>0</v>
      </c>
      <c r="D18" t="s">
        <v>521</v>
      </c>
      <c r="F18" t="s">
        <v>323</v>
      </c>
      <c r="G18" s="1" t="s">
        <v>61</v>
      </c>
      <c r="H18" s="1">
        <v>0.19500000000000001</v>
      </c>
      <c r="I18" t="s">
        <v>479</v>
      </c>
      <c r="K18" t="s">
        <v>525</v>
      </c>
      <c r="L18" s="1" t="s">
        <v>61</v>
      </c>
      <c r="M18" s="44">
        <v>0</v>
      </c>
      <c r="N18" s="1">
        <f t="shared" si="2"/>
        <v>0</v>
      </c>
      <c r="O18" s="1">
        <f t="shared" si="1"/>
        <v>4.5869999999999997</v>
      </c>
      <c r="P18" s="20">
        <v>4.5869999999999997</v>
      </c>
      <c r="Q18" t="s">
        <v>480</v>
      </c>
      <c r="Y18" t="s">
        <v>526</v>
      </c>
      <c r="Z18" s="21">
        <v>0.255</v>
      </c>
      <c r="AA18" t="s">
        <v>485</v>
      </c>
      <c r="AB18" s="26" t="s">
        <v>483</v>
      </c>
    </row>
    <row r="19" spans="1:28" ht="15.95">
      <c r="A19" t="s">
        <v>289</v>
      </c>
      <c r="B19" s="1" t="s">
        <v>61</v>
      </c>
      <c r="C19" s="1">
        <v>0</v>
      </c>
      <c r="D19" t="s">
        <v>521</v>
      </c>
      <c r="F19" t="s">
        <v>527</v>
      </c>
      <c r="G19" s="1" t="s">
        <v>61</v>
      </c>
      <c r="H19" s="1">
        <v>8.4000000000000005E-2</v>
      </c>
      <c r="I19" t="s">
        <v>528</v>
      </c>
      <c r="K19" t="s">
        <v>529</v>
      </c>
      <c r="L19" s="1" t="s">
        <v>61</v>
      </c>
      <c r="M19" s="44">
        <v>0</v>
      </c>
      <c r="N19" s="1">
        <f t="shared" si="2"/>
        <v>0</v>
      </c>
      <c r="O19" s="1">
        <f t="shared" si="1"/>
        <v>5.6879999999999997</v>
      </c>
      <c r="P19" s="20">
        <v>5.6879999999999997</v>
      </c>
      <c r="Q19" t="s">
        <v>480</v>
      </c>
      <c r="Y19" t="s">
        <v>530</v>
      </c>
      <c r="Z19" s="21">
        <v>0.28899999999999998</v>
      </c>
      <c r="AA19" t="s">
        <v>485</v>
      </c>
      <c r="AB19" s="26" t="s">
        <v>483</v>
      </c>
    </row>
    <row r="20" spans="1:28" ht="15.95">
      <c r="A20" t="s">
        <v>290</v>
      </c>
      <c r="B20" s="1" t="s">
        <v>61</v>
      </c>
      <c r="C20" s="1">
        <v>0</v>
      </c>
      <c r="D20" t="s">
        <v>521</v>
      </c>
      <c r="F20" t="s">
        <v>179</v>
      </c>
      <c r="G20" s="1" t="s">
        <v>61</v>
      </c>
      <c r="H20" s="1">
        <v>1.2999999999999999E-2</v>
      </c>
      <c r="I20" t="s">
        <v>531</v>
      </c>
      <c r="Y20" t="s">
        <v>532</v>
      </c>
      <c r="Z20" s="21">
        <v>0.12</v>
      </c>
      <c r="AA20" t="s">
        <v>485</v>
      </c>
      <c r="AB20" s="26" t="s">
        <v>483</v>
      </c>
    </row>
    <row r="21" spans="1:28" ht="17.100000000000001">
      <c r="A21" t="s">
        <v>314</v>
      </c>
      <c r="B21" s="1" t="s">
        <v>61</v>
      </c>
      <c r="C21" s="1">
        <v>0.44</v>
      </c>
      <c r="D21" t="s">
        <v>507</v>
      </c>
      <c r="F21" s="96" t="s">
        <v>287</v>
      </c>
      <c r="G21" s="1" t="s">
        <v>61</v>
      </c>
      <c r="H21" s="1">
        <v>0</v>
      </c>
      <c r="I21" t="s">
        <v>521</v>
      </c>
      <c r="Y21" t="s">
        <v>533</v>
      </c>
      <c r="Z21" s="21">
        <v>0.24099999999999999</v>
      </c>
      <c r="AA21" t="s">
        <v>485</v>
      </c>
      <c r="AB21" s="26" t="s">
        <v>483</v>
      </c>
    </row>
    <row r="22" spans="1:28" ht="17.100000000000001">
      <c r="A22" t="s">
        <v>316</v>
      </c>
      <c r="B22" s="1" t="s">
        <v>61</v>
      </c>
      <c r="C22" s="1">
        <v>0.47599999999999998</v>
      </c>
      <c r="D22" t="s">
        <v>507</v>
      </c>
      <c r="F22" s="96" t="s">
        <v>288</v>
      </c>
      <c r="G22" s="1" t="s">
        <v>61</v>
      </c>
      <c r="H22" s="1">
        <v>0</v>
      </c>
      <c r="I22" t="s">
        <v>521</v>
      </c>
      <c r="Y22" t="s">
        <v>534</v>
      </c>
      <c r="Z22" s="21">
        <v>0.21</v>
      </c>
      <c r="AA22" t="s">
        <v>485</v>
      </c>
      <c r="AB22" s="26" t="s">
        <v>483</v>
      </c>
    </row>
    <row r="23" spans="1:28" ht="15.95">
      <c r="A23" t="s">
        <v>317</v>
      </c>
      <c r="B23" s="1" t="s">
        <v>61</v>
      </c>
      <c r="C23" s="1">
        <v>3.6629999999999998</v>
      </c>
      <c r="D23" t="s">
        <v>479</v>
      </c>
      <c r="F23" t="s">
        <v>289</v>
      </c>
      <c r="G23" s="1" t="s">
        <v>61</v>
      </c>
      <c r="H23" s="1">
        <v>0</v>
      </c>
      <c r="I23" t="s">
        <v>521</v>
      </c>
      <c r="Y23" t="s">
        <v>535</v>
      </c>
      <c r="Z23" s="21">
        <v>1.2E-2</v>
      </c>
      <c r="AA23" t="s">
        <v>485</v>
      </c>
      <c r="AB23" s="26" t="s">
        <v>483</v>
      </c>
    </row>
    <row r="24" spans="1:28" ht="15.95">
      <c r="A24" t="s">
        <v>187</v>
      </c>
      <c r="B24" s="1" t="s">
        <v>61</v>
      </c>
      <c r="C24" s="1">
        <v>0.17199999999999999</v>
      </c>
      <c r="D24" t="s">
        <v>479</v>
      </c>
      <c r="F24" t="s">
        <v>290</v>
      </c>
      <c r="G24" s="1" t="s">
        <v>61</v>
      </c>
      <c r="H24" s="1">
        <v>0</v>
      </c>
      <c r="I24" t="s">
        <v>521</v>
      </c>
      <c r="Y24" t="s">
        <v>536</v>
      </c>
      <c r="Z24" s="21">
        <v>0.23</v>
      </c>
      <c r="AA24" t="s">
        <v>485</v>
      </c>
      <c r="AB24" s="26" t="s">
        <v>483</v>
      </c>
    </row>
    <row r="25" spans="1:28" ht="15.95">
      <c r="A25" t="s">
        <v>190</v>
      </c>
      <c r="B25" s="1" t="s">
        <v>61</v>
      </c>
      <c r="C25" s="1">
        <v>7.2999999999999995E-2</v>
      </c>
      <c r="D25" t="s">
        <v>479</v>
      </c>
      <c r="F25" t="s">
        <v>291</v>
      </c>
      <c r="G25" s="1" t="s">
        <v>61</v>
      </c>
      <c r="H25" s="21" cm="1">
        <f t="array" ref="H25">SUMPRODUCT(TRANSPOSE('Product-Level Calculation'!$G$31:$H$31),$H$45:$H$46)+$H$50</f>
        <v>0.39999999999999997</v>
      </c>
      <c r="I25" t="s">
        <v>537</v>
      </c>
      <c r="Y25" t="s">
        <v>538</v>
      </c>
      <c r="Z25" s="21">
        <v>0.68144988454919286</v>
      </c>
      <c r="AA25" t="s">
        <v>539</v>
      </c>
      <c r="AB25" s="26" t="s">
        <v>483</v>
      </c>
    </row>
    <row r="26" spans="1:28" ht="15.95">
      <c r="A26" t="s">
        <v>194</v>
      </c>
      <c r="B26" s="1" t="s">
        <v>61</v>
      </c>
      <c r="C26" s="1">
        <v>7.2999999999999995E-2</v>
      </c>
      <c r="D26" t="s">
        <v>479</v>
      </c>
      <c r="F26" t="s">
        <v>293</v>
      </c>
      <c r="G26" s="1" t="s">
        <v>61</v>
      </c>
      <c r="H26" s="21" cm="1">
        <f t="array" ref="H26">SUMPRODUCT(TRANSPOSE('Product-Level Calculation'!$G$32:$H$32),$H$45:$H$46)+$H$50</f>
        <v>0.39999999999999997</v>
      </c>
      <c r="I26" t="s">
        <v>537</v>
      </c>
      <c r="Y26" t="s">
        <v>540</v>
      </c>
      <c r="Z26" s="21">
        <v>0.47499999999999998</v>
      </c>
      <c r="AA26" t="s">
        <v>539</v>
      </c>
      <c r="AB26" s="26" t="s">
        <v>483</v>
      </c>
    </row>
    <row r="27" spans="1:28" ht="15.95">
      <c r="A27" t="s">
        <v>314</v>
      </c>
      <c r="B27" s="1" t="s">
        <v>61</v>
      </c>
      <c r="C27" s="1">
        <v>0.44</v>
      </c>
      <c r="D27" t="s">
        <v>479</v>
      </c>
      <c r="F27" t="s">
        <v>294</v>
      </c>
      <c r="G27" s="1" t="s">
        <v>61</v>
      </c>
      <c r="H27" s="21" cm="1">
        <f t="array" ref="H27">SUMPRODUCT(TRANSPOSE('Product-Level Calculation'!$G$32:$H$32),$H$45:$H$46)+$H$50</f>
        <v>0.39999999999999997</v>
      </c>
      <c r="I27" t="s">
        <v>537</v>
      </c>
      <c r="Y27" t="s">
        <v>541</v>
      </c>
      <c r="Z27" s="21">
        <v>0.38229328536268326</v>
      </c>
      <c r="AA27" t="s">
        <v>539</v>
      </c>
      <c r="AB27" s="26" t="s">
        <v>483</v>
      </c>
    </row>
    <row r="28" spans="1:28" ht="15.95">
      <c r="A28" t="s">
        <v>316</v>
      </c>
      <c r="B28" s="1" t="s">
        <v>61</v>
      </c>
      <c r="C28" s="1">
        <v>0.47599999999999998</v>
      </c>
      <c r="D28" t="s">
        <v>479</v>
      </c>
      <c r="F28" t="s">
        <v>295</v>
      </c>
      <c r="G28" s="1" t="s">
        <v>61</v>
      </c>
      <c r="H28" s="21" cm="1">
        <f t="array" ref="H28">SUMPRODUCT(TRANSPOSE('Product-Level Calculation'!$G$32:$H$32),$H$45:$H$46)+$H$50</f>
        <v>0.39999999999999997</v>
      </c>
      <c r="I28" t="s">
        <v>537</v>
      </c>
      <c r="Y28" t="s">
        <v>542</v>
      </c>
      <c r="Z28" s="21">
        <v>2.8033127275716722E-2</v>
      </c>
      <c r="AA28" t="s">
        <v>539</v>
      </c>
      <c r="AB28" s="26" t="s">
        <v>483</v>
      </c>
    </row>
    <row r="29" spans="1:28" ht="15.95">
      <c r="A29" t="s">
        <v>317</v>
      </c>
      <c r="B29" s="1" t="s">
        <v>61</v>
      </c>
      <c r="C29" s="1">
        <v>3.6629999999999998</v>
      </c>
      <c r="D29" t="s">
        <v>479</v>
      </c>
      <c r="F29" t="s">
        <v>296</v>
      </c>
      <c r="G29" s="1" t="s">
        <v>61</v>
      </c>
      <c r="H29" s="21" cm="1">
        <f t="array" ref="H29">SUMPRODUCT(TRANSPOSE('Product-Level Calculation'!$G$32:$H$32),$H$45:$H$46)+$H$50</f>
        <v>0.39999999999999997</v>
      </c>
      <c r="I29" t="s">
        <v>537</v>
      </c>
      <c r="Y29" t="s">
        <v>543</v>
      </c>
      <c r="Z29" s="21">
        <v>0.70429613778396705</v>
      </c>
      <c r="AA29" t="s">
        <v>539</v>
      </c>
      <c r="AB29" s="26" t="s">
        <v>483</v>
      </c>
    </row>
    <row r="30" spans="1:28" ht="15.95">
      <c r="A30" t="s">
        <v>325</v>
      </c>
      <c r="B30" s="1" t="s">
        <v>61</v>
      </c>
      <c r="C30" s="1">
        <v>28</v>
      </c>
      <c r="D30" t="s">
        <v>544</v>
      </c>
      <c r="F30" t="s">
        <v>298</v>
      </c>
      <c r="G30" s="1" t="s">
        <v>61</v>
      </c>
      <c r="H30" s="21" cm="1">
        <f t="array" ref="H30">SUMPRODUCT(TRANSPOSE('Product-Level Calculation'!$G$32:$H$32),$H$45:$H$46)+$H$50</f>
        <v>0.39999999999999997</v>
      </c>
      <c r="I30" t="s">
        <v>537</v>
      </c>
      <c r="Y30" t="s">
        <v>545</v>
      </c>
      <c r="Z30" s="21">
        <v>3.4885243384830775E-2</v>
      </c>
      <c r="AA30" t="s">
        <v>539</v>
      </c>
      <c r="AB30" s="26" t="s">
        <v>483</v>
      </c>
    </row>
    <row r="31" spans="1:28" ht="15.75" customHeight="1">
      <c r="A31" t="s">
        <v>180</v>
      </c>
      <c r="B31" s="1" t="s">
        <v>61</v>
      </c>
      <c r="F31" s="90" t="s">
        <v>306</v>
      </c>
      <c r="G31" s="1" t="s">
        <v>462</v>
      </c>
      <c r="H31" s="225">
        <f>SUM(H47,H51)</f>
        <v>6.4887573964497042E-4</v>
      </c>
      <c r="I31" t="s">
        <v>537</v>
      </c>
      <c r="Y31" t="s">
        <v>546</v>
      </c>
      <c r="Z31" s="21">
        <v>0.54339999999999999</v>
      </c>
      <c r="AA31" t="s">
        <v>547</v>
      </c>
      <c r="AB31" s="26" t="s">
        <v>483</v>
      </c>
    </row>
    <row r="32" spans="1:28" ht="15.75" customHeight="1">
      <c r="A32" s="212" t="s">
        <v>183</v>
      </c>
      <c r="B32" s="1" t="s">
        <v>61</v>
      </c>
      <c r="F32" t="s">
        <v>180</v>
      </c>
      <c r="Y32" t="s">
        <v>548</v>
      </c>
      <c r="Z32" s="21">
        <v>0.55546534145387916</v>
      </c>
      <c r="AA32" t="s">
        <v>539</v>
      </c>
      <c r="AB32" s="26" t="s">
        <v>483</v>
      </c>
    </row>
    <row r="33" spans="1:28" ht="15.75" customHeight="1">
      <c r="A33" s="212" t="s">
        <v>185</v>
      </c>
      <c r="B33" s="1" t="s">
        <v>61</v>
      </c>
      <c r="F33" s="212" t="s">
        <v>183</v>
      </c>
      <c r="Y33" t="s">
        <v>549</v>
      </c>
      <c r="Z33" s="21">
        <v>0.46018452724068876</v>
      </c>
      <c r="AA33" t="s">
        <v>539</v>
      </c>
      <c r="AB33" s="26" t="s">
        <v>483</v>
      </c>
    </row>
    <row r="34" spans="1:28" ht="15.75" customHeight="1">
      <c r="A34" s="212" t="s">
        <v>188</v>
      </c>
      <c r="B34" s="1" t="s">
        <v>61</v>
      </c>
      <c r="F34" s="212" t="s">
        <v>185</v>
      </c>
      <c r="Y34" t="s">
        <v>550</v>
      </c>
      <c r="Z34" s="21">
        <v>0.78909298326160293</v>
      </c>
      <c r="AA34" t="s">
        <v>539</v>
      </c>
      <c r="AB34" s="26" t="s">
        <v>483</v>
      </c>
    </row>
    <row r="35" spans="1:28" ht="15.75" customHeight="1">
      <c r="A35" s="212" t="s">
        <v>191</v>
      </c>
      <c r="B35" s="1" t="s">
        <v>61</v>
      </c>
      <c r="F35" s="212" t="s">
        <v>188</v>
      </c>
      <c r="Y35" t="s">
        <v>551</v>
      </c>
      <c r="Z35" s="21">
        <v>0.87240179571283982</v>
      </c>
      <c r="AA35" t="s">
        <v>539</v>
      </c>
      <c r="AB35" s="26" t="s">
        <v>483</v>
      </c>
    </row>
    <row r="36" spans="1:28" ht="15.75" customHeight="1">
      <c r="A36" s="212" t="s">
        <v>195</v>
      </c>
      <c r="B36" s="1" t="s">
        <v>61</v>
      </c>
      <c r="F36" s="212" t="s">
        <v>191</v>
      </c>
      <c r="Y36" t="s">
        <v>552</v>
      </c>
      <c r="Z36" s="21">
        <v>0.33019999999999999</v>
      </c>
      <c r="AA36" t="s">
        <v>547</v>
      </c>
      <c r="AB36" s="26" t="s">
        <v>483</v>
      </c>
    </row>
    <row r="37" spans="1:28" ht="15.75" customHeight="1">
      <c r="F37" s="212" t="s">
        <v>195</v>
      </c>
      <c r="Y37" t="s">
        <v>553</v>
      </c>
      <c r="Z37" s="21">
        <v>0.3377116691451077</v>
      </c>
      <c r="AA37" t="s">
        <v>539</v>
      </c>
      <c r="AB37" s="26" t="s">
        <v>483</v>
      </c>
    </row>
    <row r="38" spans="1:28" ht="15.75" customHeight="1">
      <c r="Y38" t="s">
        <v>554</v>
      </c>
      <c r="Z38" s="21">
        <v>0.54322103883229211</v>
      </c>
      <c r="AA38" t="s">
        <v>539</v>
      </c>
      <c r="AB38" s="26" t="s">
        <v>483</v>
      </c>
    </row>
    <row r="39" spans="1:28" ht="15.75" customHeight="1">
      <c r="Y39" t="s">
        <v>555</v>
      </c>
      <c r="Z39" s="21">
        <v>0.14000000000000001</v>
      </c>
      <c r="AA39" t="s">
        <v>547</v>
      </c>
      <c r="AB39" s="26" t="s">
        <v>483</v>
      </c>
    </row>
    <row r="40" spans="1:28" ht="15.75" customHeight="1">
      <c r="Y40" t="s">
        <v>556</v>
      </c>
      <c r="Z40" s="21">
        <v>0.684198154896</v>
      </c>
      <c r="AA40" t="s">
        <v>539</v>
      </c>
      <c r="AB40" s="26" t="s">
        <v>483</v>
      </c>
    </row>
    <row r="41" spans="1:28" ht="15.75" customHeight="1">
      <c r="Y41" t="s">
        <v>557</v>
      </c>
      <c r="Z41" s="21">
        <v>0.2814037660082217</v>
      </c>
      <c r="AA41" t="s">
        <v>539</v>
      </c>
      <c r="AB41" s="26" t="s">
        <v>483</v>
      </c>
    </row>
    <row r="42" spans="1:28" ht="15.75" customHeight="1">
      <c r="Y42" t="s">
        <v>558</v>
      </c>
      <c r="Z42" s="21">
        <v>0.39084654171454958</v>
      </c>
      <c r="AA42" t="s">
        <v>539</v>
      </c>
      <c r="AB42" s="26" t="s">
        <v>483</v>
      </c>
    </row>
    <row r="43" spans="1:28" ht="15.75" customHeight="1">
      <c r="Y43" t="s">
        <v>559</v>
      </c>
      <c r="Z43" s="21">
        <v>0.41241538675178735</v>
      </c>
      <c r="AA43" t="s">
        <v>539</v>
      </c>
      <c r="AB43" s="26" t="s">
        <v>483</v>
      </c>
    </row>
    <row r="44" spans="1:28" ht="15.75" customHeight="1">
      <c r="F44" t="s">
        <v>459</v>
      </c>
      <c r="Y44" t="s">
        <v>431</v>
      </c>
      <c r="Z44" s="21">
        <v>0.40106637000000001</v>
      </c>
      <c r="AA44" t="s">
        <v>560</v>
      </c>
      <c r="AB44" s="26" t="s">
        <v>483</v>
      </c>
    </row>
    <row r="45" spans="1:28" ht="15.75" customHeight="1">
      <c r="F45" t="s">
        <v>458</v>
      </c>
      <c r="G45" s="1" t="s">
        <v>61</v>
      </c>
      <c r="H45" s="1">
        <v>0.36</v>
      </c>
      <c r="I45" t="s">
        <v>561</v>
      </c>
      <c r="K45" s="176"/>
      <c r="L45" s="176"/>
      <c r="M45" s="176"/>
      <c r="Y45" t="s">
        <v>562</v>
      </c>
      <c r="Z45" s="21">
        <v>0.340054143879301</v>
      </c>
      <c r="AA45" t="s">
        <v>539</v>
      </c>
      <c r="AB45" s="26" t="s">
        <v>483</v>
      </c>
    </row>
    <row r="46" spans="1:28" ht="15.75" customHeight="1">
      <c r="F46" t="s">
        <v>461</v>
      </c>
      <c r="G46" s="1" t="s">
        <v>61</v>
      </c>
      <c r="H46" s="1">
        <v>0.11</v>
      </c>
      <c r="I46" t="s">
        <v>561</v>
      </c>
      <c r="K46" s="176"/>
      <c r="L46" s="176"/>
      <c r="M46" s="176" t="s">
        <v>171</v>
      </c>
      <c r="Y46" t="s">
        <v>563</v>
      </c>
      <c r="Z46" s="21">
        <v>0.12198385748200544</v>
      </c>
      <c r="AA46" t="s">
        <v>539</v>
      </c>
      <c r="AB46" s="26" t="s">
        <v>483</v>
      </c>
    </row>
    <row r="47" spans="1:28" ht="15.75" customHeight="1">
      <c r="F47" t="s">
        <v>564</v>
      </c>
      <c r="G47" s="1" t="s">
        <v>462</v>
      </c>
      <c r="H47" s="1">
        <v>3.2000000000000003E-4</v>
      </c>
      <c r="I47" t="s">
        <v>565</v>
      </c>
      <c r="K47" s="176">
        <v>1470.3</v>
      </c>
      <c r="L47" s="176" t="s">
        <v>566</v>
      </c>
      <c r="M47" s="177" t="s">
        <v>567</v>
      </c>
      <c r="Y47" t="s">
        <v>568</v>
      </c>
      <c r="Z47" s="21">
        <v>0.41798434715000715</v>
      </c>
      <c r="AA47" t="s">
        <v>539</v>
      </c>
      <c r="AB47" s="26" t="s">
        <v>483</v>
      </c>
    </row>
    <row r="48" spans="1:28" ht="15.75" customHeight="1">
      <c r="K48" s="176"/>
      <c r="L48" s="176"/>
      <c r="M48" s="176" t="s">
        <v>569</v>
      </c>
      <c r="Y48" t="s">
        <v>570</v>
      </c>
      <c r="Z48" s="21">
        <v>0.2258444345692481</v>
      </c>
      <c r="AA48" t="s">
        <v>539</v>
      </c>
      <c r="AB48" s="26" t="s">
        <v>483</v>
      </c>
    </row>
    <row r="49" spans="6:28" ht="15.75" customHeight="1">
      <c r="F49" t="s">
        <v>571</v>
      </c>
      <c r="K49" s="176"/>
      <c r="L49" s="176"/>
      <c r="M49" s="176" t="s">
        <v>572</v>
      </c>
      <c r="Y49" t="s">
        <v>573</v>
      </c>
      <c r="Z49" s="21">
        <v>0.14756170297325982</v>
      </c>
      <c r="AA49" t="s">
        <v>539</v>
      </c>
      <c r="AB49" s="26" t="s">
        <v>483</v>
      </c>
    </row>
    <row r="50" spans="6:28" ht="15.75" customHeight="1">
      <c r="F50" t="s">
        <v>574</v>
      </c>
      <c r="G50" s="1" t="s">
        <v>61</v>
      </c>
      <c r="H50" s="1">
        <v>0.04</v>
      </c>
      <c r="I50" t="s">
        <v>575</v>
      </c>
      <c r="K50" s="176"/>
      <c r="L50" s="176"/>
      <c r="M50" s="176" t="s">
        <v>576</v>
      </c>
      <c r="Y50" t="s">
        <v>577</v>
      </c>
      <c r="Z50" s="21">
        <v>2.6163854418188116E-2</v>
      </c>
      <c r="AA50" t="s">
        <v>539</v>
      </c>
      <c r="AB50" s="26" t="s">
        <v>483</v>
      </c>
    </row>
    <row r="51" spans="6:28" ht="15.75" customHeight="1">
      <c r="F51" t="s">
        <v>578</v>
      </c>
      <c r="G51" s="1" t="s">
        <v>462</v>
      </c>
      <c r="H51" s="225">
        <f>(8.7/(1470.3*1000/55.58))</f>
        <v>3.2887573964497034E-4</v>
      </c>
      <c r="I51" t="s">
        <v>579</v>
      </c>
      <c r="K51" s="176"/>
      <c r="L51" s="176"/>
      <c r="M51" s="176"/>
      <c r="Y51" t="s">
        <v>580</v>
      </c>
      <c r="Z51" s="21">
        <v>0.18879217507208954</v>
      </c>
      <c r="AA51" t="s">
        <v>539</v>
      </c>
      <c r="AB51" s="26" t="s">
        <v>483</v>
      </c>
    </row>
    <row r="52" spans="6:28" ht="15.75" customHeight="1">
      <c r="Y52" t="s">
        <v>581</v>
      </c>
      <c r="Z52" s="21">
        <v>9.5484986495775998E-2</v>
      </c>
      <c r="AA52" t="s">
        <v>539</v>
      </c>
      <c r="AB52" s="26" t="s">
        <v>483</v>
      </c>
    </row>
    <row r="53" spans="6:28" ht="15.75" customHeight="1">
      <c r="Y53" t="s">
        <v>582</v>
      </c>
      <c r="Z53" s="21">
        <v>0.20909978576680394</v>
      </c>
      <c r="AA53" t="s">
        <v>539</v>
      </c>
      <c r="AB53" s="26" t="s">
        <v>483</v>
      </c>
    </row>
    <row r="54" spans="6:28" ht="15.75" customHeight="1">
      <c r="F54" s="175" t="s">
        <v>583</v>
      </c>
      <c r="G54" s="176"/>
      <c r="H54" s="176"/>
      <c r="I54" s="176"/>
      <c r="J54" s="176"/>
      <c r="Y54" t="s">
        <v>584</v>
      </c>
      <c r="Z54" s="21">
        <v>0.46699639808245769</v>
      </c>
      <c r="AA54" t="s">
        <v>539</v>
      </c>
      <c r="AB54" s="26" t="s">
        <v>483</v>
      </c>
    </row>
    <row r="55" spans="6:28" ht="15.75" customHeight="1">
      <c r="F55" s="176"/>
      <c r="G55" s="176" t="s">
        <v>585</v>
      </c>
      <c r="H55" s="176" t="s">
        <v>234</v>
      </c>
      <c r="I55" s="176"/>
      <c r="J55" s="176"/>
      <c r="Y55" t="s">
        <v>586</v>
      </c>
      <c r="Z55" s="21">
        <v>2.3369372393034198E-2</v>
      </c>
      <c r="AA55" t="s">
        <v>539</v>
      </c>
      <c r="AB55" s="26" t="s">
        <v>483</v>
      </c>
    </row>
    <row r="56" spans="6:28" ht="15.75" customHeight="1">
      <c r="F56" s="176" t="s">
        <v>587</v>
      </c>
      <c r="G56" s="176">
        <v>1</v>
      </c>
      <c r="H56" s="176" t="s">
        <v>588</v>
      </c>
      <c r="I56" s="176">
        <v>55.58</v>
      </c>
      <c r="J56" s="176" t="s">
        <v>358</v>
      </c>
      <c r="Y56" t="s">
        <v>589</v>
      </c>
      <c r="Z56" s="21">
        <v>0.45979621278953331</v>
      </c>
      <c r="AA56" t="s">
        <v>539</v>
      </c>
      <c r="AB56" s="26" t="s">
        <v>483</v>
      </c>
    </row>
    <row r="57" spans="6:28" ht="15.75" customHeight="1">
      <c r="F57" s="176" t="s">
        <v>590</v>
      </c>
      <c r="G57" s="176">
        <v>0.84</v>
      </c>
      <c r="H57" s="176" t="s">
        <v>591</v>
      </c>
      <c r="I57" s="176"/>
      <c r="J57" s="176"/>
      <c r="Y57" t="s">
        <v>592</v>
      </c>
      <c r="Z57" s="21">
        <v>0.24647228497400361</v>
      </c>
      <c r="AA57" t="s">
        <v>539</v>
      </c>
      <c r="AB57" s="26" t="s">
        <v>483</v>
      </c>
    </row>
    <row r="58" spans="6:28" ht="15.75" customHeight="1">
      <c r="F58" s="176" t="s">
        <v>593</v>
      </c>
      <c r="G58" s="176">
        <v>0.94</v>
      </c>
      <c r="H58" s="176" t="s">
        <v>591</v>
      </c>
      <c r="I58" s="176"/>
      <c r="J58" s="176"/>
      <c r="Y58" t="s">
        <v>594</v>
      </c>
      <c r="Z58" s="21">
        <v>0.11458643368836174</v>
      </c>
      <c r="AA58" t="s">
        <v>539</v>
      </c>
      <c r="AB58" s="26" t="s">
        <v>483</v>
      </c>
    </row>
    <row r="59" spans="6:28" ht="15.75" customHeight="1">
      <c r="F59" s="176" t="s">
        <v>595</v>
      </c>
      <c r="G59" s="176">
        <v>0.54</v>
      </c>
      <c r="H59" s="176" t="s">
        <v>591</v>
      </c>
      <c r="I59" s="176"/>
      <c r="J59" s="176"/>
      <c r="Y59" t="s">
        <v>596</v>
      </c>
      <c r="Z59" s="21">
        <v>0.48427136638890073</v>
      </c>
      <c r="AA59" t="s">
        <v>539</v>
      </c>
      <c r="AB59" s="26" t="s">
        <v>483</v>
      </c>
    </row>
    <row r="60" spans="6:28" ht="15.75" customHeight="1">
      <c r="F60" s="176"/>
      <c r="G60" s="176"/>
      <c r="H60" s="176"/>
      <c r="I60" s="176"/>
      <c r="J60" s="176"/>
      <c r="Y60" t="s">
        <v>597</v>
      </c>
      <c r="Z60" s="21">
        <v>0.29984225509759832</v>
      </c>
      <c r="AA60" t="s">
        <v>539</v>
      </c>
      <c r="AB60" s="26" t="s">
        <v>483</v>
      </c>
    </row>
    <row r="61" spans="6:28" ht="15.75" customHeight="1">
      <c r="Y61" t="s">
        <v>598</v>
      </c>
      <c r="Z61" s="21">
        <v>0.63084533685274513</v>
      </c>
      <c r="AA61" t="s">
        <v>539</v>
      </c>
      <c r="AB61" s="26" t="s">
        <v>483</v>
      </c>
    </row>
    <row r="62" spans="6:28" ht="15.75" customHeight="1">
      <c r="Y62" t="s">
        <v>599</v>
      </c>
      <c r="Z62" s="21">
        <v>0.38644755056683217</v>
      </c>
      <c r="AA62" t="s">
        <v>539</v>
      </c>
      <c r="AB62" s="26" t="s">
        <v>483</v>
      </c>
    </row>
    <row r="63" spans="6:28" ht="15.75" customHeight="1">
      <c r="Y63" t="s">
        <v>600</v>
      </c>
      <c r="Z63" s="21">
        <v>0.87382605623719056</v>
      </c>
      <c r="AA63" t="s">
        <v>539</v>
      </c>
      <c r="AB63" s="26" t="s">
        <v>483</v>
      </c>
    </row>
    <row r="64" spans="6:28" ht="15.75" customHeight="1">
      <c r="Y64" t="s">
        <v>601</v>
      </c>
      <c r="Z64" s="21">
        <v>0.45394468416326578</v>
      </c>
      <c r="AA64" t="s">
        <v>539</v>
      </c>
      <c r="AB64" s="26" t="s">
        <v>483</v>
      </c>
    </row>
    <row r="65" spans="25:28" ht="15.75" customHeight="1">
      <c r="Y65" t="s">
        <v>602</v>
      </c>
      <c r="Z65" s="21">
        <v>8.5154788110407512E-2</v>
      </c>
      <c r="AA65" t="s">
        <v>539</v>
      </c>
      <c r="AB65" s="26" t="s">
        <v>483</v>
      </c>
    </row>
    <row r="66" spans="25:28" ht="15.75" customHeight="1">
      <c r="Y66" t="s">
        <v>603</v>
      </c>
      <c r="Z66" s="21">
        <v>0.50726713435668558</v>
      </c>
      <c r="AA66" t="s">
        <v>539</v>
      </c>
      <c r="AB66" s="26" t="s">
        <v>483</v>
      </c>
    </row>
    <row r="67" spans="25:28" ht="15.75" customHeight="1">
      <c r="Y67" t="s">
        <v>604</v>
      </c>
      <c r="Z67" s="21">
        <v>0.62597730528667728</v>
      </c>
      <c r="AA67" t="s">
        <v>539</v>
      </c>
      <c r="AB67" s="26" t="s">
        <v>483</v>
      </c>
    </row>
    <row r="68" spans="25:28" ht="15.75" customHeight="1">
      <c r="Y68" t="s">
        <v>605</v>
      </c>
      <c r="Z68" s="21">
        <v>0.42948759104560535</v>
      </c>
      <c r="AA68" t="s">
        <v>539</v>
      </c>
      <c r="AB68" s="26" t="s">
        <v>483</v>
      </c>
    </row>
    <row r="69" spans="25:28" ht="15.75" customHeight="1">
      <c r="Y69" t="s">
        <v>606</v>
      </c>
      <c r="Z69" s="21">
        <v>0.47138657895181602</v>
      </c>
      <c r="AA69" t="s">
        <v>539</v>
      </c>
      <c r="AB69" s="26" t="s">
        <v>483</v>
      </c>
    </row>
    <row r="70" spans="25:28" ht="15.75" customHeight="1">
      <c r="Y70" t="s">
        <v>607</v>
      </c>
      <c r="Z70" s="21">
        <v>0.47073700220141346</v>
      </c>
      <c r="AA70" t="s">
        <v>539</v>
      </c>
      <c r="AB70" s="26" t="s">
        <v>483</v>
      </c>
    </row>
    <row r="71" spans="25:28" ht="15.75" customHeight="1">
      <c r="Y71" t="s">
        <v>608</v>
      </c>
      <c r="Z71" s="21">
        <v>0.57903982413833688</v>
      </c>
      <c r="AA71" t="s">
        <v>539</v>
      </c>
      <c r="AB71" s="26" t="s">
        <v>483</v>
      </c>
    </row>
    <row r="72" spans="25:28" ht="15.75" customHeight="1">
      <c r="Y72" t="s">
        <v>609</v>
      </c>
      <c r="Z72" s="21">
        <v>0.58511633044148004</v>
      </c>
      <c r="AA72" t="s">
        <v>539</v>
      </c>
      <c r="AB72" s="26" t="s">
        <v>483</v>
      </c>
    </row>
    <row r="73" spans="25:28" ht="15.75" customHeight="1">
      <c r="Y73" t="s">
        <v>610</v>
      </c>
      <c r="Z73" s="21">
        <v>0.45697389992601317</v>
      </c>
      <c r="AA73" t="s">
        <v>539</v>
      </c>
      <c r="AB73" s="26" t="s">
        <v>483</v>
      </c>
    </row>
    <row r="74" spans="25:28" ht="15.75" customHeight="1">
      <c r="Y74" t="s">
        <v>611</v>
      </c>
      <c r="Z74" s="21">
        <v>0.55370269872433786</v>
      </c>
      <c r="AA74" t="s">
        <v>539</v>
      </c>
      <c r="AB74" s="26" t="s">
        <v>483</v>
      </c>
    </row>
    <row r="75" spans="25:28" ht="15.75" customHeight="1">
      <c r="Y75" t="s">
        <v>45</v>
      </c>
      <c r="Z75" s="21">
        <v>0.62360000000000004</v>
      </c>
      <c r="AA75" t="s">
        <v>547</v>
      </c>
      <c r="AB75" s="26" t="s">
        <v>483</v>
      </c>
    </row>
    <row r="76" spans="25:28" ht="15.75" customHeight="1">
      <c r="Y76" t="s">
        <v>612</v>
      </c>
      <c r="Z76" s="21">
        <v>0.7429</v>
      </c>
      <c r="AA76" t="s">
        <v>547</v>
      </c>
      <c r="AB76" s="26" t="s">
        <v>483</v>
      </c>
    </row>
    <row r="77" spans="25:28" ht="15.75" customHeight="1">
      <c r="Y77" t="s">
        <v>613</v>
      </c>
      <c r="Z77" s="21">
        <v>0.73346153725902941</v>
      </c>
      <c r="AA77" t="s">
        <v>539</v>
      </c>
      <c r="AB77" s="26" t="s">
        <v>483</v>
      </c>
    </row>
    <row r="78" spans="25:28" ht="15.75" customHeight="1">
      <c r="Y78" t="s">
        <v>614</v>
      </c>
      <c r="Z78" s="21">
        <v>0.49159999999999998</v>
      </c>
      <c r="AA78" t="s">
        <v>547</v>
      </c>
      <c r="AB78" s="26" t="s">
        <v>483</v>
      </c>
    </row>
    <row r="79" spans="25:28" ht="15.75" customHeight="1">
      <c r="Y79" t="s">
        <v>615</v>
      </c>
      <c r="Z79" s="21">
        <v>0.51700000000000002</v>
      </c>
      <c r="AA79" t="s">
        <v>547</v>
      </c>
      <c r="AB79" s="26" t="s">
        <v>483</v>
      </c>
    </row>
    <row r="80" spans="25:28" ht="15.75" customHeight="1">
      <c r="Y80" t="s">
        <v>616</v>
      </c>
      <c r="Z80" s="21">
        <v>0.61236265171187243</v>
      </c>
      <c r="AA80" t="s">
        <v>539</v>
      </c>
      <c r="AB80" s="26" t="s">
        <v>483</v>
      </c>
    </row>
    <row r="81" spans="25:28" ht="15.75" customHeight="1">
      <c r="Y81" t="s">
        <v>617</v>
      </c>
      <c r="Z81" s="21">
        <v>0.91995799124156674</v>
      </c>
      <c r="AA81" t="s">
        <v>539</v>
      </c>
      <c r="AB81" s="26" t="s">
        <v>483</v>
      </c>
    </row>
    <row r="82" spans="25:28" ht="15.75" customHeight="1">
      <c r="Y82" t="s">
        <v>618</v>
      </c>
      <c r="Z82" s="21">
        <v>0.29103854928570899</v>
      </c>
      <c r="AA82" t="s">
        <v>539</v>
      </c>
      <c r="AB82" s="26" t="s">
        <v>483</v>
      </c>
    </row>
    <row r="83" spans="25:28" ht="15.75" customHeight="1">
      <c r="Y83" t="s">
        <v>619</v>
      </c>
      <c r="Z83" s="21">
        <v>0.4440083915586831</v>
      </c>
      <c r="AA83" t="s">
        <v>539</v>
      </c>
      <c r="AB83" s="26" t="s">
        <v>483</v>
      </c>
    </row>
    <row r="84" spans="25:28" ht="15.75" customHeight="1">
      <c r="Y84" t="s">
        <v>620</v>
      </c>
      <c r="Z84" s="21">
        <v>0.66870806431010199</v>
      </c>
      <c r="AA84" t="s">
        <v>539</v>
      </c>
      <c r="AB84" s="26" t="s">
        <v>483</v>
      </c>
    </row>
    <row r="85" spans="25:28" ht="15.75" customHeight="1">
      <c r="Y85" t="s">
        <v>621</v>
      </c>
      <c r="Z85" s="21">
        <v>0.53729191749346816</v>
      </c>
      <c r="AA85" t="s">
        <v>539</v>
      </c>
      <c r="AB85" s="26" t="s">
        <v>483</v>
      </c>
    </row>
    <row r="86" spans="25:28" ht="15.75" customHeight="1">
      <c r="Y86" t="s">
        <v>622</v>
      </c>
      <c r="Z86" s="21">
        <v>0.46607824623901567</v>
      </c>
      <c r="AA86" t="s">
        <v>539</v>
      </c>
      <c r="AB86" s="26" t="s">
        <v>483</v>
      </c>
    </row>
    <row r="87" spans="25:28" ht="15.75" customHeight="1">
      <c r="Y87" t="s">
        <v>623</v>
      </c>
      <c r="Z87" s="21">
        <v>0.63514519040630857</v>
      </c>
      <c r="AA87" t="s">
        <v>539</v>
      </c>
      <c r="AB87" s="26" t="s">
        <v>483</v>
      </c>
    </row>
    <row r="88" spans="25:28" ht="15.75" customHeight="1">
      <c r="Y88" t="s">
        <v>624</v>
      </c>
      <c r="Z88" s="21">
        <v>0.51683970886156128</v>
      </c>
      <c r="AA88" t="s">
        <v>539</v>
      </c>
      <c r="AB88" s="26" t="s">
        <v>483</v>
      </c>
    </row>
    <row r="89" spans="25:28" ht="15.75" customHeight="1">
      <c r="Y89" t="s">
        <v>625</v>
      </c>
      <c r="Z89" s="21">
        <v>0.61101175256664375</v>
      </c>
      <c r="AA89" t="s">
        <v>539</v>
      </c>
      <c r="AB89" s="26" t="s">
        <v>483</v>
      </c>
    </row>
    <row r="90" spans="25:28" ht="15.75" customHeight="1">
      <c r="Y90" t="s">
        <v>626</v>
      </c>
      <c r="Z90" s="21">
        <v>0.68</v>
      </c>
      <c r="AA90" t="s">
        <v>627</v>
      </c>
      <c r="AB90" s="26" t="s">
        <v>483</v>
      </c>
    </row>
    <row r="91" spans="25:28" ht="15.75" customHeight="1">
      <c r="Y91" t="s">
        <v>628</v>
      </c>
      <c r="Z91" s="21">
        <v>0.1051</v>
      </c>
      <c r="AA91" t="s">
        <v>547</v>
      </c>
      <c r="AB91" s="26" t="s">
        <v>483</v>
      </c>
    </row>
    <row r="92" spans="25:28" ht="15.75" customHeight="1">
      <c r="Y92" t="s">
        <v>629</v>
      </c>
      <c r="Z92" s="21">
        <v>0.438</v>
      </c>
      <c r="AA92" t="s">
        <v>630</v>
      </c>
      <c r="AB92" s="26" t="s">
        <v>483</v>
      </c>
    </row>
  </sheetData>
  <mergeCells count="2">
    <mergeCell ref="S4:S6"/>
    <mergeCell ref="S7:S9"/>
  </mergeCells>
  <hyperlinks>
    <hyperlink ref="M47" r:id="rId1" xr:uid="{F563D8F7-55B7-4598-818A-D08555319932}"/>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Project_Document" ma:contentTypeID="0x010100510ED7DDF0B7174EA8E5395FB52A065300902EC04C411FA54EA9B4578E3207F3B1" ma:contentTypeVersion="3" ma:contentTypeDescription="Content Type for document libraries on Project sites" ma:contentTypeScope="" ma:versionID="4ae418f7d2e06afb14e49f392e46008c">
  <xsd:schema xmlns:xsd="http://www.w3.org/2001/XMLSchema" xmlns:xs="http://www.w3.org/2001/XMLSchema" xmlns:p="http://schemas.microsoft.com/office/2006/metadata/properties" xmlns:ns2="a1df9832-fa29-4d0b-8301-c5ccf72ca850" targetNamespace="http://schemas.microsoft.com/office/2006/metadata/properties" ma:root="true" ma:fieldsID="357ad6569559116e57154399a5267402" ns2:_="">
    <xsd:import namespace="a1df9832-fa29-4d0b-8301-c5ccf72ca850"/>
    <xsd:element name="properties">
      <xsd:complexType>
        <xsd:sequence>
          <xsd:element name="documentManagement">
            <xsd:complexType>
              <xsd:all>
                <xsd:element ref="ns2:e8144e7327f648c595f8fe404acef197" minOccurs="0"/>
                <xsd:element ref="ns2:TaxCatchAll" minOccurs="0"/>
                <xsd:element ref="ns2:TaxCatchAllLabel" minOccurs="0"/>
                <xsd:element ref="ns2:m2d3b84e453a41b493d2f8293d453bfc" minOccurs="0"/>
                <xsd:element ref="ns2:o811e3c0c0214fc6bb33522f4837a579" minOccurs="0"/>
                <xsd:element ref="ns2:Project" minOccurs="0"/>
                <xsd:element ref="ns2:n48685bf95bc4b8fa4aa6bfb34ecb222" minOccurs="0"/>
                <xsd:element ref="ns2:eda3356070224fe59cf39745c882f8c6" minOccurs="0"/>
                <xsd:element ref="ns2:m26e38606aa543cb981614fc6d49280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df9832-fa29-4d0b-8301-c5ccf72ca850" elementFormDefault="qualified">
    <xsd:import namespace="http://schemas.microsoft.com/office/2006/documentManagement/types"/>
    <xsd:import namespace="http://schemas.microsoft.com/office/infopath/2007/PartnerControls"/>
    <xsd:element name="e8144e7327f648c595f8fe404acef197" ma:index="8" nillable="true" ma:taxonomy="true" ma:internalName="e8144e7327f648c595f8fe404acef197" ma:taxonomyFieldName="Document_x0020_Status" ma:displayName="Document Status" ma:default="1;#Draft|1196e416-c1e2-46e4-892a-39f21fb650b4" ma:fieldId="{e8144e73-27f6-48c5-95f8-fe404acef197}" ma:sspId="78ca830c-a034-4168-b956-d7763e68b615" ma:termSetId="d65b1371-216a-449b-be5c-ac755384594b" ma:anchorId="00000000-0000-0000-0000-000000000000" ma:open="false" ma:isKeyword="false">
      <xsd:complexType>
        <xsd:sequence>
          <xsd:element ref="pc:Terms" minOccurs="0" maxOccurs="1"/>
        </xsd:sequence>
      </xsd:complexType>
    </xsd:element>
    <xsd:element name="TaxCatchAll" ma:index="9" nillable="true" ma:displayName="Taxonomy Catch All Column" ma:hidden="true" ma:list="{04e82cbe-aaad-4247-b49f-6ca739d1db67}" ma:internalName="TaxCatchAll" ma:showField="CatchAllData" ma:web="1fa8be8b-6897-49ee-99d7-b4f9391782e1">
      <xsd:complexType>
        <xsd:complexContent>
          <xsd:extension base="dms:MultiChoiceLookup">
            <xsd:sequence>
              <xsd:element name="Value" type="dms:Lookup" maxOccurs="unbounded" minOccurs="0" nillable="true"/>
            </xsd:sequence>
          </xsd:extension>
        </xsd:complexContent>
      </xsd:complexType>
    </xsd:element>
    <xsd:element name="TaxCatchAllLabel" ma:index="10" nillable="true" ma:displayName="Taxonomy Catch All Column1" ma:hidden="true" ma:list="{04e82cbe-aaad-4247-b49f-6ca739d1db67}" ma:internalName="TaxCatchAllLabel" ma:readOnly="true" ma:showField="CatchAllDataLabel" ma:web="1fa8be8b-6897-49ee-99d7-b4f9391782e1">
      <xsd:complexType>
        <xsd:complexContent>
          <xsd:extension base="dms:MultiChoiceLookup">
            <xsd:sequence>
              <xsd:element name="Value" type="dms:Lookup" maxOccurs="unbounded" minOccurs="0" nillable="true"/>
            </xsd:sequence>
          </xsd:extension>
        </xsd:complexContent>
      </xsd:complexType>
    </xsd:element>
    <xsd:element name="m2d3b84e453a41b493d2f8293d453bfc" ma:index="12" nillable="true" ma:taxonomy="true" ma:internalName="m2d3b84e453a41b493d2f8293d453bfc" ma:taxonomyFieldName="Countries_x0020_Impacted" ma:displayName="Countries Impacted" ma:default="3;#United States|e78c81d2-f77a-4423-bced-88c0de1115e6" ma:fieldId="{62d3b84e-453a-41b4-93d2-f8293d453bfc}" ma:sspId="78ca830c-a034-4168-b956-d7763e68b615" ma:termSetId="e1c3647c-981b-42b1-93b5-578d8c5389fd" ma:anchorId="00000000-0000-0000-0000-000000000000" ma:open="false" ma:isKeyword="false">
      <xsd:complexType>
        <xsd:sequence>
          <xsd:element ref="pc:Terms" minOccurs="0" maxOccurs="1"/>
        </xsd:sequence>
      </xsd:complexType>
    </xsd:element>
    <xsd:element name="o811e3c0c0214fc6bb33522f4837a579" ma:index="14" nillable="true" ma:taxonomy="true" ma:internalName="o811e3c0c0214fc6bb33522f4837a579" ma:taxonomyFieldName="Legal_x0020_Designation" ma:displayName="Legal Designation" ma:default="5;#Confidential - project team use only|54d3cecb-33d6-4e58-8a62-4705f8ce86d9" ma:fieldId="{8811e3c0-c021-4fc6-bb33-522f4837a579}" ma:sspId="78ca830c-a034-4168-b956-d7763e68b615" ma:termSetId="d7cab2b2-b4f8-46a9-89b2-4eecb42d47ca" ma:anchorId="00000000-0000-0000-0000-000000000000" ma:open="false" ma:isKeyword="false">
      <xsd:complexType>
        <xsd:sequence>
          <xsd:element ref="pc:Terms" minOccurs="0" maxOccurs="1"/>
        </xsd:sequence>
      </xsd:complexType>
    </xsd:element>
    <xsd:element name="Project" ma:index="16" nillable="true" ma:displayName="Project" ma:default="Horizon Zero" ma:internalName="Project">
      <xsd:simpleType>
        <xsd:restriction base="dms:Text">
          <xsd:maxLength value="255"/>
        </xsd:restriction>
      </xsd:simpleType>
    </xsd:element>
    <xsd:element name="n48685bf95bc4b8fa4aa6bfb34ecb222" ma:index="17" nillable="true" ma:taxonomy="true" ma:internalName="n48685bf95bc4b8fa4aa6bfb34ecb222" ma:taxonomyFieldName="Program" ma:displayName="Program" ma:default="6;#Climate Intelligence|a315e826-51a4-44c5-84ca-6e423461dc3a" ma:fieldId="{748685bf-95bc-4b8f-a4aa-6bfb34ecb222}" ma:sspId="78ca830c-a034-4168-b956-d7763e68b615" ma:termSetId="fb5b2e61-77ad-482a-9c70-531e7aa7f77d" ma:anchorId="00000000-0000-0000-0000-000000000000" ma:open="false" ma:isKeyword="false">
      <xsd:complexType>
        <xsd:sequence>
          <xsd:element ref="pc:Terms" minOccurs="0" maxOccurs="1"/>
        </xsd:sequence>
      </xsd:complexType>
    </xsd:element>
    <xsd:element name="eda3356070224fe59cf39745c882f8c6" ma:index="19" nillable="true" ma:taxonomy="true" ma:internalName="eda3356070224fe59cf39745c882f8c6" ma:taxonomyFieldName="Initiative" ma:displayName="Initiative" ma:default="4;#CIP - Supply Chain Carbon Accounting and Scope 3 Emissions|bceaded6-15b3-4c85-9101-7683e099aa16" ma:fieldId="{eda33560-7022-4fe5-9cf3-9745c882f8c6}" ma:sspId="78ca830c-a034-4168-b956-d7763e68b615" ma:termSetId="903b7f5a-2ae5-4e42-8208-77428af6ee1e" ma:anchorId="00000000-0000-0000-0000-000000000000" ma:open="false" ma:isKeyword="false">
      <xsd:complexType>
        <xsd:sequence>
          <xsd:element ref="pc:Terms" minOccurs="0" maxOccurs="1"/>
        </xsd:sequence>
      </xsd:complexType>
    </xsd:element>
    <xsd:element name="m26e38606aa543cb981614fc6d49280d" ma:index="21" nillable="true" ma:taxonomy="true" ma:internalName="m26e38606aa543cb981614fc6d49280d" ma:taxonomyFieldName="Technology" ma:displayName="Technology" ma:default="7;#Biofuels|6665c0dc-8d43-4d0b-91dc-b109a752c445;#8;#Climate Pathways|0d1251c6-a427-4b76-bb75-c42ea617d369;#9;#Green Steel|db46dc8b-e3a4-49bc-8dc1-5fd703d33bb2;#10;#Natural Gas Certification|56c68d24-af72-47d3-858d-6dec8d66df97;#11;#Supply Chain emissions|b68aa466-0ea5-4e8c-b459-aa1768129cbf;#12;#Sustainable Aviation Fuel|2e9fb162-7ac4-470f-b1b5-9cac139a9fee" ma:fieldId="{626e3860-6aa5-43cb-9816-14fc6d49280d}" ma:taxonomyMulti="true" ma:sspId="78ca830c-a034-4168-b956-d7763e68b615" ma:termSetId="fb0d05d2-464d-47d8-b8c5-88e37d853ee5" ma:anchorId="00000000-0000-0000-0000-000000000000" ma:open="fals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a1df9832-fa29-4d0b-8301-c5ccf72ca850">
      <Value>13</Value>
      <Value>19</Value>
      <Value>16</Value>
      <Value>1</Value>
      <Value>14</Value>
    </TaxCatchAll>
    <Project xmlns="a1df9832-fa29-4d0b-8301-c5ccf72ca850">COMET</Project>
    <e8144e7327f648c595f8fe404acef197 xmlns="a1df9832-fa29-4d0b-8301-c5ccf72ca850">
      <Terms xmlns="http://schemas.microsoft.com/office/infopath/2007/PartnerControls">
        <TermInfo xmlns="http://schemas.microsoft.com/office/infopath/2007/PartnerControls">
          <TermName xmlns="http://schemas.microsoft.com/office/infopath/2007/PartnerControls">Draft</TermName>
          <TermId xmlns="http://schemas.microsoft.com/office/infopath/2007/PartnerControls">1196e416-c1e2-46e4-892a-39f21fb650b4</TermId>
        </TermInfo>
      </Terms>
    </e8144e7327f648c595f8fe404acef197>
    <o811e3c0c0214fc6bb33522f4837a579 xmlns="a1df9832-fa29-4d0b-8301-c5ccf72ca850">
      <Terms xmlns="http://schemas.microsoft.com/office/infopath/2007/PartnerControls">
        <TermInfo xmlns="http://schemas.microsoft.com/office/infopath/2007/PartnerControls">
          <TermName xmlns="http://schemas.microsoft.com/office/infopath/2007/PartnerControls">Restricted - Client use only</TermName>
          <TermId xmlns="http://schemas.microsoft.com/office/infopath/2007/PartnerControls">fce95864-1405-4bbd-b15d-46b8cefefdd3</TermId>
        </TermInfo>
      </Terms>
    </o811e3c0c0214fc6bb33522f4837a579>
    <m2d3b84e453a41b493d2f8293d453bfc xmlns="a1df9832-fa29-4d0b-8301-c5ccf72ca850">
      <Terms xmlns="http://schemas.microsoft.com/office/infopath/2007/PartnerControls">
        <TermInfo xmlns="http://schemas.microsoft.com/office/infopath/2007/PartnerControls">
          <TermName xmlns="http://schemas.microsoft.com/office/infopath/2007/PartnerControls">Australia</TermName>
          <TermId xmlns="http://schemas.microsoft.com/office/infopath/2007/PartnerControls">8863d491-a3ea-43b3-905d-71b2cfd821d0</TermId>
        </TermInfo>
      </Terms>
    </m2d3b84e453a41b493d2f8293d453bfc>
    <m26e38606aa543cb981614fc6d49280d xmlns="a1df9832-fa29-4d0b-8301-c5ccf72ca850">
      <Terms xmlns="http://schemas.microsoft.com/office/infopath/2007/PartnerControls"/>
    </m26e38606aa543cb981614fc6d49280d>
    <n48685bf95bc4b8fa4aa6bfb34ecb222 xmlns="a1df9832-fa29-4d0b-8301-c5ccf72ca850">
      <Terms xmlns="http://schemas.microsoft.com/office/infopath/2007/PartnerControls">
        <TermInfo xmlns="http://schemas.microsoft.com/office/infopath/2007/PartnerControls">
          <TermName xmlns="http://schemas.microsoft.com/office/infopath/2007/PartnerControls">Industry</TermName>
          <TermId xmlns="http://schemas.microsoft.com/office/infopath/2007/PartnerControls">0e7cd465-9eb8-4bc2-b45d-f6117a0dfd67</TermId>
        </TermInfo>
      </Terms>
    </n48685bf95bc4b8fa4aa6bfb34ecb222>
    <eda3356070224fe59cf39745c882f8c6 xmlns="a1df9832-fa29-4d0b-8301-c5ccf72ca850">
      <Terms xmlns="http://schemas.microsoft.com/office/infopath/2007/PartnerControls">
        <TermInfo xmlns="http://schemas.microsoft.com/office/infopath/2007/PartnerControls">
          <TermName xmlns="http://schemas.microsoft.com/office/infopath/2007/PartnerControls">INY - Mining</TermName>
          <TermId xmlns="http://schemas.microsoft.com/office/infopath/2007/PartnerControls">ded485b6-6624-4ea1-99e6-474be110b734</TermId>
        </TermInfo>
      </Terms>
    </eda3356070224fe59cf39745c882f8c6>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haredContentType xmlns="Microsoft.SharePoint.Taxonomy.ContentTypeSync" SourceId="78ca830c-a034-4168-b956-d7763e68b615" ContentTypeId="0x010100510ED7DDF0B7174EA8E5395FB52A0653" PreviousValue="false"/>
</file>

<file path=customXml/itemProps1.xml><?xml version="1.0" encoding="utf-8"?>
<ds:datastoreItem xmlns:ds="http://schemas.openxmlformats.org/officeDocument/2006/customXml" ds:itemID="{B3EC0EA4-3DEB-444B-9F37-65E95C013274}"/>
</file>

<file path=customXml/itemProps2.xml><?xml version="1.0" encoding="utf-8"?>
<ds:datastoreItem xmlns:ds="http://schemas.openxmlformats.org/officeDocument/2006/customXml" ds:itemID="{849216D1-6741-49BC-A9C8-835C904C425C}"/>
</file>

<file path=customXml/itemProps3.xml><?xml version="1.0" encoding="utf-8"?>
<ds:datastoreItem xmlns:ds="http://schemas.openxmlformats.org/officeDocument/2006/customXml" ds:itemID="{A3EB306C-3C2C-4BD0-972D-B880EC54281D}"/>
</file>

<file path=customXml/itemProps4.xml><?xml version="1.0" encoding="utf-8"?>
<ds:datastoreItem xmlns:ds="http://schemas.openxmlformats.org/officeDocument/2006/customXml" ds:itemID="{65306809-E3E8-453C-AF21-EE8A6D07775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
  <cp:revision/>
  <dcterms:created xsi:type="dcterms:W3CDTF">2022-02-03T11:02:49Z</dcterms:created>
  <dcterms:modified xsi:type="dcterms:W3CDTF">2024-02-26T20:46:35Z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0x010100510ED7DDF0B7174EA8E5395FB52A065300902EC04C411FA54EA9B4578E3207F3B1</vt:lpwstr>
  </property>
  <property fmtid="{D5CDD505-2E9C-101B-9397-08002B2CF9AE}" pid="3" name="Technology">
    <vt:lpwstr/>
  </property>
  <property fmtid="{D5CDD505-2E9C-101B-9397-08002B2CF9AE}" pid="4" name="Countries Impacted">
    <vt:lpwstr>16;#Australia|8863d491-a3ea-43b3-905d-71b2cfd821d0</vt:lpwstr>
  </property>
  <property fmtid="{D5CDD505-2E9C-101B-9397-08002B2CF9AE}" pid="5" name="Legal Designation">
    <vt:lpwstr>19;#Restricted - Client use only|fce95864-1405-4bbd-b15d-46b8cefefdd3</vt:lpwstr>
  </property>
  <property fmtid="{D5CDD505-2E9C-101B-9397-08002B2CF9AE}" pid="6" name="Document Status">
    <vt:lpwstr>1;#Draft|1196e416-c1e2-46e4-892a-39f21fb650b4</vt:lpwstr>
  </property>
  <property fmtid="{D5CDD505-2E9C-101B-9397-08002B2CF9AE}" pid="7" name="Program">
    <vt:lpwstr>13;#Industry|0e7cd465-9eb8-4bc2-b45d-f6117a0dfd67</vt:lpwstr>
  </property>
  <property fmtid="{D5CDD505-2E9C-101B-9397-08002B2CF9AE}" pid="8" name="Initiative">
    <vt:lpwstr>14;#INY - Mining|ded485b6-6624-4ea1-99e6-474be110b734</vt:lpwstr>
  </property>
  <property fmtid="{D5CDD505-2E9C-101B-9397-08002B2CF9AE}" pid="9" name="MediaServiceImageTags">
    <vt:lpwstr/>
  </property>
  <property fmtid="{D5CDD505-2E9C-101B-9397-08002B2CF9AE}" pid="10" name="lcf76f155ced4ddcb4097134ff3c332f">
    <vt:lpwstr/>
  </property>
</Properties>
</file>