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ockmtnins-my.sharepoint.com/personal/dgordon_rmi_org/Documents/Rocky Mountain Institute/Gas v. Coal/Calculator/Calculator/Final Calculator/"/>
    </mc:Choice>
  </mc:AlternateContent>
  <xr:revisionPtr revIDLastSave="0" documentId="106_{04C96D42-6BED-4661-86FB-93EE9503DD3C}" xr6:coauthVersionLast="47" xr6:coauthVersionMax="47" xr10:uidLastSave="{00000000-0000-0000-0000-000000000000}"/>
  <bookViews>
    <workbookView xWindow="1580" yWindow="2000" windowWidth="26840" windowHeight="14440" xr2:uid="{AAC8FB4E-7BF8-7046-A388-83032BE436F0}"/>
  </bookViews>
  <sheets>
    <sheet name="Sheet1" sheetId="1" r:id="rId1"/>
  </sheets>
  <externalReferences>
    <externalReference r:id="rId2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4" i="1" l="1"/>
  <c r="Q45" i="1" s="1"/>
  <c r="Q46" i="1" s="1"/>
  <c r="AD34" i="1"/>
  <c r="AC29" i="1"/>
  <c r="I29" i="1"/>
  <c r="G29" i="1"/>
  <c r="AE26" i="1"/>
  <c r="AD26" i="1"/>
  <c r="AF26" i="1" s="1"/>
  <c r="AE25" i="1"/>
  <c r="AD25" i="1"/>
  <c r="G21" i="1"/>
  <c r="G23" i="1" s="1"/>
  <c r="AI20" i="1"/>
  <c r="AI19" i="1"/>
  <c r="J19" i="1"/>
  <c r="B13" i="1"/>
  <c r="G36" i="1" s="1"/>
  <c r="B12" i="1"/>
  <c r="X11" i="1"/>
  <c r="W11" i="1"/>
  <c r="X10" i="1"/>
  <c r="W10" i="1"/>
  <c r="X9" i="1"/>
  <c r="W9" i="1"/>
  <c r="X8" i="1"/>
  <c r="W8" i="1"/>
  <c r="B8" i="1"/>
  <c r="X7" i="1"/>
  <c r="W7" i="1"/>
  <c r="B7" i="1"/>
  <c r="G35" i="1" s="1"/>
  <c r="X6" i="1"/>
  <c r="W6" i="1"/>
  <c r="B6" i="1"/>
  <c r="G42" i="1" s="1"/>
  <c r="X5" i="1"/>
  <c r="W5" i="1"/>
  <c r="B5" i="1"/>
  <c r="G37" i="1" s="1"/>
  <c r="X4" i="1"/>
  <c r="W4" i="1"/>
  <c r="G4" i="1"/>
  <c r="X3" i="1"/>
  <c r="W3" i="1"/>
  <c r="G3" i="1"/>
  <c r="G41" i="1" l="1"/>
  <c r="AF25" i="1"/>
  <c r="G38" i="1"/>
  <c r="G40" i="1"/>
  <c r="G43" i="1" s="1"/>
  <c r="B18" i="1" s="1"/>
  <c r="B19" i="1" l="1"/>
  <c r="B17" i="1"/>
  <c r="B16" i="1" s="1"/>
</calcChain>
</file>

<file path=xl/sharedStrings.xml><?xml version="1.0" encoding="utf-8"?>
<sst xmlns="http://schemas.openxmlformats.org/spreadsheetml/2006/main" count="155" uniqueCount="145">
  <si>
    <t>Gas vs Coal Calculator</t>
  </si>
  <si>
    <t>HIDDEN back end Calculations and Inputs:</t>
  </si>
  <si>
    <t>References</t>
  </si>
  <si>
    <t>SITE SPECIFIC VARIABLES</t>
  </si>
  <si>
    <t>USER INPUT VALUES</t>
  </si>
  <si>
    <t>Units</t>
  </si>
  <si>
    <t>User input notes for designers</t>
  </si>
  <si>
    <t>Combustion Emission Factors</t>
  </si>
  <si>
    <t>kg CO2/mmbtu</t>
  </si>
  <si>
    <t>Combustion Emissions, by coal type</t>
  </si>
  <si>
    <t>Heat content (HHV)</t>
  </si>
  <si>
    <t>g CH4/mmbtu</t>
  </si>
  <si>
    <t>g N2O/mmbtu</t>
  </si>
  <si>
    <t>kg CO2e/mmbtu (GWP100)</t>
  </si>
  <si>
    <t>kg CO2e/mmbtu (GWP20)</t>
  </si>
  <si>
    <t>Coal lifecycle emissions - median</t>
  </si>
  <si>
    <t>ERL study</t>
  </si>
  <si>
    <t>Anthracite coal</t>
  </si>
  <si>
    <t>Methane Leakage Rate from Gas System</t>
  </si>
  <si>
    <t>kg leaked/kg produced (if unknown, enter last to determine parity)</t>
  </si>
  <si>
    <t>Top Line Main user input to highlight (any value allowed)</t>
  </si>
  <si>
    <t>Gas lifecycle emissions - median</t>
  </si>
  <si>
    <t>Bituminous Coal</t>
  </si>
  <si>
    <t>Life-cycle CO2 from gas</t>
  </si>
  <si>
    <t>kg CO2/mmBtu</t>
  </si>
  <si>
    <t>smart default=67; with drop down: "low"=61; "mid"=67; "high'=92 (Note: could be tied to OCI+ drop down in the future)</t>
  </si>
  <si>
    <t>Sub-bituminous coal</t>
  </si>
  <si>
    <t>Life-cycle CO2 from coal</t>
  </si>
  <si>
    <t>smart default=90; with drop down: "low"=86; "mid"=90; "high"=107</t>
  </si>
  <si>
    <t>100 year GWP - methane</t>
  </si>
  <si>
    <t>Source: IPCC AR6, Table 7.15, https://plaintextipcc.com/IPCC_AR6_WGI_Chapter_07.html</t>
  </si>
  <si>
    <t>Lignite coal</t>
  </si>
  <si>
    <t>Methane content in gas</t>
  </si>
  <si>
    <t>kg methane/kg gas</t>
  </si>
  <si>
    <t>smart default-89.3%; allow user input bounded from 60-100%</t>
  </si>
  <si>
    <t>20 year GWP - methane</t>
  </si>
  <si>
    <t>Mixed (commercial sector)</t>
  </si>
  <si>
    <t>Multiple of IPCC methane emission factor for coal mine (CMM)</t>
  </si>
  <si>
    <t>cubic meter methane/tonne coal</t>
  </si>
  <si>
    <t>drop down: No CMM=0; low CMM=0.04; IPCC CMM=1; high CMM=2.275</t>
  </si>
  <si>
    <t>100/20 year GWP - N2O</t>
  </si>
  <si>
    <t>Mixed (electric power sector)</t>
  </si>
  <si>
    <t>Methane Global Warming Potential (GWP)</t>
  </si>
  <si>
    <t>unitless ratio methane to CO2</t>
  </si>
  <si>
    <t>smart default to GWP20=82.5; Allow toggle to "GWP100"= 29.8 (Note: make "20" and "100" subscripts)</t>
  </si>
  <si>
    <t>Mixed (industrial coking)</t>
  </si>
  <si>
    <t>SO2 Global Warming Potential (GWP)</t>
  </si>
  <si>
    <t>unitless ration SO2 to CO2</t>
  </si>
  <si>
    <t>smart default to GWP20 (without aerosol cloud interactions, ACI)= -156; Allow toggle to "GWP100 without ACI "= -40; "GWP20 with ACI"= -367; "GWP100 with ACI"= -94. (Note: Values are negative; make "20" and "100" subscripts)</t>
  </si>
  <si>
    <t>CONSTANTS</t>
  </si>
  <si>
    <t>Mixed (industrial sector)</t>
  </si>
  <si>
    <t>Scrubber efficiency</t>
  </si>
  <si>
    <t>kg SO2 removed/kg SO2 generated</t>
  </si>
  <si>
    <t>drop down: "low" =80%; "mid"=90%; "high"=98%</t>
  </si>
  <si>
    <t>short ton per metric ton</t>
  </si>
  <si>
    <t>Natural Gas</t>
  </si>
  <si>
    <t>% Sulfur in coal</t>
  </si>
  <si>
    <t>kg S/kg coal</t>
  </si>
  <si>
    <t>smart default to "mid" value: drop down: "low" =0.5%; "mid"=1.5%; "high"=3%</t>
  </si>
  <si>
    <t>natural gas density (kg/m3)</t>
  </si>
  <si>
    <t>Fossil Methane GWP100</t>
  </si>
  <si>
    <t>% Sulfur in gas</t>
  </si>
  <si>
    <t>kg S/gk gas</t>
  </si>
  <si>
    <t>smart default to "low" value: drop down: "no"=0; "low" =0.5%; high"=10%</t>
  </si>
  <si>
    <t>methane density (kg/m3)</t>
  </si>
  <si>
    <t>Fossil Methane GWP20</t>
  </si>
  <si>
    <t>Acid gas treatment efficiency</t>
  </si>
  <si>
    <t>smart default=99%; allow user input bounded from 90-100%</t>
  </si>
  <si>
    <t>conversion: scf/m3</t>
  </si>
  <si>
    <t>N2O GWP100 and GWP20</t>
  </si>
  <si>
    <t>conversion: kg/tonne</t>
  </si>
  <si>
    <t>SCENARIO RESULT: Is gas higher emitting than coal?</t>
  </si>
  <si>
    <t xml:space="preserve">Note: "Yes/No" does not pertain to results at parity </t>
  </si>
  <si>
    <t>Replace "no" or "yes" with "PARITY" when the 0% results within rounding error (as is the sample case here).</t>
  </si>
  <si>
    <t>gas heating value (mmBtu/scf)</t>
  </si>
  <si>
    <t>SI (page 1), Heath et al. 10.1073/pnas.1309334111</t>
  </si>
  <si>
    <t>% Gas GHGs compared to Coal GHGs</t>
  </si>
  <si>
    <t>Molecular weight S</t>
  </si>
  <si>
    <t>https://www.ipcc.ch/site/assets/uploads/2018/02/ipcc_wg3_ar5_chapter7.pdf</t>
  </si>
  <si>
    <t>Coal net life-cycle GHGs</t>
  </si>
  <si>
    <t>kg CO2e/mmBTU</t>
  </si>
  <si>
    <t>Molecular weight SO2</t>
  </si>
  <si>
    <t>US CMM</t>
  </si>
  <si>
    <t>US CMM: https://www.energy.gov/sites/prod/files/2019/09/f66/2019%20NETL%20LCA-GHG%20Report.pdf</t>
  </si>
  <si>
    <t>EPA Emission Factors for GHG Inventories</t>
  </si>
  <si>
    <t>Source: https://www.epa.gov/system/files/documents/2022-04/ghg_emission_factors_hub.pdf</t>
  </si>
  <si>
    <t>Lifecycle Emissions</t>
  </si>
  <si>
    <t>gCO2e/kWh</t>
  </si>
  <si>
    <t>kg CO2e/MMBtu</t>
  </si>
  <si>
    <t>Gas net life-cycle GHGs</t>
  </si>
  <si>
    <t>China coal mine methane (m3 methane/tonne coal)</t>
  </si>
  <si>
    <t>Zhu, T., Bian, W.,Zhang, S., Di, P.,Nie, B. (2017) An Improved Approach to Estimate Methane Emissions from Coal Mining in China. Environ Sci Technol 2017, 51, 12072-12080.</t>
  </si>
  <si>
    <t>World average Coal (without methane)</t>
  </si>
  <si>
    <t>IPCC methane emission factor from coal mines (m3 methane/tonne coal)</t>
  </si>
  <si>
    <t>IPCC Emission Factor Source: https://www.sciencedirect.com/science/article/pii/S0959652620305369?via%3Dihub#appsec1</t>
  </si>
  <si>
    <t>World Average Gas (without methane)</t>
  </si>
  <si>
    <t>HHV US Coal Energy Density, all types and uses (mmBtu/tonne)</t>
  </si>
  <si>
    <t>See EPA table to right; in bounds for meta analysis in Heath Study</t>
  </si>
  <si>
    <t>LHV conversion</t>
  </si>
  <si>
    <t>https://onlinelibrary.wiley.com/doi/pdf/10.1111/j.1530-9290.2012.00465.x</t>
  </si>
  <si>
    <t>IPCC AR6 Energy Systems</t>
  </si>
  <si>
    <t>https://www.ipcc.ch/report/ar6/wg3/downloads/report/IPCC_AR6_WGIII_Chapter06.pdf</t>
  </si>
  <si>
    <t>LHV coal energy gensity (MMBtu/tonne)</t>
  </si>
  <si>
    <t>Gt CO2/yr (2019)</t>
  </si>
  <si>
    <t>2019 EJ Primary Energy*</t>
  </si>
  <si>
    <t>2019 kg CO2/MMBtu</t>
  </si>
  <si>
    <t>Global Energy</t>
  </si>
  <si>
    <t>Global Coal</t>
  </si>
  <si>
    <t>SCENARIOS</t>
  </si>
  <si>
    <t>Global Gas</t>
  </si>
  <si>
    <t>Scrubber efficiency (SO2 removal)</t>
  </si>
  <si>
    <t>https://www.epa.gov/sites/default/files/2021-05/documents/wet_and_dry_scrubbers_section_5_chapter_1_control_cost_manual_7th_edition.pdf</t>
  </si>
  <si>
    <t>* Includes industrial use and losses</t>
  </si>
  <si>
    <t>Methane GWPs</t>
  </si>
  <si>
    <t>CMM methane leakage (times IPCC)</t>
  </si>
  <si>
    <t>Note: Adjusted for EIA noted heat rates of coal vs. gas</t>
  </si>
  <si>
    <t>MMBtu per EJ</t>
  </si>
  <si>
    <t>SO2 GWP</t>
  </si>
  <si>
    <t>conversion of electricity reported in kilowatt-hours per megajoules (kWh/MJ).</t>
  </si>
  <si>
    <t>Sulfur content coal</t>
  </si>
  <si>
    <t>https://www.osti.gov/servlets/purl/5002230#:~:text=The%20total%20sulfur%20in%20coal%20ranges%20from%200.2%20to%2010%20weight%20percent.</t>
  </si>
  <si>
    <t>MJ/MMBTU</t>
  </si>
  <si>
    <t>Calculations</t>
  </si>
  <si>
    <t>GAS</t>
  </si>
  <si>
    <t>CO2e emissions from gas at x% methane leakage</t>
  </si>
  <si>
    <t>Carbon Mapper measurement - Bailey Mine</t>
  </si>
  <si>
    <t>CO2e from gas SO2 to aerosol masking warming</t>
  </si>
  <si>
    <t>https://www.gem.wiki/Bailey_Mine</t>
  </si>
  <si>
    <t>CO2e emissions from gaslifecycle (no methane)</t>
  </si>
  <si>
    <t>Total combustion+fugitives from gas with % leakage</t>
  </si>
  <si>
    <t>10.7 Million metric tons 2021</t>
  </si>
  <si>
    <t>COAL</t>
  </si>
  <si>
    <t>Mtonne coal/year</t>
  </si>
  <si>
    <t>CO2e from Coal mine methane multiple over IPCC emission factor</t>
  </si>
  <si>
    <t>CO2e from Coal SO2 to aerosol masking warming</t>
  </si>
  <si>
    <t>Emissions detection range May 2021, 2400-5400 kg/hr</t>
  </si>
  <si>
    <t>CO2e emissions from coal lifecycle (no methane)</t>
  </si>
  <si>
    <t>kg CH4/hr</t>
  </si>
  <si>
    <t>Total combustion+fugitives from coal with % leakage</t>
  </si>
  <si>
    <t>kg CH4/m3</t>
  </si>
  <si>
    <t>m3/hr</t>
  </si>
  <si>
    <t>m3/year</t>
  </si>
  <si>
    <t>m3 CH4/tonne coal from Bailey Mine 2021</t>
  </si>
  <si>
    <t>if persistent</t>
  </si>
  <si>
    <t>https://www.iea.org/reports/the-role-of-gas-in-todays-energy-transitions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</si>
</sst>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0.000"/>
    <numFmt numFmtId="167" formatCode="0.0000"/>
  </numFmts>
  <fonts count="4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0"/>
      <color theme="0" tint="-4.9989318521683403E-2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9"/>
      <color theme="0" tint="-4.9989318521683403E-2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444444"/>
      <name val="Calibri"/>
      <family val="2"/>
      <charset val="1"/>
    </font>
    <font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0"/>
      <color theme="0" tint="-4.9989318521683403E-2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444444"/>
      <name val="Calibri"/>
      <family val="2"/>
      <charset val="1"/>
    </font>
    <font>
      <u/>
      <sz val="12"/>
      <color theme="0" tint="-4.9989318521683403E-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i/>
      <sz val="10"/>
      <color theme="0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0" tint="-0.249977111117893"/>
      <name val="Arial"/>
      <family val="2"/>
    </font>
    <font>
      <i/>
      <sz val="11"/>
      <color theme="0" tint="-0.249977111117893"/>
      <name val="Calibri"/>
      <family val="2"/>
      <scheme val="minor"/>
    </font>
    <font>
      <i/>
      <sz val="12"/>
      <color theme="0" tint="-0.249977111117893"/>
      <name val="Calibri"/>
      <family val="2"/>
      <scheme val="minor"/>
    </font>
    <font>
      <b/>
      <i/>
      <sz val="12"/>
      <color theme="0" tint="-0.249977111117893"/>
      <name val="Calibri"/>
      <family val="2"/>
      <scheme val="minor"/>
    </font>
    <font>
      <b/>
      <i/>
      <sz val="11"/>
      <color theme="0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65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 wrapText="1"/>
    </xf>
    <xf numFmtId="0" fontId="4" fillId="2" borderId="0" xfId="0" applyFont="1" applyFill="1"/>
    <xf numFmtId="0" fontId="5" fillId="3" borderId="0" xfId="0" applyFont="1" applyFill="1"/>
    <xf numFmtId="0" fontId="6" fillId="3" borderId="0" xfId="0" applyFont="1" applyFill="1"/>
    <xf numFmtId="0" fontId="0" fillId="4" borderId="0" xfId="0" applyFill="1"/>
    <xf numFmtId="0" fontId="7" fillId="4" borderId="0" xfId="0" applyFont="1" applyFill="1"/>
    <xf numFmtId="0" fontId="7" fillId="0" borderId="0" xfId="0" applyFont="1"/>
    <xf numFmtId="0" fontId="8" fillId="4" borderId="0" xfId="0" applyFont="1" applyFill="1" applyAlignment="1">
      <alignment horizontal="right"/>
    </xf>
    <xf numFmtId="0" fontId="8" fillId="4" borderId="0" xfId="0" applyFont="1" applyFill="1" applyAlignment="1">
      <alignment horizontal="center"/>
    </xf>
    <xf numFmtId="0" fontId="9" fillId="0" borderId="0" xfId="0" applyFont="1"/>
    <xf numFmtId="0" fontId="10" fillId="3" borderId="0" xfId="0" applyFont="1" applyFill="1" applyAlignment="1">
      <alignment wrapText="1"/>
    </xf>
    <xf numFmtId="0" fontId="11" fillId="3" borderId="0" xfId="0" applyFont="1" applyFill="1" applyAlignment="1">
      <alignment horizontal="center" vertical="top" wrapText="1"/>
    </xf>
    <xf numFmtId="0" fontId="12" fillId="4" borderId="0" xfId="0" applyFont="1" applyFill="1" applyAlignment="1">
      <alignment horizontal="center" vertical="top" wrapText="1"/>
    </xf>
    <xf numFmtId="0" fontId="4" fillId="4" borderId="0" xfId="0" applyFont="1" applyFill="1" applyAlignment="1">
      <alignment horizontal="center" vertical="top" wrapText="1"/>
    </xf>
    <xf numFmtId="0" fontId="13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1" fontId="6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164" fontId="6" fillId="3" borderId="0" xfId="0" applyNumberFormat="1" applyFont="1" applyFill="1" applyAlignment="1">
      <alignment horizontal="center"/>
    </xf>
    <xf numFmtId="164" fontId="14" fillId="4" borderId="0" xfId="0" applyNumberFormat="1" applyFont="1" applyFill="1"/>
    <xf numFmtId="164" fontId="7" fillId="0" borderId="0" xfId="0" applyNumberFormat="1" applyFont="1"/>
    <xf numFmtId="165" fontId="16" fillId="4" borderId="0" xfId="0" applyNumberFormat="1" applyFont="1" applyFill="1" applyAlignment="1">
      <alignment horizontal="left"/>
    </xf>
    <xf numFmtId="0" fontId="17" fillId="0" borderId="0" xfId="0" applyFont="1"/>
    <xf numFmtId="164" fontId="0" fillId="5" borderId="0" xfId="0" applyNumberFormat="1" applyFill="1" applyAlignment="1">
      <alignment horizontal="center"/>
    </xf>
    <xf numFmtId="1" fontId="16" fillId="4" borderId="0" xfId="0" applyNumberFormat="1" applyFont="1" applyFill="1" applyAlignment="1">
      <alignment horizontal="left"/>
    </xf>
    <xf numFmtId="0" fontId="18" fillId="0" borderId="0" xfId="0" applyFont="1"/>
    <xf numFmtId="165" fontId="0" fillId="5" borderId="0" xfId="0" applyNumberFormat="1" applyFill="1" applyAlignment="1">
      <alignment horizontal="center"/>
    </xf>
    <xf numFmtId="0" fontId="16" fillId="4" borderId="0" xfId="0" applyFont="1" applyFill="1" applyAlignment="1">
      <alignment horizontal="left"/>
    </xf>
    <xf numFmtId="0" fontId="0" fillId="5" borderId="0" xfId="0" applyFill="1" applyAlignment="1">
      <alignment horizontal="center"/>
    </xf>
    <xf numFmtId="1" fontId="0" fillId="5" borderId="0" xfId="1" applyNumberFormat="1" applyFont="1" applyFill="1" applyAlignment="1">
      <alignment horizontal="center"/>
    </xf>
    <xf numFmtId="1" fontId="16" fillId="4" borderId="0" xfId="1" applyNumberFormat="1" applyFont="1" applyFill="1" applyAlignment="1">
      <alignment horizontal="left"/>
    </xf>
    <xf numFmtId="0" fontId="10" fillId="3" borderId="0" xfId="0" applyFont="1" applyFill="1"/>
    <xf numFmtId="9" fontId="0" fillId="5" borderId="0" xfId="0" applyNumberFormat="1" applyFill="1" applyAlignment="1">
      <alignment horizontal="center"/>
    </xf>
    <xf numFmtId="9" fontId="16" fillId="4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left"/>
    </xf>
    <xf numFmtId="2" fontId="6" fillId="3" borderId="0" xfId="0" applyNumberFormat="1" applyFont="1" applyFill="1" applyAlignment="1">
      <alignment horizontal="center"/>
    </xf>
    <xf numFmtId="0" fontId="19" fillId="3" borderId="0" xfId="0" applyFont="1" applyFill="1" applyAlignment="1">
      <alignment horizontal="left"/>
    </xf>
    <xf numFmtId="165" fontId="0" fillId="5" borderId="0" xfId="1" applyNumberFormat="1" applyFont="1" applyFill="1" applyAlignment="1">
      <alignment horizontal="center"/>
    </xf>
    <xf numFmtId="165" fontId="16" fillId="4" borderId="0" xfId="1" applyNumberFormat="1" applyFont="1" applyFill="1" applyAlignment="1">
      <alignment horizontal="left"/>
    </xf>
    <xf numFmtId="0" fontId="5" fillId="3" borderId="0" xfId="0" applyFont="1" applyFill="1" applyAlignment="1">
      <alignment vertical="top" wrapText="1"/>
    </xf>
    <xf numFmtId="9" fontId="0" fillId="5" borderId="0" xfId="1" applyFont="1" applyFill="1" applyAlignment="1">
      <alignment horizontal="center"/>
    </xf>
    <xf numFmtId="9" fontId="16" fillId="4" borderId="0" xfId="1" applyFont="1" applyFill="1" applyAlignment="1">
      <alignment horizontal="left"/>
    </xf>
    <xf numFmtId="0" fontId="2" fillId="4" borderId="0" xfId="0" applyFont="1" applyFill="1" applyAlignment="1">
      <alignment horizontal="right"/>
    </xf>
    <xf numFmtId="0" fontId="2" fillId="6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166" fontId="6" fillId="3" borderId="0" xfId="0" applyNumberFormat="1" applyFont="1" applyFill="1" applyAlignment="1">
      <alignment horizontal="center" vertical="top"/>
    </xf>
    <xf numFmtId="167" fontId="19" fillId="3" borderId="0" xfId="0" applyNumberFormat="1" applyFont="1" applyFill="1" applyAlignment="1">
      <alignment horizontal="left"/>
    </xf>
    <xf numFmtId="9" fontId="21" fillId="7" borderId="0" xfId="0" quotePrefix="1" applyNumberFormat="1" applyFont="1" applyFill="1" applyAlignment="1">
      <alignment horizontal="center"/>
    </xf>
    <xf numFmtId="9" fontId="21" fillId="4" borderId="0" xfId="0" quotePrefix="1" applyNumberFormat="1" applyFont="1" applyFill="1" applyAlignment="1">
      <alignment horizontal="center"/>
    </xf>
    <xf numFmtId="0" fontId="3" fillId="0" borderId="0" xfId="2"/>
    <xf numFmtId="0" fontId="20" fillId="4" borderId="0" xfId="0" applyFont="1" applyFill="1" applyAlignment="1">
      <alignment horizontal="right"/>
    </xf>
    <xf numFmtId="1" fontId="22" fillId="4" borderId="0" xfId="0" applyNumberFormat="1" applyFont="1" applyFill="1" applyAlignment="1">
      <alignment horizontal="center"/>
    </xf>
    <xf numFmtId="1" fontId="23" fillId="4" borderId="0" xfId="0" applyNumberFormat="1" applyFont="1" applyFill="1" applyAlignment="1">
      <alignment horizontal="left"/>
    </xf>
    <xf numFmtId="0" fontId="19" fillId="3" borderId="0" xfId="0" applyFont="1" applyFill="1" applyAlignment="1">
      <alignment horizontal="center"/>
    </xf>
    <xf numFmtId="2" fontId="6" fillId="3" borderId="0" xfId="0" applyNumberFormat="1" applyFont="1" applyFill="1" applyAlignment="1">
      <alignment horizontal="center" vertical="top"/>
    </xf>
    <xf numFmtId="2" fontId="19" fillId="3" borderId="0" xfId="0" applyNumberFormat="1" applyFont="1" applyFill="1" applyAlignment="1">
      <alignment horizontal="center"/>
    </xf>
    <xf numFmtId="1" fontId="0" fillId="0" borderId="0" xfId="0" applyNumberFormat="1"/>
    <xf numFmtId="0" fontId="5" fillId="3" borderId="0" xfId="0" applyFont="1" applyFill="1" applyAlignment="1">
      <alignment wrapText="1"/>
    </xf>
    <xf numFmtId="0" fontId="5" fillId="3" borderId="0" xfId="0" applyFont="1" applyFill="1" applyAlignment="1">
      <alignment horizontal="center" vertical="center"/>
    </xf>
    <xf numFmtId="0" fontId="24" fillId="3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25" fillId="4" borderId="0" xfId="0" applyFont="1" applyFill="1" applyAlignment="1">
      <alignment horizontal="right"/>
    </xf>
    <xf numFmtId="0" fontId="26" fillId="3" borderId="0" xfId="0" applyFont="1" applyFill="1" applyAlignment="1">
      <alignment horizontal="left"/>
    </xf>
    <xf numFmtId="0" fontId="0" fillId="0" borderId="0" xfId="0" applyAlignment="1">
      <alignment vertical="top"/>
    </xf>
    <xf numFmtId="0" fontId="4" fillId="0" borderId="0" xfId="0" applyFont="1" applyAlignment="1">
      <alignment horizontal="left"/>
    </xf>
    <xf numFmtId="166" fontId="6" fillId="3" borderId="0" xfId="0" applyNumberFormat="1" applyFont="1" applyFill="1" applyAlignment="1">
      <alignment horizontal="center"/>
    </xf>
    <xf numFmtId="0" fontId="4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0" fillId="0" borderId="0" xfId="0" applyAlignment="1">
      <alignment wrapText="1"/>
    </xf>
    <xf numFmtId="164" fontId="0" fillId="0" borderId="0" xfId="0" applyNumberFormat="1"/>
    <xf numFmtId="9" fontId="6" fillId="3" borderId="0" xfId="0" applyNumberFormat="1" applyFont="1" applyFill="1" applyAlignment="1">
      <alignment horizontal="center"/>
    </xf>
    <xf numFmtId="9" fontId="6" fillId="3" borderId="0" xfId="1" applyFont="1" applyFill="1" applyAlignment="1">
      <alignment horizontal="center"/>
    </xf>
    <xf numFmtId="9" fontId="6" fillId="3" borderId="0" xfId="0" applyNumberFormat="1" applyFont="1" applyFill="1" applyAlignment="1">
      <alignment horizontal="left"/>
    </xf>
    <xf numFmtId="0" fontId="28" fillId="0" borderId="0" xfId="2" applyFont="1" applyFill="1" applyAlignment="1">
      <alignment horizontal="left"/>
    </xf>
    <xf numFmtId="164" fontId="6" fillId="3" borderId="0" xfId="1" applyNumberFormat="1" applyFont="1" applyFill="1" applyAlignment="1">
      <alignment horizontal="center"/>
    </xf>
    <xf numFmtId="2" fontId="6" fillId="3" borderId="0" xfId="1" applyNumberFormat="1" applyFont="1" applyFill="1" applyAlignment="1">
      <alignment horizontal="center"/>
    </xf>
    <xf numFmtId="1" fontId="6" fillId="3" borderId="0" xfId="1" applyNumberFormat="1" applyFont="1" applyFill="1" applyAlignment="1">
      <alignment horizontal="center"/>
    </xf>
    <xf numFmtId="166" fontId="6" fillId="3" borderId="0" xfId="1" applyNumberFormat="1" applyFont="1" applyFill="1" applyAlignment="1">
      <alignment horizontal="center"/>
    </xf>
    <xf numFmtId="0" fontId="29" fillId="0" borderId="0" xfId="0" applyFont="1"/>
    <xf numFmtId="0" fontId="6" fillId="3" borderId="0" xfId="0" applyFont="1" applyFill="1" applyAlignment="1">
      <alignment horizontal="left"/>
    </xf>
    <xf numFmtId="0" fontId="30" fillId="0" borderId="0" xfId="0" applyFont="1"/>
    <xf numFmtId="165" fontId="6" fillId="3" borderId="0" xfId="1" applyNumberFormat="1" applyFont="1" applyFill="1" applyAlignment="1">
      <alignment horizontal="center"/>
    </xf>
    <xf numFmtId="9" fontId="6" fillId="3" borderId="0" xfId="1" applyFont="1" applyFill="1" applyAlignment="1">
      <alignment horizontal="left"/>
    </xf>
    <xf numFmtId="0" fontId="10" fillId="0" borderId="0" xfId="0" applyFont="1" applyAlignment="1">
      <alignment horizontal="left"/>
    </xf>
    <xf numFmtId="9" fontId="6" fillId="0" borderId="0" xfId="0" applyNumberFormat="1" applyFont="1" applyAlignment="1">
      <alignment horizontal="center"/>
    </xf>
    <xf numFmtId="9" fontId="6" fillId="0" borderId="0" xfId="1" applyFont="1" applyFill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5" fillId="3" borderId="0" xfId="0" applyFont="1" applyFill="1" applyAlignment="1">
      <alignment horizontal="right"/>
    </xf>
    <xf numFmtId="0" fontId="31" fillId="0" borderId="0" xfId="2" applyFont="1"/>
    <xf numFmtId="0" fontId="10" fillId="3" borderId="0" xfId="0" applyFont="1" applyFill="1" applyAlignment="1">
      <alignment horizontal="right"/>
    </xf>
    <xf numFmtId="1" fontId="19" fillId="3" borderId="0" xfId="0" applyNumberFormat="1" applyFont="1" applyFill="1" applyAlignment="1">
      <alignment horizontal="center"/>
    </xf>
    <xf numFmtId="0" fontId="6" fillId="0" borderId="0" xfId="0" applyFont="1"/>
    <xf numFmtId="0" fontId="2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" fontId="6" fillId="0" borderId="0" xfId="0" applyNumberFormat="1" applyFont="1" applyAlignment="1">
      <alignment horizontal="center"/>
    </xf>
    <xf numFmtId="1" fontId="19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2" fillId="0" borderId="0" xfId="0" applyFont="1" applyAlignment="1">
      <alignment horizontal="center" vertical="top"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4" fillId="0" borderId="0" xfId="0" applyNumberFormat="1" applyFont="1" applyAlignment="1">
      <alignment horizontal="center"/>
    </xf>
    <xf numFmtId="0" fontId="5" fillId="0" borderId="0" xfId="0" applyFont="1"/>
    <xf numFmtId="1" fontId="33" fillId="0" borderId="0" xfId="0" applyNumberFormat="1" applyFont="1" applyAlignment="1">
      <alignment horizontal="center"/>
    </xf>
    <xf numFmtId="164" fontId="22" fillId="0" borderId="0" xfId="0" applyNumberFormat="1" applyFont="1" applyAlignment="1">
      <alignment horizontal="center"/>
    </xf>
    <xf numFmtId="9" fontId="33" fillId="0" borderId="0" xfId="0" applyNumberFormat="1" applyFont="1"/>
    <xf numFmtId="0" fontId="3" fillId="0" borderId="0" xfId="2" applyFill="1"/>
    <xf numFmtId="165" fontId="4" fillId="0" borderId="0" xfId="1" applyNumberFormat="1" applyFont="1" applyFill="1" applyAlignment="1">
      <alignment horizontal="center"/>
    </xf>
    <xf numFmtId="9" fontId="4" fillId="0" borderId="0" xfId="1" applyFont="1" applyFill="1" applyAlignment="1">
      <alignment horizontal="center"/>
    </xf>
    <xf numFmtId="0" fontId="5" fillId="0" borderId="0" xfId="0" applyFont="1" applyAlignment="1">
      <alignment wrapText="1"/>
    </xf>
    <xf numFmtId="0" fontId="11" fillId="0" borderId="0" xfId="0" applyFont="1" applyAlignment="1">
      <alignment horizontal="center" vertical="top" wrapText="1"/>
    </xf>
    <xf numFmtId="1" fontId="4" fillId="0" borderId="0" xfId="1" applyNumberFormat="1" applyFont="1" applyFill="1" applyAlignment="1">
      <alignment horizontal="center"/>
    </xf>
    <xf numFmtId="165" fontId="6" fillId="0" borderId="0" xfId="0" applyNumberFormat="1" applyFont="1"/>
    <xf numFmtId="165" fontId="6" fillId="0" borderId="0" xfId="0" applyNumberFormat="1" applyFont="1" applyAlignment="1">
      <alignment horizontal="center"/>
    </xf>
    <xf numFmtId="9" fontId="6" fillId="0" borderId="0" xfId="1" applyFont="1" applyFill="1"/>
    <xf numFmtId="0" fontId="5" fillId="0" borderId="0" xfId="0" applyFont="1" applyAlignment="1">
      <alignment vertical="top" wrapText="1"/>
    </xf>
    <xf numFmtId="166" fontId="6" fillId="0" borderId="0" xfId="0" applyNumberFormat="1" applyFont="1" applyAlignment="1">
      <alignment vertical="top"/>
    </xf>
    <xf numFmtId="1" fontId="6" fillId="0" borderId="0" xfId="0" applyNumberFormat="1" applyFont="1" applyAlignment="1">
      <alignment vertical="top"/>
    </xf>
    <xf numFmtId="0" fontId="34" fillId="0" borderId="0" xfId="0" applyFont="1"/>
    <xf numFmtId="166" fontId="6" fillId="0" borderId="0" xfId="0" applyNumberFormat="1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24" fillId="0" borderId="0" xfId="2" applyFont="1" applyFill="1" applyAlignment="1">
      <alignment vertical="center"/>
    </xf>
    <xf numFmtId="9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top"/>
    </xf>
    <xf numFmtId="164" fontId="6" fillId="0" borderId="0" xfId="0" applyNumberFormat="1" applyFont="1"/>
    <xf numFmtId="0" fontId="36" fillId="0" borderId="0" xfId="0" applyFont="1"/>
    <xf numFmtId="0" fontId="24" fillId="0" borderId="0" xfId="0" applyFont="1" applyAlignment="1">
      <alignment horizontal="center" wrapText="1"/>
    </xf>
    <xf numFmtId="0" fontId="24" fillId="0" borderId="0" xfId="2" applyFont="1" applyFill="1"/>
    <xf numFmtId="1" fontId="6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10" fillId="0" borderId="0" xfId="0" applyFont="1"/>
    <xf numFmtId="0" fontId="37" fillId="0" borderId="0" xfId="0" applyFont="1" applyAlignment="1">
      <alignment wrapText="1"/>
    </xf>
    <xf numFmtId="1" fontId="38" fillId="0" borderId="0" xfId="0" applyNumberFormat="1" applyFont="1" applyAlignment="1">
      <alignment horizontal="right" vertical="center"/>
    </xf>
    <xf numFmtId="0" fontId="10" fillId="0" borderId="0" xfId="0" applyFont="1" applyAlignment="1">
      <alignment wrapText="1"/>
    </xf>
    <xf numFmtId="1" fontId="39" fillId="0" borderId="0" xfId="0" applyNumberFormat="1" applyFont="1"/>
    <xf numFmtId="0" fontId="40" fillId="0" borderId="0" xfId="0" applyFont="1" applyAlignment="1">
      <alignment wrapText="1"/>
    </xf>
    <xf numFmtId="1" fontId="39" fillId="0" borderId="0" xfId="0" applyNumberFormat="1" applyFont="1" applyAlignment="1">
      <alignment horizontal="right" vertical="center"/>
    </xf>
    <xf numFmtId="1" fontId="19" fillId="0" borderId="0" xfId="0" applyNumberFormat="1" applyFont="1" applyAlignment="1">
      <alignment vertical="center"/>
    </xf>
    <xf numFmtId="1" fontId="38" fillId="0" borderId="0" xfId="0" applyNumberFormat="1" applyFont="1" applyAlignment="1">
      <alignment vertical="center"/>
    </xf>
    <xf numFmtId="1" fontId="27" fillId="4" borderId="0" xfId="0" applyNumberFormat="1" applyFont="1" applyFill="1" applyAlignment="1">
      <alignment horizontal="center"/>
    </xf>
    <xf numFmtId="0" fontId="0" fillId="4" borderId="0" xfId="0" applyFill="1" applyAlignment="1">
      <alignment vertical="top"/>
    </xf>
    <xf numFmtId="165" fontId="0" fillId="4" borderId="0" xfId="1" applyNumberFormat="1" applyFont="1" applyFill="1"/>
    <xf numFmtId="2" fontId="0" fillId="4" borderId="0" xfId="0" applyNumberFormat="1" applyFill="1"/>
    <xf numFmtId="0" fontId="15" fillId="4" borderId="0" xfId="0" applyFont="1" applyFill="1" applyAlignment="1">
      <alignment horizontal="right"/>
    </xf>
    <xf numFmtId="0" fontId="0" fillId="4" borderId="0" xfId="0" applyFill="1" applyAlignment="1">
      <alignment wrapText="1"/>
    </xf>
    <xf numFmtId="9" fontId="0" fillId="4" borderId="0" xfId="0" applyNumberFormat="1" applyFill="1" applyAlignment="1">
      <alignment horizontal="center"/>
    </xf>
    <xf numFmtId="165" fontId="0" fillId="4" borderId="0" xfId="0" applyNumberFormat="1" applyFill="1" applyAlignment="1">
      <alignment wrapText="1"/>
    </xf>
    <xf numFmtId="10" fontId="0" fillId="4" borderId="0" xfId="0" applyNumberFormat="1" applyFill="1" applyAlignment="1">
      <alignment horizontal="center"/>
    </xf>
    <xf numFmtId="9" fontId="0" fillId="4" borderId="0" xfId="1" applyFont="1" applyFill="1"/>
    <xf numFmtId="10" fontId="0" fillId="4" borderId="0" xfId="1" applyNumberFormat="1" applyFont="1" applyFill="1"/>
    <xf numFmtId="165" fontId="0" fillId="4" borderId="0" xfId="0" applyNumberFormat="1" applyFill="1" applyAlignment="1">
      <alignment horizontal="center"/>
    </xf>
    <xf numFmtId="0" fontId="35" fillId="4" borderId="0" xfId="0" applyFont="1" applyFill="1"/>
    <xf numFmtId="165" fontId="35" fillId="4" borderId="0" xfId="0" applyNumberFormat="1" applyFont="1" applyFill="1"/>
    <xf numFmtId="9" fontId="35" fillId="4" borderId="0" xfId="0" applyNumberFormat="1" applyFont="1" applyFill="1"/>
    <xf numFmtId="0" fontId="1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1" fontId="22" fillId="7" borderId="0" xfId="0" applyNumberFormat="1" applyFont="1" applyFill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2200" b="1">
                <a:solidFill>
                  <a:schemeClr val="tx1"/>
                </a:solidFill>
              </a:rPr>
              <a:t>20-Year GWP Climate Impacts (including SO</a:t>
            </a:r>
            <a:r>
              <a:rPr lang="en-US" sz="1600" b="1">
                <a:solidFill>
                  <a:schemeClr val="tx1"/>
                </a:solidFill>
              </a:rPr>
              <a:t>2</a:t>
            </a:r>
            <a:r>
              <a:rPr lang="en-US" sz="2200" b="1">
                <a:solidFill>
                  <a:schemeClr val="tx1"/>
                </a:solidFill>
              </a:rPr>
              <a:t>)</a:t>
            </a:r>
          </a:p>
        </c:rich>
      </c:tx>
      <c:layout>
        <c:manualLayout>
          <c:xMode val="edge"/>
          <c:yMode val="edge"/>
          <c:x val="0.22352498407494445"/>
          <c:y val="4.13793566997026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574733856153599"/>
          <c:y val="0.13280016291067065"/>
          <c:w val="0.56020921347667885"/>
          <c:h val="0.742524300841705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'[1]NEW GRAPHS'!$Q$89</c:f>
              <c:strCache>
                <c:ptCount val="1"/>
                <c:pt idx="0">
                  <c:v>Gas emissions - at varying methane leakage rates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'[1]NEW GRAPHS'!$P$90:$P$93</c:f>
              <c:strCache>
                <c:ptCount val="4"/>
                <c:pt idx="0">
                  <c:v>0.002</c:v>
                </c:pt>
                <c:pt idx="1">
                  <c:v>0.02</c:v>
                </c:pt>
                <c:pt idx="2">
                  <c:v>0.05</c:v>
                </c:pt>
                <c:pt idx="3">
                  <c:v>0.1</c:v>
                </c:pt>
              </c:strCache>
            </c:strRef>
          </c:cat>
          <c:val>
            <c:numRef>
              <c:f>'[1]NEW GRAPHS'!$Q$90:$Q$93</c:f>
              <c:numCache>
                <c:formatCode>0.0</c:formatCode>
                <c:ptCount val="4"/>
                <c:pt idx="0">
                  <c:v>69.837570093457941</c:v>
                </c:pt>
                <c:pt idx="1">
                  <c:v>95.375700934579442</c:v>
                </c:pt>
                <c:pt idx="2">
                  <c:v>137.93925233644859</c:v>
                </c:pt>
                <c:pt idx="3">
                  <c:v>208.87850467289721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D-6747-80F4-EFCBFB0C1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1421791"/>
        <c:axId val="298206431"/>
      </c:barChart>
      <c:lineChart>
        <c:grouping val="standard"/>
        <c:varyColors val="0"/>
        <c:ser>
          <c:idx val="2"/>
          <c:order val="1"/>
          <c:tx>
            <c:strRef>
              <c:f>'[1]NEW GRAPHS'!$S$89</c:f>
              <c:strCache>
                <c:ptCount val="1"/>
                <c:pt idx="0">
                  <c:v>S1: Mid S, CMM, Low SE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plus"/>
            <c:size val="12"/>
            <c:spPr>
              <a:noFill/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'[1]NEW GRAPHS'!$P$90:$P$93</c:f>
              <c:strCache>
                <c:ptCount val="4"/>
                <c:pt idx="0">
                  <c:v>0.002</c:v>
                </c:pt>
                <c:pt idx="1">
                  <c:v>0.02</c:v>
                </c:pt>
                <c:pt idx="2">
                  <c:v>0.05</c:v>
                </c:pt>
                <c:pt idx="3">
                  <c:v>0.1</c:v>
                </c:pt>
              </c:strCache>
            </c:strRef>
          </c:cat>
          <c:val>
            <c:numRef>
              <c:f>'[1]NEW GRAPHS'!$S$90:$S$93</c:f>
              <c:numCache>
                <c:formatCode>0.0</c:formatCode>
                <c:ptCount val="4"/>
                <c:pt idx="0">
                  <c:v>26.8407415632728</c:v>
                </c:pt>
                <c:pt idx="1">
                  <c:v>26.8407415632728</c:v>
                </c:pt>
                <c:pt idx="2">
                  <c:v>26.8407415632728</c:v>
                </c:pt>
                <c:pt idx="3">
                  <c:v>26.8407415632728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8D-6747-80F4-EFCBFB0C1480}"/>
            </c:ext>
          </c:extLst>
        </c:ser>
        <c:ser>
          <c:idx val="3"/>
          <c:order val="2"/>
          <c:tx>
            <c:strRef>
              <c:f>'[1]NEW GRAPHS'!$T$89</c:f>
              <c:strCache>
                <c:ptCount val="1"/>
                <c:pt idx="0">
                  <c:v>S2: Mid S, CMM, High SE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'[1]NEW GRAPHS'!$P$90:$P$93</c:f>
              <c:strCache>
                <c:ptCount val="4"/>
                <c:pt idx="0">
                  <c:v>0.002</c:v>
                </c:pt>
                <c:pt idx="1">
                  <c:v>0.02</c:v>
                </c:pt>
                <c:pt idx="2">
                  <c:v>0.05</c:v>
                </c:pt>
                <c:pt idx="3">
                  <c:v>0.1</c:v>
                </c:pt>
              </c:strCache>
            </c:strRef>
          </c:cat>
          <c:val>
            <c:numRef>
              <c:f>'[1]NEW GRAPHS'!$T$90:$T$93</c:f>
              <c:numCache>
                <c:formatCode>0.0</c:formatCode>
                <c:ptCount val="4"/>
                <c:pt idx="0">
                  <c:v>126.33859325963161</c:v>
                </c:pt>
                <c:pt idx="1">
                  <c:v>126.33859325963161</c:v>
                </c:pt>
                <c:pt idx="2">
                  <c:v>126.33859325963161</c:v>
                </c:pt>
                <c:pt idx="3">
                  <c:v>126.33859325963161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8D-6747-80F4-EFCBFB0C1480}"/>
            </c:ext>
          </c:extLst>
        </c:ser>
        <c:ser>
          <c:idx val="4"/>
          <c:order val="3"/>
          <c:tx>
            <c:strRef>
              <c:f>'[1]NEW GRAPHS'!$U$89</c:f>
              <c:strCache>
                <c:ptCount val="1"/>
                <c:pt idx="0">
                  <c:v>S3: Low S, Mid SE, CMM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'[1]NEW GRAPHS'!$P$90:$P$93</c:f>
              <c:strCache>
                <c:ptCount val="4"/>
                <c:pt idx="0">
                  <c:v>0.002</c:v>
                </c:pt>
                <c:pt idx="1">
                  <c:v>0.02</c:v>
                </c:pt>
                <c:pt idx="2">
                  <c:v>0.05</c:v>
                </c:pt>
                <c:pt idx="3">
                  <c:v>0.1</c:v>
                </c:pt>
              </c:strCache>
            </c:strRef>
          </c:cat>
          <c:val>
            <c:numRef>
              <c:f>'[1]NEW GRAPHS'!$U$90:$U$93</c:f>
              <c:numCache>
                <c:formatCode>0.0</c:formatCode>
                <c:ptCount val="4"/>
                <c:pt idx="0">
                  <c:v>123.57476404584388</c:v>
                </c:pt>
                <c:pt idx="1">
                  <c:v>123.57476404584388</c:v>
                </c:pt>
                <c:pt idx="2">
                  <c:v>123.57476404584388</c:v>
                </c:pt>
                <c:pt idx="3">
                  <c:v>123.57476404584388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8D-6747-80F4-EFCBFB0C1480}"/>
            </c:ext>
          </c:extLst>
        </c:ser>
        <c:ser>
          <c:idx val="5"/>
          <c:order val="4"/>
          <c:tx>
            <c:strRef>
              <c:f>'[1]NEW GRAPHS'!$V$89</c:f>
              <c:strCache>
                <c:ptCount val="1"/>
                <c:pt idx="0">
                  <c:v>S4: High S, Mid SE, CMM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'[1]NEW GRAPHS'!$P$90:$P$93</c:f>
              <c:strCache>
                <c:ptCount val="4"/>
                <c:pt idx="0">
                  <c:v>0.002</c:v>
                </c:pt>
                <c:pt idx="1">
                  <c:v>0.02</c:v>
                </c:pt>
                <c:pt idx="2">
                  <c:v>0.05</c:v>
                </c:pt>
                <c:pt idx="3">
                  <c:v>0.1</c:v>
                </c:pt>
              </c:strCache>
            </c:strRef>
          </c:cat>
          <c:val>
            <c:numRef>
              <c:f>'[1]NEW GRAPHS'!$V$90:$V$93</c:f>
              <c:numCache>
                <c:formatCode>0.0</c:formatCode>
                <c:ptCount val="4"/>
                <c:pt idx="0">
                  <c:v>82.117325839027714</c:v>
                </c:pt>
                <c:pt idx="1">
                  <c:v>82.117325839027714</c:v>
                </c:pt>
                <c:pt idx="2">
                  <c:v>82.117325839027714</c:v>
                </c:pt>
                <c:pt idx="3">
                  <c:v>82.117325839027714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8D-6747-80F4-EFCBFB0C1480}"/>
            </c:ext>
          </c:extLst>
        </c:ser>
        <c:ser>
          <c:idx val="6"/>
          <c:order val="5"/>
          <c:tx>
            <c:strRef>
              <c:f>'[1]NEW GRAPHS'!$W$89</c:f>
              <c:strCache>
                <c:ptCount val="1"/>
                <c:pt idx="0">
                  <c:v>S5: Mid S, Mid SE, Low CMM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'[1]NEW GRAPHS'!$P$90:$P$93</c:f>
              <c:strCache>
                <c:ptCount val="4"/>
                <c:pt idx="0">
                  <c:v>0.002</c:v>
                </c:pt>
                <c:pt idx="1">
                  <c:v>0.02</c:v>
                </c:pt>
                <c:pt idx="2">
                  <c:v>0.05</c:v>
                </c:pt>
                <c:pt idx="3">
                  <c:v>0.1</c:v>
                </c:pt>
              </c:strCache>
            </c:strRef>
          </c:cat>
          <c:val>
            <c:numRef>
              <c:f>'[1]NEW GRAPHS'!$W$90:$W$93</c:f>
              <c:numCache>
                <c:formatCode>0.0</c:formatCode>
                <c:ptCount val="4"/>
                <c:pt idx="0">
                  <c:v>70.525607919358691</c:v>
                </c:pt>
                <c:pt idx="1">
                  <c:v>70.525607919358691</c:v>
                </c:pt>
                <c:pt idx="2">
                  <c:v>70.525607919358691</c:v>
                </c:pt>
                <c:pt idx="3">
                  <c:v>70.525607919358691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8D-6747-80F4-EFCBFB0C1480}"/>
            </c:ext>
          </c:extLst>
        </c:ser>
        <c:ser>
          <c:idx val="7"/>
          <c:order val="6"/>
          <c:tx>
            <c:strRef>
              <c:f>'[1]NEW GRAPHS'!$X$89</c:f>
              <c:strCache>
                <c:ptCount val="1"/>
                <c:pt idx="0">
                  <c:v>S6: Mid S, Mid SE, High CMM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'[1]NEW GRAPHS'!$P$90:$P$93</c:f>
              <c:strCache>
                <c:ptCount val="4"/>
                <c:pt idx="0">
                  <c:v>0.002</c:v>
                </c:pt>
                <c:pt idx="1">
                  <c:v>0.02</c:v>
                </c:pt>
                <c:pt idx="2">
                  <c:v>0.05</c:v>
                </c:pt>
                <c:pt idx="3">
                  <c:v>0.1</c:v>
                </c:pt>
              </c:strCache>
            </c:strRef>
          </c:cat>
          <c:val>
            <c:numRef>
              <c:f>'[1]NEW GRAPHS'!$X$90:$X$93</c:f>
              <c:numCache>
                <c:formatCode>0.0</c:formatCode>
                <c:ptCount val="4"/>
                <c:pt idx="0">
                  <c:v>161.91834861541565</c:v>
                </c:pt>
                <c:pt idx="1">
                  <c:v>161.91834861541565</c:v>
                </c:pt>
                <c:pt idx="2">
                  <c:v>161.91834861541565</c:v>
                </c:pt>
                <c:pt idx="3">
                  <c:v>161.91834861541565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8D-6747-80F4-EFCBFB0C1480}"/>
            </c:ext>
          </c:extLst>
        </c:ser>
        <c:ser>
          <c:idx val="8"/>
          <c:order val="7"/>
          <c:tx>
            <c:strRef>
              <c:f>'[1]NEW GRAPHS'!$Y$89</c:f>
              <c:strCache>
                <c:ptCount val="1"/>
                <c:pt idx="0">
                  <c:v>S7: Baseline,  SO2 GWP with cloud interactions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'[1]NEW GRAPHS'!$P$90:$P$93</c:f>
              <c:strCache>
                <c:ptCount val="4"/>
                <c:pt idx="0">
                  <c:v>0.002</c:v>
                </c:pt>
                <c:pt idx="1">
                  <c:v>0.02</c:v>
                </c:pt>
                <c:pt idx="2">
                  <c:v>0.05</c:v>
                </c:pt>
                <c:pt idx="3">
                  <c:v>0.1</c:v>
                </c:pt>
              </c:strCache>
            </c:strRef>
          </c:cat>
          <c:val>
            <c:numRef>
              <c:f>'[1]NEW GRAPHS'!$Y$90:$Y$93</c:f>
              <c:numCache>
                <c:formatCode>0.0</c:formatCode>
                <c:ptCount val="4"/>
                <c:pt idx="0">
                  <c:v>81.718696625500627</c:v>
                </c:pt>
                <c:pt idx="1">
                  <c:v>81.718696625500627</c:v>
                </c:pt>
                <c:pt idx="2">
                  <c:v>81.718696625500627</c:v>
                </c:pt>
                <c:pt idx="3">
                  <c:v>81.718696625500627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8D-6747-80F4-EFCBFB0C1480}"/>
            </c:ext>
          </c:extLst>
        </c:ser>
        <c:ser>
          <c:idx val="1"/>
          <c:order val="8"/>
          <c:tx>
            <c:strRef>
              <c:f>'[1]NEW GRAPHS'!$R$89</c:f>
              <c:strCache>
                <c:ptCount val="1"/>
                <c:pt idx="0">
                  <c:v>Baseline: Mid S, Mid SE, CMM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x"/>
            <c:size val="10"/>
            <c:spPr>
              <a:noFill/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'[1]NEW GRAPHS'!$R$90:$R$93</c:f>
              <c:numCache>
                <c:formatCode>0.0</c:formatCode>
                <c:ptCount val="4"/>
                <c:pt idx="0">
                  <c:v>109.75561797690516</c:v>
                </c:pt>
                <c:pt idx="1">
                  <c:v>109.75561797690516</c:v>
                </c:pt>
                <c:pt idx="2">
                  <c:v>109.75561797690516</c:v>
                </c:pt>
                <c:pt idx="3">
                  <c:v>109.75561797690516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8D-6747-80F4-EFCBFB0C1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421791"/>
        <c:axId val="298206431"/>
      </c:lineChart>
      <c:catAx>
        <c:axId val="5714217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i="1"/>
                  <a:t>Methane Leakage Rate from Gas</a:t>
                </a:r>
              </a:p>
            </c:rich>
          </c:tx>
          <c:layout>
            <c:manualLayout>
              <c:xMode val="edge"/>
              <c:yMode val="edge"/>
              <c:x val="0.37972988122497997"/>
              <c:y val="0.935976649470540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206431"/>
        <c:crosses val="autoZero"/>
        <c:auto val="1"/>
        <c:lblAlgn val="ctr"/>
        <c:lblOffset val="100"/>
        <c:noMultiLvlLbl val="0"/>
      </c:catAx>
      <c:valAx>
        <c:axId val="298206431"/>
        <c:scaling>
          <c:orientation val="minMax"/>
          <c:max val="21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i="1"/>
                  <a:t>GHG Emissions</a:t>
                </a:r>
                <a:r>
                  <a:rPr lang="en-US" sz="1600" b="1" i="1" baseline="0"/>
                  <a:t> Intensity </a:t>
                </a:r>
              </a:p>
              <a:p>
                <a:pPr>
                  <a:defRPr sz="1600" i="1"/>
                </a:pPr>
                <a:r>
                  <a:rPr lang="en-US" sz="1600" b="1" i="1" baseline="0"/>
                  <a:t>(kg CO2e/mmBtu</a:t>
                </a:r>
                <a:endParaRPr lang="en-US" sz="1600" b="1" i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142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208875</xdr:colOff>
      <xdr:row>18</xdr:row>
      <xdr:rowOff>139767</xdr:rowOff>
    </xdr:from>
    <xdr:to>
      <xdr:col>26</xdr:col>
      <xdr:colOff>694649</xdr:colOff>
      <xdr:row>31</xdr:row>
      <xdr:rowOff>174874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6F3E8F-91D1-B649-A818-6A4A0F9F4680}"/>
            </a:ext>
            <a:ext uri="{147F2762-F138-4A5C-976F-8EAC2B608ADB}">
              <a16:predDERef xmlns:a16="http://schemas.microsoft.com/office/drawing/2014/main" pred="{B6A59B66-B262-63CB-FCA6-C4EC40575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20975" y="4203767"/>
          <a:ext cx="8905874" cy="2676707"/>
        </a:xfrm>
        <a:prstGeom prst="rect">
          <a:avLst/>
        </a:prstGeom>
      </xdr:spPr>
    </xdr:pic>
    <xdr:clientData/>
  </xdr:twoCellAnchor>
  <xdr:twoCellAnchor editAs="oneCell">
    <xdr:from>
      <xdr:col>27</xdr:col>
      <xdr:colOff>837658</xdr:colOff>
      <xdr:row>0</xdr:row>
      <xdr:rowOff>202659</xdr:rowOff>
    </xdr:from>
    <xdr:to>
      <xdr:col>40</xdr:col>
      <xdr:colOff>820658</xdr:colOff>
      <xdr:row>19</xdr:row>
      <xdr:rowOff>11794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78352B-64B1-234D-9096-677C1BCE1B19}"/>
            </a:ext>
            <a:ext uri="{147F2762-F138-4A5C-976F-8EAC2B608ADB}">
              <a16:predDERef xmlns:a16="http://schemas.microsoft.com/office/drawing/2014/main" pred="{2D395E5A-884C-D21F-EEFC-1D0DC82E9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547758" y="202659"/>
          <a:ext cx="11120900" cy="3669935"/>
        </a:xfrm>
        <a:prstGeom prst="rect">
          <a:avLst/>
        </a:prstGeom>
      </xdr:spPr>
    </xdr:pic>
    <xdr:clientData/>
  </xdr:twoCellAnchor>
  <xdr:twoCellAnchor editAs="oneCell">
    <xdr:from>
      <xdr:col>40</xdr:col>
      <xdr:colOff>493748</xdr:colOff>
      <xdr:row>1</xdr:row>
      <xdr:rowOff>402886</xdr:rowOff>
    </xdr:from>
    <xdr:to>
      <xdr:col>43</xdr:col>
      <xdr:colOff>114706</xdr:colOff>
      <xdr:row>16</xdr:row>
      <xdr:rowOff>143827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CD3D170-A326-5649-9D0F-4B65F4933554}"/>
            </a:ext>
            <a:ext uri="{147F2762-F138-4A5C-976F-8EAC2B608ADB}">
              <a16:predDERef xmlns:a16="http://schemas.microsoft.com/office/drawing/2014/main" pred="{9D017885-B946-04FD-5FB7-C55204311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506848" y="606086"/>
          <a:ext cx="2097458" cy="2992141"/>
        </a:xfrm>
        <a:prstGeom prst="rect">
          <a:avLst/>
        </a:prstGeom>
      </xdr:spPr>
    </xdr:pic>
    <xdr:clientData/>
  </xdr:twoCellAnchor>
  <xdr:twoCellAnchor editAs="oneCell">
    <xdr:from>
      <xdr:col>27</xdr:col>
      <xdr:colOff>573196</xdr:colOff>
      <xdr:row>34</xdr:row>
      <xdr:rowOff>0</xdr:rowOff>
    </xdr:from>
    <xdr:to>
      <xdr:col>38</xdr:col>
      <xdr:colOff>501947</xdr:colOff>
      <xdr:row>52</xdr:row>
      <xdr:rowOff>119097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0A78664-D23A-6F45-AB67-34168F97B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283296" y="7556500"/>
          <a:ext cx="9402951" cy="3776697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109</xdr:row>
      <xdr:rowOff>0</xdr:rowOff>
    </xdr:from>
    <xdr:to>
      <xdr:col>10</xdr:col>
      <xdr:colOff>190500</xdr:colOff>
      <xdr:row>147</xdr:row>
      <xdr:rowOff>135468</xdr:rowOff>
    </xdr:to>
    <xdr:graphicFrame macro="">
      <xdr:nvGraphicFramePr>
        <xdr:cNvPr id="6" name="Chart 14">
          <a:extLst>
            <a:ext uri="{FF2B5EF4-FFF2-40B4-BE49-F238E27FC236}">
              <a16:creationId xmlns:a16="http://schemas.microsoft.com/office/drawing/2014/main" id="{EBC1819D-04CA-1247-A9A2-5D05D4C8E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ockmtnins-my.sharepoint.com/personal/dgordon_rmi_org/Documents/Rocky%20Mountain%20Institute/Gas%20v.%20Coal/Calculator/Calculator%20case%20study.xlsx" TargetMode="External"/><Relationship Id="rId1" Type="http://schemas.openxmlformats.org/officeDocument/2006/relationships/externalLinkPath" Target="/personal/dgordon_rmi_org/Documents/Rocky%20Mountain%20Institute/Gas%20v.%20Coal/Calculator/Calculator%20case%20stud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nal Calculator"/>
      <sheetName val="Case Study"/>
      <sheetName val="NEW GRAPHS"/>
      <sheetName val="Calcs Lifecycle GHGs"/>
      <sheetName val="Ranges"/>
      <sheetName val="Schematic"/>
      <sheetName val="2014 methane leakage NAS study"/>
      <sheetName val="GvC US GHGs"/>
      <sheetName val="Updated User Interface"/>
      <sheetName val="OCI+ Global gas results 4.28.23"/>
      <sheetName val="Car equivalency calc"/>
      <sheetName val="Methane Studies"/>
      <sheetName val="IEA global leakage calc"/>
      <sheetName val="methane intensity"/>
      <sheetName val="O&amp;G GHG 2021"/>
      <sheetName val="OLD User Interface variable GWP"/>
      <sheetName val="CvG figure"/>
      <sheetName val="Paper graph"/>
      <sheetName val="3% calc"/>
      <sheetName val="Sulfate"/>
    </sheetNames>
    <sheetDataSet>
      <sheetData sheetId="0"/>
      <sheetData sheetId="1">
        <row r="29">
          <cell r="B29">
            <v>92.439142200000006</v>
          </cell>
        </row>
        <row r="30">
          <cell r="B30">
            <v>98</v>
          </cell>
        </row>
        <row r="31">
          <cell r="B31">
            <v>10.199999999999999</v>
          </cell>
        </row>
        <row r="33">
          <cell r="B33">
            <v>80.5</v>
          </cell>
        </row>
        <row r="34">
          <cell r="B34">
            <v>0.6</v>
          </cell>
        </row>
        <row r="35">
          <cell r="B35">
            <v>1.0064E-2</v>
          </cell>
        </row>
      </sheetData>
      <sheetData sheetId="2">
        <row r="89">
          <cell r="Q89" t="str">
            <v>Gas emissions - at varying methane leakage rates</v>
          </cell>
          <cell r="R89" t="str">
            <v>Baseline: Mid S, Mid SE, CMM</v>
          </cell>
          <cell r="S89" t="str">
            <v>S1: Mid S, CMM, Low SE</v>
          </cell>
          <cell r="T89" t="str">
            <v>S2: Mid S, CMM, High SE</v>
          </cell>
          <cell r="U89" t="str">
            <v>S3: Low S, Mid SE, CMM</v>
          </cell>
          <cell r="V89" t="str">
            <v>S4: High S, Mid SE, CMM</v>
          </cell>
          <cell r="W89" t="str">
            <v>S5: Mid S, Mid SE, Low CMM</v>
          </cell>
          <cell r="X89" t="str">
            <v>S6: Mid S, Mid SE, High CMM</v>
          </cell>
          <cell r="Y89" t="str">
            <v>S7: Baseline,  SO2 GWP with cloud interactions</v>
          </cell>
        </row>
        <row r="90">
          <cell r="P90">
            <v>2E-3</v>
          </cell>
          <cell r="Q90">
            <v>69.837570093457941</v>
          </cell>
          <cell r="R90">
            <v>109.75561797690516</v>
          </cell>
          <cell r="S90">
            <v>26.8407415632728</v>
          </cell>
          <cell r="T90">
            <v>126.33859325963161</v>
          </cell>
          <cell r="U90">
            <v>123.57476404584388</v>
          </cell>
          <cell r="V90">
            <v>82.117325839027714</v>
          </cell>
          <cell r="W90">
            <v>70.525607919358691</v>
          </cell>
          <cell r="X90">
            <v>161.91834861541565</v>
          </cell>
          <cell r="Y90">
            <v>81.718696625500627</v>
          </cell>
        </row>
        <row r="91">
          <cell r="P91">
            <v>0.02</v>
          </cell>
          <cell r="Q91">
            <v>95.375700934579442</v>
          </cell>
          <cell r="R91">
            <v>109.75561797690516</v>
          </cell>
          <cell r="S91">
            <v>26.8407415632728</v>
          </cell>
          <cell r="T91">
            <v>126.33859325963161</v>
          </cell>
          <cell r="U91">
            <v>123.57476404584388</v>
          </cell>
          <cell r="V91">
            <v>82.117325839027714</v>
          </cell>
          <cell r="W91">
            <v>70.525607919358691</v>
          </cell>
          <cell r="X91">
            <v>161.91834861541565</v>
          </cell>
          <cell r="Y91">
            <v>81.718696625500627</v>
          </cell>
        </row>
        <row r="92">
          <cell r="P92">
            <v>0.05</v>
          </cell>
          <cell r="Q92">
            <v>137.93925233644859</v>
          </cell>
          <cell r="R92">
            <v>109.75561797690516</v>
          </cell>
          <cell r="S92">
            <v>26.8407415632728</v>
          </cell>
          <cell r="T92">
            <v>126.33859325963161</v>
          </cell>
          <cell r="U92">
            <v>123.57476404584388</v>
          </cell>
          <cell r="V92">
            <v>82.117325839027714</v>
          </cell>
          <cell r="W92">
            <v>70.525607919358691</v>
          </cell>
          <cell r="X92">
            <v>161.91834861541565</v>
          </cell>
          <cell r="Y92">
            <v>81.718696625500627</v>
          </cell>
        </row>
        <row r="93">
          <cell r="P93">
            <v>0.1</v>
          </cell>
          <cell r="Q93">
            <v>208.87850467289721</v>
          </cell>
          <cell r="R93">
            <v>109.75561797690516</v>
          </cell>
          <cell r="S93">
            <v>26.8407415632728</v>
          </cell>
          <cell r="T93">
            <v>126.33859325963161</v>
          </cell>
          <cell r="U93">
            <v>123.57476404584388</v>
          </cell>
          <cell r="V93">
            <v>82.117325839027714</v>
          </cell>
          <cell r="W93">
            <v>70.525607919358691</v>
          </cell>
          <cell r="X93">
            <v>161.91834861541565</v>
          </cell>
          <cell r="Y93">
            <v>81.718696625500627</v>
          </cell>
        </row>
      </sheetData>
      <sheetData sheetId="3"/>
      <sheetData sheetId="4">
        <row r="75">
          <cell r="E75">
            <v>89.572391481481475</v>
          </cell>
        </row>
        <row r="79">
          <cell r="E79">
            <v>66.628497557349192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ciencedirect.com/science/article/pii/S0959652620305369?via%3Dihub" TargetMode="External"/><Relationship Id="rId2" Type="http://schemas.openxmlformats.org/officeDocument/2006/relationships/hyperlink" Target="https://www.ipcc.ch/report/ar6/wg3/downloads/report/IPCC_AR6_WGIII_Chapter06.pdf" TargetMode="External"/><Relationship Id="rId1" Type="http://schemas.openxmlformats.org/officeDocument/2006/relationships/hyperlink" Target="https://www.ipcc.ch/site/assets/uploads/2018/02/ipcc_wg3_ar5_chapter7.pdf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s://www.gem.wiki/Bailey_Mine" TargetMode="External"/><Relationship Id="rId4" Type="http://schemas.openxmlformats.org/officeDocument/2006/relationships/hyperlink" Target="https://www.epa.gov/sites/default/files/2021-05/documents/wet_and_dry_scrubbers_section_5_chapter_1_control_cost_manual_7th_edit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9595F-0376-4548-AAB5-CE3AE4447193}">
  <dimension ref="A1:AL119"/>
  <sheetViews>
    <sheetView tabSelected="1" zoomScale="125" workbookViewId="0">
      <selection activeCell="D15" sqref="D15"/>
    </sheetView>
  </sheetViews>
  <sheetFormatPr defaultColWidth="11" defaultRowHeight="15.75" customHeight="1"/>
  <cols>
    <col min="1" max="1" width="66.625" customWidth="1"/>
    <col min="2" max="2" width="17.875" customWidth="1"/>
    <col min="3" max="3" width="27.625" customWidth="1"/>
    <col min="4" max="4" width="72.125" customWidth="1"/>
    <col min="5" max="5" width="89.875" style="19" customWidth="1"/>
    <col min="6" max="6" width="47.5" style="108" customWidth="1"/>
    <col min="7" max="7" width="9.5" style="96" customWidth="1"/>
    <col min="8" max="8" width="12.125" style="96" customWidth="1"/>
    <col min="9" max="9" width="10.875" style="96" customWidth="1"/>
    <col min="10" max="10" width="11" style="96"/>
    <col min="12" max="17" width="11" style="8"/>
    <col min="18" max="18" width="24.375" style="8" customWidth="1"/>
    <col min="19" max="25" width="11" style="8"/>
    <col min="29" max="29" width="13.375" customWidth="1"/>
    <col min="30" max="30" width="14" customWidth="1"/>
  </cols>
  <sheetData>
    <row r="1" spans="1:24" ht="15.95">
      <c r="A1" s="1" t="s">
        <v>0</v>
      </c>
      <c r="B1" s="2"/>
      <c r="C1" s="2"/>
      <c r="D1" s="2"/>
      <c r="E1" s="3"/>
      <c r="F1" s="4" t="s">
        <v>1</v>
      </c>
      <c r="G1" s="5"/>
      <c r="H1" s="5"/>
      <c r="I1" s="5"/>
      <c r="J1" s="5"/>
      <c r="K1" s="6"/>
      <c r="L1" s="7" t="s">
        <v>2</v>
      </c>
    </row>
    <row r="2" spans="1:24" ht="45">
      <c r="A2" s="9" t="s">
        <v>3</v>
      </c>
      <c r="B2" s="9" t="s">
        <v>4</v>
      </c>
      <c r="C2" s="10" t="s">
        <v>5</v>
      </c>
      <c r="D2" s="10"/>
      <c r="E2" s="11" t="s">
        <v>6</v>
      </c>
      <c r="F2" s="12" t="s">
        <v>7</v>
      </c>
      <c r="G2" s="13" t="s">
        <v>8</v>
      </c>
      <c r="H2" s="13"/>
      <c r="I2" s="13"/>
      <c r="J2" s="13"/>
      <c r="K2" s="14"/>
      <c r="L2" s="15"/>
      <c r="R2" s="16" t="s">
        <v>9</v>
      </c>
      <c r="S2" s="17" t="s">
        <v>10</v>
      </c>
      <c r="T2" s="18" t="s">
        <v>8</v>
      </c>
      <c r="U2" s="18" t="s">
        <v>11</v>
      </c>
      <c r="V2" s="18" t="s">
        <v>12</v>
      </c>
      <c r="W2" s="18" t="s">
        <v>13</v>
      </c>
      <c r="X2" s="18" t="s">
        <v>14</v>
      </c>
    </row>
    <row r="3" spans="1:24" ht="15.95">
      <c r="A3" s="6"/>
      <c r="B3" s="6"/>
      <c r="C3" s="6"/>
      <c r="D3" s="6"/>
      <c r="F3" s="4" t="s">
        <v>15</v>
      </c>
      <c r="G3" s="20">
        <f>[1]Ranges!E75</f>
        <v>89.572391481481475</v>
      </c>
      <c r="H3" s="21"/>
      <c r="I3" s="21"/>
      <c r="J3" s="22"/>
      <c r="K3" s="23"/>
      <c r="L3" s="7" t="s">
        <v>16</v>
      </c>
      <c r="R3" s="8" t="s">
        <v>17</v>
      </c>
      <c r="S3" s="8">
        <v>25.09</v>
      </c>
      <c r="T3" s="24">
        <v>103.69</v>
      </c>
      <c r="U3" s="8">
        <v>11</v>
      </c>
      <c r="V3" s="8">
        <v>1.6</v>
      </c>
      <c r="W3" s="24">
        <f>T3+U3*S$12/1000+V3*S$14/1000</f>
        <v>104.4546</v>
      </c>
      <c r="X3" s="24">
        <f>T3+U3*S$13/1000+V3*S$14/1000</f>
        <v>105.0343</v>
      </c>
    </row>
    <row r="4" spans="1:24" ht="15.95">
      <c r="A4" s="161" t="s">
        <v>18</v>
      </c>
      <c r="B4" s="30">
        <v>2E-3</v>
      </c>
      <c r="C4" s="25" t="s">
        <v>19</v>
      </c>
      <c r="D4" s="25"/>
      <c r="E4" s="26" t="s">
        <v>20</v>
      </c>
      <c r="F4" s="4" t="s">
        <v>21</v>
      </c>
      <c r="G4" s="20">
        <f>[1]Ranges!E79</f>
        <v>66.628497557349192</v>
      </c>
      <c r="H4" s="21"/>
      <c r="I4" s="21"/>
      <c r="J4" s="22"/>
      <c r="K4" s="23"/>
      <c r="L4" s="7" t="s">
        <v>16</v>
      </c>
      <c r="R4" s="8" t="s">
        <v>22</v>
      </c>
      <c r="S4" s="8">
        <v>24.93</v>
      </c>
      <c r="T4" s="24">
        <v>93.28</v>
      </c>
      <c r="U4" s="8">
        <v>11</v>
      </c>
      <c r="V4" s="8">
        <v>1.6</v>
      </c>
      <c r="W4" s="24">
        <f t="shared" ref="W4:W11" si="0">T4+U4*S$12/1000+V4*S$14/1000</f>
        <v>94.044600000000003</v>
      </c>
      <c r="X4" s="24">
        <f t="shared" ref="X4:X11" si="1">T4+U4*S$13/1000+V4*S$14/1000</f>
        <v>94.624300000000005</v>
      </c>
    </row>
    <row r="5" spans="1:24" ht="15.95">
      <c r="A5" s="161" t="s">
        <v>23</v>
      </c>
      <c r="B5" s="27">
        <f>'[1]Case Study'!B29</f>
        <v>92.439142200000006</v>
      </c>
      <c r="C5" s="28" t="s">
        <v>24</v>
      </c>
      <c r="D5" s="28"/>
      <c r="E5" s="26" t="s">
        <v>25</v>
      </c>
      <c r="F5" s="4"/>
      <c r="G5" s="20"/>
      <c r="H5" s="21"/>
      <c r="I5" s="21"/>
      <c r="J5" s="22"/>
      <c r="R5" s="8" t="s">
        <v>26</v>
      </c>
      <c r="S5" s="8">
        <v>17.25</v>
      </c>
      <c r="T5" s="24">
        <v>97.17</v>
      </c>
      <c r="U5" s="8">
        <v>11</v>
      </c>
      <c r="V5" s="8">
        <v>1.6</v>
      </c>
      <c r="W5" s="24">
        <f t="shared" si="0"/>
        <v>97.934600000000003</v>
      </c>
      <c r="X5" s="24">
        <f t="shared" si="1"/>
        <v>98.514300000000006</v>
      </c>
    </row>
    <row r="6" spans="1:24" ht="15.95">
      <c r="A6" s="161" t="s">
        <v>27</v>
      </c>
      <c r="B6" s="27">
        <f>'[1]Case Study'!B30</f>
        <v>98</v>
      </c>
      <c r="C6" s="28" t="s">
        <v>24</v>
      </c>
      <c r="D6" s="28"/>
      <c r="E6" s="26" t="s">
        <v>28</v>
      </c>
      <c r="F6" s="4" t="s">
        <v>29</v>
      </c>
      <c r="G6" s="22">
        <v>29.8</v>
      </c>
      <c r="H6" s="21"/>
      <c r="I6" s="21"/>
      <c r="J6" s="22"/>
      <c r="L6" s="29" t="s">
        <v>30</v>
      </c>
      <c r="R6" s="8" t="s">
        <v>31</v>
      </c>
      <c r="S6" s="8">
        <v>14.21</v>
      </c>
      <c r="T6" s="24">
        <v>97.72</v>
      </c>
      <c r="U6" s="8">
        <v>11</v>
      </c>
      <c r="V6" s="8">
        <v>1.6</v>
      </c>
      <c r="W6" s="24">
        <f t="shared" si="0"/>
        <v>98.4846</v>
      </c>
      <c r="X6" s="24">
        <f t="shared" si="1"/>
        <v>99.064300000000003</v>
      </c>
    </row>
    <row r="7" spans="1:24" ht="15.95">
      <c r="A7" s="161" t="s">
        <v>32</v>
      </c>
      <c r="B7" s="30">
        <f>'[1]Case Study'!B33/100</f>
        <v>0.80500000000000005</v>
      </c>
      <c r="C7" s="25" t="s">
        <v>33</v>
      </c>
      <c r="D7" s="25"/>
      <c r="E7" s="26" t="s">
        <v>34</v>
      </c>
      <c r="F7" s="4" t="s">
        <v>35</v>
      </c>
      <c r="G7" s="22">
        <v>82.5</v>
      </c>
      <c r="H7" s="21"/>
      <c r="I7" s="21"/>
      <c r="J7" s="22"/>
      <c r="L7" s="29" t="s">
        <v>30</v>
      </c>
      <c r="M7" s="26"/>
      <c r="R7" s="8" t="s">
        <v>36</v>
      </c>
      <c r="S7" s="8">
        <v>21.39</v>
      </c>
      <c r="T7" s="24">
        <v>94.27</v>
      </c>
      <c r="U7" s="8">
        <v>11</v>
      </c>
      <c r="V7" s="8">
        <v>1.6</v>
      </c>
      <c r="W7" s="24">
        <f t="shared" si="0"/>
        <v>95.034599999999998</v>
      </c>
      <c r="X7" s="24">
        <f t="shared" si="1"/>
        <v>95.6143</v>
      </c>
    </row>
    <row r="8" spans="1:24" ht="15.95">
      <c r="A8" s="161" t="s">
        <v>37</v>
      </c>
      <c r="B8" s="27">
        <f>'[1]Case Study'!B31/18</f>
        <v>0.56666666666666665</v>
      </c>
      <c r="C8" s="31" t="s">
        <v>38</v>
      </c>
      <c r="D8" s="31"/>
      <c r="E8" s="26" t="s">
        <v>39</v>
      </c>
      <c r="F8" s="4" t="s">
        <v>40</v>
      </c>
      <c r="G8" s="20">
        <v>273</v>
      </c>
      <c r="H8" s="21"/>
      <c r="I8" s="21"/>
      <c r="J8" s="22"/>
      <c r="L8" s="29" t="s">
        <v>30</v>
      </c>
      <c r="R8" s="8" t="s">
        <v>41</v>
      </c>
      <c r="S8" s="8">
        <v>19.73</v>
      </c>
      <c r="T8" s="24">
        <v>95.52</v>
      </c>
      <c r="U8" s="8">
        <v>11</v>
      </c>
      <c r="V8" s="8">
        <v>1.6</v>
      </c>
      <c r="W8" s="24">
        <f t="shared" si="0"/>
        <v>96.284599999999998</v>
      </c>
      <c r="X8" s="24">
        <f t="shared" si="1"/>
        <v>96.8643</v>
      </c>
    </row>
    <row r="9" spans="1:24" ht="15.95">
      <c r="A9" s="161" t="s">
        <v>42</v>
      </c>
      <c r="B9" s="32">
        <v>82.5</v>
      </c>
      <c r="C9" s="31" t="s">
        <v>43</v>
      </c>
      <c r="D9" s="31"/>
      <c r="E9" s="26" t="s">
        <v>44</v>
      </c>
      <c r="F9" s="4"/>
      <c r="G9" s="20"/>
      <c r="H9" s="21"/>
      <c r="I9" s="21"/>
      <c r="J9" s="22"/>
      <c r="L9" s="19"/>
      <c r="R9" s="8" t="s">
        <v>45</v>
      </c>
      <c r="S9" s="8">
        <v>26.28</v>
      </c>
      <c r="T9" s="24">
        <v>93.9</v>
      </c>
      <c r="U9" s="8">
        <v>11</v>
      </c>
      <c r="V9" s="8">
        <v>1.6</v>
      </c>
      <c r="W9" s="24">
        <f t="shared" si="0"/>
        <v>94.664600000000007</v>
      </c>
      <c r="X9" s="24">
        <f t="shared" si="1"/>
        <v>95.24430000000001</v>
      </c>
    </row>
    <row r="10" spans="1:24" ht="18" customHeight="1">
      <c r="A10" s="161" t="s">
        <v>46</v>
      </c>
      <c r="B10" s="33">
        <v>-367</v>
      </c>
      <c r="C10" s="34" t="s">
        <v>47</v>
      </c>
      <c r="D10" s="34"/>
      <c r="E10" s="26" t="s">
        <v>48</v>
      </c>
      <c r="F10" s="35" t="s">
        <v>49</v>
      </c>
      <c r="G10" s="21"/>
      <c r="H10" s="21"/>
      <c r="I10" s="21"/>
      <c r="J10" s="22"/>
      <c r="L10" s="19"/>
      <c r="R10" s="8" t="s">
        <v>50</v>
      </c>
      <c r="S10" s="8">
        <v>22.35</v>
      </c>
      <c r="T10" s="24">
        <v>94.67</v>
      </c>
      <c r="U10" s="8">
        <v>11</v>
      </c>
      <c r="V10" s="8">
        <v>1.6</v>
      </c>
      <c r="W10" s="24">
        <f t="shared" si="0"/>
        <v>95.434600000000003</v>
      </c>
      <c r="X10" s="24">
        <f t="shared" si="1"/>
        <v>96.014300000000006</v>
      </c>
    </row>
    <row r="11" spans="1:24" ht="15.95">
      <c r="A11" s="161" t="s">
        <v>51</v>
      </c>
      <c r="B11" s="36">
        <v>0.85</v>
      </c>
      <c r="C11" s="37" t="s">
        <v>52</v>
      </c>
      <c r="D11" s="37"/>
      <c r="E11" s="26" t="s">
        <v>53</v>
      </c>
      <c r="F11" s="38" t="s">
        <v>54</v>
      </c>
      <c r="G11" s="39">
        <v>1.1023000000000001</v>
      </c>
      <c r="H11" s="40"/>
      <c r="I11" s="40"/>
      <c r="J11" s="40"/>
      <c r="L11" s="19"/>
      <c r="R11" s="8" t="s">
        <v>55</v>
      </c>
      <c r="T11" s="24">
        <v>53.06</v>
      </c>
      <c r="U11" s="8">
        <v>1</v>
      </c>
      <c r="V11" s="8">
        <v>0.1</v>
      </c>
      <c r="W11" s="24">
        <f t="shared" si="0"/>
        <v>53.117100000000001</v>
      </c>
      <c r="X11" s="24">
        <f t="shared" si="1"/>
        <v>53.169800000000002</v>
      </c>
    </row>
    <row r="12" spans="1:24" ht="17.100000000000001" customHeight="1">
      <c r="A12" s="161" t="s">
        <v>56</v>
      </c>
      <c r="B12" s="41">
        <f>'[1]Case Study'!B34/100</f>
        <v>6.0000000000000001E-3</v>
      </c>
      <c r="C12" s="42" t="s">
        <v>57</v>
      </c>
      <c r="D12" s="42"/>
      <c r="E12" s="26" t="s">
        <v>58</v>
      </c>
      <c r="F12" s="43" t="s">
        <v>59</v>
      </c>
      <c r="G12" s="21">
        <v>0.68</v>
      </c>
      <c r="H12" s="40"/>
      <c r="I12" s="40"/>
      <c r="J12" s="40"/>
      <c r="L12" s="19"/>
      <c r="R12" s="8" t="s">
        <v>60</v>
      </c>
      <c r="S12" s="8">
        <v>29.8</v>
      </c>
      <c r="T12" s="29" t="s">
        <v>30</v>
      </c>
    </row>
    <row r="13" spans="1:24" ht="15.95">
      <c r="A13" s="161" t="s">
        <v>61</v>
      </c>
      <c r="B13" s="41">
        <f>'[1]Case Study'!B35</f>
        <v>1.0064E-2</v>
      </c>
      <c r="C13" s="42" t="s">
        <v>62</v>
      </c>
      <c r="D13" s="42"/>
      <c r="E13" s="26" t="s">
        <v>63</v>
      </c>
      <c r="F13" s="43" t="s">
        <v>64</v>
      </c>
      <c r="G13" s="21">
        <v>0.65</v>
      </c>
      <c r="H13" s="40"/>
      <c r="I13" s="40"/>
      <c r="J13" s="40"/>
      <c r="L13" s="19"/>
      <c r="R13" s="8" t="s">
        <v>65</v>
      </c>
      <c r="S13" s="8">
        <v>82.5</v>
      </c>
      <c r="T13" s="29" t="s">
        <v>30</v>
      </c>
    </row>
    <row r="14" spans="1:24" ht="15.95">
      <c r="A14" s="161" t="s">
        <v>66</v>
      </c>
      <c r="B14" s="44">
        <v>0.98</v>
      </c>
      <c r="C14" s="45" t="s">
        <v>52</v>
      </c>
      <c r="D14" s="45"/>
      <c r="E14" s="26" t="s">
        <v>67</v>
      </c>
      <c r="F14" s="43" t="s">
        <v>68</v>
      </c>
      <c r="G14" s="21">
        <v>35.31</v>
      </c>
      <c r="H14" s="40"/>
      <c r="I14" s="40"/>
      <c r="J14" s="40"/>
      <c r="L14" s="19"/>
      <c r="R14" s="8" t="s">
        <v>69</v>
      </c>
      <c r="S14" s="8">
        <v>273</v>
      </c>
      <c r="T14" s="29" t="s">
        <v>30</v>
      </c>
    </row>
    <row r="15" spans="1:24" ht="15.95">
      <c r="A15" s="162"/>
      <c r="B15" s="46"/>
      <c r="C15" s="46"/>
      <c r="D15" s="46"/>
      <c r="E15" s="26"/>
      <c r="F15" s="43" t="s">
        <v>70</v>
      </c>
      <c r="G15" s="21">
        <v>1000</v>
      </c>
      <c r="H15" s="40"/>
      <c r="I15" s="40"/>
      <c r="J15" s="40"/>
      <c r="L15" s="19"/>
    </row>
    <row r="16" spans="1:24" ht="15.95">
      <c r="A16" s="163" t="s">
        <v>71</v>
      </c>
      <c r="B16" s="47" t="str">
        <f>IF(B17&gt;0,"YES","NO")</f>
        <v>YES</v>
      </c>
      <c r="C16" s="31" t="s">
        <v>72</v>
      </c>
      <c r="D16" s="48"/>
      <c r="E16" s="26" t="s">
        <v>73</v>
      </c>
      <c r="F16" s="43" t="s">
        <v>74</v>
      </c>
      <c r="G16" s="49">
        <v>1E-3</v>
      </c>
      <c r="H16" s="50"/>
      <c r="I16" s="40"/>
      <c r="J16" s="40"/>
      <c r="L16" s="8" t="s">
        <v>75</v>
      </c>
    </row>
    <row r="17" spans="1:38" ht="15.95">
      <c r="A17" s="162" t="s">
        <v>76</v>
      </c>
      <c r="B17" s="51">
        <f>(G38-G43)/(ABS(G43))</f>
        <v>2.4788593959776798E-3</v>
      </c>
      <c r="C17" s="52"/>
      <c r="D17" s="52"/>
      <c r="F17" s="38" t="s">
        <v>77</v>
      </c>
      <c r="G17" s="20">
        <v>16</v>
      </c>
      <c r="H17" s="40"/>
      <c r="I17" s="40"/>
      <c r="J17" s="40"/>
      <c r="AC17" s="53" t="s">
        <v>78</v>
      </c>
    </row>
    <row r="18" spans="1:38" ht="15.95">
      <c r="A18" s="54" t="s">
        <v>79</v>
      </c>
      <c r="B18" s="164">
        <f>G43</f>
        <v>91.924051566450416</v>
      </c>
      <c r="C18" s="56" t="s">
        <v>80</v>
      </c>
      <c r="D18" s="55"/>
      <c r="F18" s="38" t="s">
        <v>81</v>
      </c>
      <c r="G18" s="20">
        <v>32</v>
      </c>
      <c r="H18" s="40"/>
      <c r="I18" s="40"/>
      <c r="J18" s="57" t="s">
        <v>82</v>
      </c>
      <c r="L18" s="8" t="s">
        <v>83</v>
      </c>
      <c r="R18" s="8" t="s">
        <v>84</v>
      </c>
      <c r="T18" s="29" t="s">
        <v>85</v>
      </c>
      <c r="AE18" t="s">
        <v>86</v>
      </c>
      <c r="AH18" t="s">
        <v>87</v>
      </c>
      <c r="AI18" t="s">
        <v>88</v>
      </c>
    </row>
    <row r="19" spans="1:38" ht="15.95">
      <c r="A19" s="54" t="s">
        <v>89</v>
      </c>
      <c r="B19" s="164">
        <f>G38</f>
        <v>92.151918365392248</v>
      </c>
      <c r="C19" s="56" t="s">
        <v>80</v>
      </c>
      <c r="D19" s="55"/>
      <c r="F19" s="43" t="s">
        <v>90</v>
      </c>
      <c r="G19" s="58">
        <v>0.74</v>
      </c>
      <c r="H19" s="21">
        <v>11.43</v>
      </c>
      <c r="I19" s="21">
        <v>40.950000000000003</v>
      </c>
      <c r="J19" s="59">
        <f>8/35.31*1.1</f>
        <v>0.24922118380062308</v>
      </c>
      <c r="L19" s="8" t="s">
        <v>91</v>
      </c>
      <c r="AE19" t="s">
        <v>92</v>
      </c>
      <c r="AH19">
        <v>950</v>
      </c>
      <c r="AI19" s="60">
        <f>AH19*AC$30*AC$31/1000</f>
        <v>278.62549999999999</v>
      </c>
    </row>
    <row r="20" spans="1:38" ht="32.1">
      <c r="A20" s="46"/>
      <c r="B20" s="6"/>
      <c r="C20" s="6"/>
      <c r="D20" s="6"/>
      <c r="F20" s="61" t="s">
        <v>93</v>
      </c>
      <c r="G20" s="62">
        <v>18</v>
      </c>
      <c r="H20" s="40"/>
      <c r="I20" s="63"/>
      <c r="J20" s="40"/>
      <c r="L20" s="64" t="s">
        <v>94</v>
      </c>
      <c r="AE20" t="s">
        <v>95</v>
      </c>
      <c r="AH20">
        <v>490</v>
      </c>
      <c r="AI20" s="60">
        <f>AH20*AC$30*AC$31/1000</f>
        <v>143.71209999999999</v>
      </c>
    </row>
    <row r="21" spans="1:38" ht="15.95">
      <c r="A21" s="65"/>
      <c r="B21" s="55"/>
      <c r="C21" s="55"/>
      <c r="D21" s="55"/>
      <c r="F21" s="4" t="s">
        <v>96</v>
      </c>
      <c r="G21" s="22">
        <f>AVERAGE(25.09,24.93,17.25,14.21,21.39,19.73,26.28,22.35)*G11</f>
        <v>23.593353624999999</v>
      </c>
      <c r="H21" s="40"/>
      <c r="I21" s="66"/>
      <c r="J21" s="40"/>
      <c r="K21" s="67"/>
      <c r="L21" s="68" t="s">
        <v>97</v>
      </c>
    </row>
    <row r="22" spans="1:38" ht="15.95">
      <c r="A22" s="65"/>
      <c r="B22" s="55"/>
      <c r="C22" s="55"/>
      <c r="D22" s="55"/>
      <c r="F22" s="38" t="s">
        <v>98</v>
      </c>
      <c r="G22" s="69">
        <v>1.0449999999999999</v>
      </c>
      <c r="H22" s="40"/>
      <c r="I22" s="40"/>
      <c r="J22" s="40"/>
      <c r="L22" s="19" t="s">
        <v>99</v>
      </c>
      <c r="AC22" t="s">
        <v>100</v>
      </c>
      <c r="AF22" s="53" t="s">
        <v>101</v>
      </c>
    </row>
    <row r="23" spans="1:38" s="67" customFormat="1" ht="18.95" customHeight="1">
      <c r="A23" s="65"/>
      <c r="B23" s="55"/>
      <c r="C23" s="55"/>
      <c r="D23" s="55"/>
      <c r="E23" s="19"/>
      <c r="F23" s="38" t="s">
        <v>102</v>
      </c>
      <c r="G23" s="22">
        <f>G21/G22</f>
        <v>22.577371889952154</v>
      </c>
      <c r="H23" s="40"/>
      <c r="I23" s="40"/>
      <c r="J23" s="40"/>
      <c r="K23"/>
      <c r="L23" s="70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AB23"/>
      <c r="AC23"/>
      <c r="AD23" s="72" t="s">
        <v>103</v>
      </c>
      <c r="AE23" s="72" t="s">
        <v>104</v>
      </c>
      <c r="AF23" s="72" t="s">
        <v>105</v>
      </c>
      <c r="AG23"/>
      <c r="AH23"/>
      <c r="AI23"/>
      <c r="AJ23"/>
      <c r="AK23"/>
      <c r="AL23"/>
    </row>
    <row r="24" spans="1:38" ht="15.95">
      <c r="A24" s="54"/>
      <c r="B24" s="146"/>
      <c r="C24" s="146"/>
      <c r="D24" s="146"/>
      <c r="F24" s="38"/>
      <c r="G24" s="20"/>
      <c r="H24" s="40"/>
      <c r="I24" s="40"/>
      <c r="J24" s="40"/>
      <c r="L24" s="19"/>
      <c r="AC24" t="s">
        <v>106</v>
      </c>
      <c r="AD24">
        <v>38</v>
      </c>
      <c r="AE24">
        <v>600</v>
      </c>
    </row>
    <row r="25" spans="1:38" ht="15.95">
      <c r="A25" s="6"/>
      <c r="B25" s="6"/>
      <c r="C25" s="6"/>
      <c r="D25" s="6"/>
      <c r="F25" s="38"/>
      <c r="G25" s="20"/>
      <c r="H25" s="40"/>
      <c r="I25" s="40"/>
      <c r="J25" s="40"/>
      <c r="L25" s="19"/>
      <c r="AC25" t="s">
        <v>107</v>
      </c>
      <c r="AD25">
        <f>0.44*AD24</f>
        <v>16.72</v>
      </c>
      <c r="AE25">
        <f>0.27*AE24</f>
        <v>162</v>
      </c>
      <c r="AF25" s="73">
        <f>(AD25*10^9*1000)/(AE25*AC$29)</f>
        <v>108.89415123782429</v>
      </c>
    </row>
    <row r="26" spans="1:38" ht="15.95">
      <c r="A26" s="6"/>
      <c r="B26" s="6"/>
      <c r="C26" s="6"/>
      <c r="D26" s="6"/>
      <c r="F26" s="38" t="s">
        <v>108</v>
      </c>
      <c r="G26" s="20"/>
      <c r="H26" s="40"/>
      <c r="I26" s="40"/>
      <c r="J26" s="40"/>
      <c r="L26" s="19"/>
      <c r="AC26" t="s">
        <v>109</v>
      </c>
      <c r="AD26">
        <f>0.22*AD24</f>
        <v>8.36</v>
      </c>
      <c r="AE26">
        <f>0.23*AE24</f>
        <v>138</v>
      </c>
      <c r="AF26" s="73">
        <f>(AD26*10^9*1000)/(AE26*AC$29)</f>
        <v>63.916132248288172</v>
      </c>
    </row>
    <row r="27" spans="1:38" ht="15.95">
      <c r="A27" s="6"/>
      <c r="B27" s="6"/>
      <c r="C27" s="6"/>
      <c r="D27" s="6"/>
      <c r="F27" s="38" t="s">
        <v>110</v>
      </c>
      <c r="G27" s="74">
        <v>0.8</v>
      </c>
      <c r="H27" s="75">
        <v>0.9</v>
      </c>
      <c r="I27" s="75">
        <v>0.98</v>
      </c>
      <c r="J27" s="76"/>
      <c r="L27" s="77" t="s">
        <v>111</v>
      </c>
      <c r="AC27" t="s">
        <v>112</v>
      </c>
    </row>
    <row r="28" spans="1:38" ht="15.95">
      <c r="A28" s="147"/>
      <c r="B28" s="147"/>
      <c r="C28" s="147"/>
      <c r="D28" s="147"/>
      <c r="E28" s="70"/>
      <c r="F28" s="38" t="s">
        <v>113</v>
      </c>
      <c r="G28" s="78">
        <v>29.8</v>
      </c>
      <c r="H28" s="78">
        <v>82.5</v>
      </c>
      <c r="I28" s="75"/>
      <c r="J28" s="40"/>
      <c r="L28" s="19"/>
    </row>
    <row r="29" spans="1:38" ht="15.95">
      <c r="A29" s="6"/>
      <c r="B29" s="6"/>
      <c r="C29" s="6"/>
      <c r="D29" s="6"/>
      <c r="F29" s="38" t="s">
        <v>114</v>
      </c>
      <c r="G29" s="79">
        <f>G19/G20</f>
        <v>4.1111111111111112E-2</v>
      </c>
      <c r="H29" s="80">
        <v>1</v>
      </c>
      <c r="I29" s="81">
        <f>I19/G20</f>
        <v>2.2750000000000004</v>
      </c>
      <c r="J29" s="40"/>
      <c r="L29" s="68" t="s">
        <v>115</v>
      </c>
      <c r="AC29">
        <f>947.8*10^6</f>
        <v>947800000</v>
      </c>
      <c r="AD29" s="82" t="s">
        <v>116</v>
      </c>
    </row>
    <row r="30" spans="1:38" ht="15.95">
      <c r="A30" s="6"/>
      <c r="B30" s="6"/>
      <c r="C30" s="6"/>
      <c r="D30" s="6"/>
      <c r="F30" s="38" t="s">
        <v>117</v>
      </c>
      <c r="G30" s="80">
        <v>-94</v>
      </c>
      <c r="H30" s="80">
        <v>-367</v>
      </c>
      <c r="I30" s="80"/>
      <c r="J30" s="83"/>
      <c r="AC30">
        <v>0.27800000000000002</v>
      </c>
      <c r="AD30" s="84" t="s">
        <v>118</v>
      </c>
    </row>
    <row r="31" spans="1:38" ht="15.95">
      <c r="A31" s="6"/>
      <c r="B31" s="6"/>
      <c r="C31" s="6"/>
      <c r="D31" s="6"/>
      <c r="F31" s="38" t="s">
        <v>119</v>
      </c>
      <c r="G31" s="85">
        <v>5.0000000000000001E-3</v>
      </c>
      <c r="H31" s="75">
        <v>0.01</v>
      </c>
      <c r="I31" s="75">
        <v>3.2000000000000001E-2</v>
      </c>
      <c r="J31" s="40"/>
      <c r="L31" s="8" t="s">
        <v>120</v>
      </c>
      <c r="AB31" s="67"/>
      <c r="AC31">
        <v>1055</v>
      </c>
      <c r="AD31" s="82" t="s">
        <v>121</v>
      </c>
      <c r="AE31" s="67"/>
      <c r="AF31" s="67"/>
      <c r="AG31" s="67"/>
      <c r="AH31" s="67"/>
      <c r="AI31" s="67"/>
      <c r="AJ31" s="67"/>
      <c r="AK31" s="67"/>
      <c r="AL31" s="67"/>
    </row>
    <row r="32" spans="1:38" ht="15.95">
      <c r="A32" s="6"/>
      <c r="B32" s="148"/>
      <c r="C32" s="148"/>
      <c r="D32" s="148"/>
      <c r="F32" s="38"/>
      <c r="G32" s="74"/>
      <c r="H32" s="86"/>
      <c r="I32" s="86"/>
      <c r="J32" s="40"/>
    </row>
    <row r="33" spans="1:30" ht="15.95">
      <c r="A33" s="6"/>
      <c r="B33" s="6"/>
      <c r="C33" s="6"/>
      <c r="D33" s="6"/>
      <c r="F33" s="87" t="s">
        <v>122</v>
      </c>
      <c r="G33" s="88"/>
      <c r="H33" s="89"/>
      <c r="I33" s="89"/>
      <c r="J33" s="90"/>
    </row>
    <row r="34" spans="1:30" ht="15.95">
      <c r="A34" s="6"/>
      <c r="B34" s="6"/>
      <c r="C34" s="6"/>
      <c r="D34" s="6"/>
      <c r="F34" s="91" t="s">
        <v>123</v>
      </c>
      <c r="G34" s="91"/>
      <c r="H34" s="90"/>
      <c r="I34" s="90"/>
      <c r="J34" s="90"/>
      <c r="AD34">
        <f>0.36*AC30*AC31</f>
        <v>105.5844</v>
      </c>
    </row>
    <row r="35" spans="1:30" ht="15.95">
      <c r="A35" s="6"/>
      <c r="B35" s="6"/>
      <c r="C35" s="6"/>
      <c r="D35" s="6"/>
      <c r="F35" s="92" t="s">
        <v>124</v>
      </c>
      <c r="G35" s="20">
        <f>$B$4*$B$7/$G$16/$G$14*$G$12*$B$9</f>
        <v>2.5579439252336451</v>
      </c>
      <c r="H35" s="90"/>
      <c r="I35" s="90"/>
      <c r="J35" s="90"/>
      <c r="Q35" s="8" t="s">
        <v>125</v>
      </c>
    </row>
    <row r="36" spans="1:30" ht="15.95">
      <c r="A36" s="6"/>
      <c r="B36" s="6"/>
      <c r="C36" s="6"/>
      <c r="D36" s="6"/>
      <c r="F36" s="92" t="s">
        <v>126</v>
      </c>
      <c r="G36" s="20">
        <f>$B$13*$G$12/$G$14*$G$18/$G$17/$G$16*(1-$B$14)*$B$10</f>
        <v>-2.8451677598414071</v>
      </c>
      <c r="H36" s="90"/>
      <c r="I36" s="90"/>
      <c r="J36" s="90"/>
      <c r="Q36" s="93" t="s">
        <v>127</v>
      </c>
    </row>
    <row r="37" spans="1:30" ht="15.95">
      <c r="A37" s="6"/>
      <c r="B37" s="6"/>
      <c r="C37" s="6"/>
      <c r="D37" s="6"/>
      <c r="F37" s="92" t="s">
        <v>128</v>
      </c>
      <c r="G37" s="20">
        <f>$B$5</f>
        <v>92.439142200000006</v>
      </c>
      <c r="H37" s="90"/>
      <c r="I37" s="90"/>
      <c r="J37" s="90"/>
    </row>
    <row r="38" spans="1:30" ht="15.95">
      <c r="A38" s="6"/>
      <c r="B38" s="6"/>
      <c r="C38" s="6"/>
      <c r="D38" s="6"/>
      <c r="F38" s="94" t="s">
        <v>129</v>
      </c>
      <c r="G38" s="95">
        <f>G35+G36+G37</f>
        <v>92.151918365392248</v>
      </c>
      <c r="H38" s="90"/>
      <c r="I38" s="90"/>
      <c r="J38" s="90"/>
      <c r="Q38" s="8" t="s">
        <v>130</v>
      </c>
    </row>
    <row r="39" spans="1:30" ht="15.75" customHeight="1">
      <c r="A39" s="6"/>
      <c r="B39" s="6"/>
      <c r="C39" s="6"/>
      <c r="D39" s="6"/>
      <c r="F39" s="91" t="s">
        <v>131</v>
      </c>
      <c r="H39" s="90"/>
      <c r="I39" s="90"/>
      <c r="J39" s="90"/>
      <c r="Q39" s="8">
        <v>10.7</v>
      </c>
      <c r="R39" s="8" t="s">
        <v>132</v>
      </c>
    </row>
    <row r="40" spans="1:30" ht="15.95">
      <c r="A40" s="6"/>
      <c r="B40" s="6"/>
      <c r="C40" s="6"/>
      <c r="D40" s="6"/>
      <c r="F40" s="92" t="s">
        <v>133</v>
      </c>
      <c r="G40" s="20">
        <f>$B$8*$G$20/$G$21*$G$13*$B$9</f>
        <v>23.183435839337992</v>
      </c>
      <c r="H40" s="90"/>
      <c r="I40" s="90"/>
      <c r="J40" s="90"/>
      <c r="L40" s="68"/>
    </row>
    <row r="41" spans="1:30" ht="15.75" customHeight="1">
      <c r="A41" s="6"/>
      <c r="B41" s="6"/>
      <c r="C41" s="6"/>
      <c r="D41" s="6"/>
      <c r="F41" s="92" t="s">
        <v>134</v>
      </c>
      <c r="G41" s="20">
        <f>$B$12/$G$23*$G$15*$G$18/$G$17*(1-$B$11)*$B$10</f>
        <v>-29.25938427288758</v>
      </c>
      <c r="H41" s="97"/>
      <c r="I41" s="90"/>
      <c r="J41" s="90"/>
      <c r="Q41" s="8" t="s">
        <v>135</v>
      </c>
    </row>
    <row r="42" spans="1:30" ht="15.95">
      <c r="A42" s="6"/>
      <c r="B42" s="6"/>
      <c r="C42" s="6"/>
      <c r="D42" s="6"/>
      <c r="F42" s="92" t="s">
        <v>136</v>
      </c>
      <c r="G42" s="20">
        <f>$B$6</f>
        <v>98</v>
      </c>
      <c r="H42" s="90"/>
      <c r="I42" s="90"/>
      <c r="J42" s="90"/>
      <c r="Q42" s="8">
        <v>5400</v>
      </c>
      <c r="R42" s="8" t="s">
        <v>137</v>
      </c>
    </row>
    <row r="43" spans="1:30" ht="15.95">
      <c r="A43" s="6"/>
      <c r="B43" s="6"/>
      <c r="C43" s="6"/>
      <c r="D43" s="6"/>
      <c r="F43" s="94" t="s">
        <v>138</v>
      </c>
      <c r="G43" s="95">
        <f t="shared" ref="G43" si="2">SUM(G40:G42)</f>
        <v>91.924051566450416</v>
      </c>
      <c r="H43" s="90"/>
      <c r="I43" s="90"/>
      <c r="J43" s="90"/>
      <c r="Q43" s="8">
        <v>0.65700000000000003</v>
      </c>
      <c r="R43" s="8" t="s">
        <v>139</v>
      </c>
    </row>
    <row r="44" spans="1:30" ht="15.95">
      <c r="A44" s="6"/>
      <c r="B44" s="6"/>
      <c r="C44" s="6"/>
      <c r="D44" s="6"/>
      <c r="F44" s="87"/>
      <c r="G44" s="98"/>
      <c r="H44" s="90"/>
      <c r="I44" s="90"/>
      <c r="J44" s="90"/>
      <c r="Q44" s="8">
        <f>Q42/Q43</f>
        <v>8219.17808219178</v>
      </c>
      <c r="R44" s="8" t="s">
        <v>140</v>
      </c>
    </row>
    <row r="45" spans="1:30" ht="15.95">
      <c r="A45" s="6"/>
      <c r="B45" s="6"/>
      <c r="C45" s="6"/>
      <c r="D45" s="6"/>
      <c r="F45" s="87"/>
      <c r="G45" s="98"/>
      <c r="H45" s="90"/>
      <c r="I45" s="90"/>
      <c r="J45" s="90"/>
      <c r="Q45" s="8">
        <f>Q44*24*365</f>
        <v>72000000</v>
      </c>
      <c r="R45" s="8" t="s">
        <v>141</v>
      </c>
    </row>
    <row r="46" spans="1:30" ht="15.95">
      <c r="A46" s="6"/>
      <c r="B46" s="6"/>
      <c r="C46" s="6"/>
      <c r="D46" s="6"/>
      <c r="F46" s="99"/>
      <c r="G46" s="100"/>
      <c r="H46" s="90"/>
      <c r="I46" s="90"/>
      <c r="J46" s="90"/>
      <c r="Q46" s="8">
        <f>Q45/(Q39*10^6)</f>
        <v>6.7289719626168223</v>
      </c>
      <c r="R46" s="8" t="s">
        <v>142</v>
      </c>
    </row>
    <row r="47" spans="1:30" ht="15.95">
      <c r="A47" s="46"/>
      <c r="B47" s="46"/>
      <c r="C47" s="46"/>
      <c r="D47" s="46"/>
      <c r="F47" s="99"/>
      <c r="G47" s="100"/>
      <c r="H47" s="90"/>
      <c r="I47" s="90"/>
      <c r="J47" s="90"/>
      <c r="R47" s="8" t="s">
        <v>143</v>
      </c>
    </row>
    <row r="48" spans="1:30" ht="15.95">
      <c r="A48" s="9"/>
      <c r="B48" s="149"/>
      <c r="C48" s="149"/>
      <c r="D48" s="149"/>
      <c r="F48" s="87"/>
      <c r="G48" s="101"/>
      <c r="H48" s="90"/>
      <c r="I48" s="90"/>
      <c r="J48" s="90"/>
    </row>
    <row r="49" spans="1:29" ht="15.95">
      <c r="A49" s="150"/>
      <c r="B49" s="6"/>
      <c r="C49" s="6"/>
      <c r="D49" s="6"/>
      <c r="E49" s="102"/>
      <c r="F49" s="87"/>
      <c r="G49" s="98"/>
      <c r="H49" s="90"/>
      <c r="I49" s="90"/>
      <c r="J49" s="90"/>
    </row>
    <row r="50" spans="1:29" ht="15.95">
      <c r="A50" s="150"/>
      <c r="B50" s="6"/>
      <c r="C50" s="6"/>
      <c r="D50" s="6"/>
      <c r="E50" s="102"/>
      <c r="F50" s="99"/>
      <c r="G50" s="100"/>
      <c r="H50" s="90"/>
      <c r="I50" s="90"/>
      <c r="J50" s="90"/>
    </row>
    <row r="51" spans="1:29" ht="15.95">
      <c r="A51" s="150"/>
      <c r="B51" s="6"/>
      <c r="C51" s="6"/>
      <c r="D51" s="6"/>
      <c r="E51" s="103"/>
      <c r="F51" s="99"/>
      <c r="G51" s="100"/>
      <c r="H51" s="90"/>
      <c r="I51" s="90"/>
      <c r="J51" s="90"/>
      <c r="K51" s="104"/>
    </row>
    <row r="52" spans="1:29" ht="15.95">
      <c r="A52" s="150"/>
      <c r="B52" s="6"/>
      <c r="C52" s="6"/>
      <c r="D52" s="6"/>
      <c r="E52" s="103"/>
      <c r="F52" s="99"/>
      <c r="G52" s="100"/>
      <c r="H52" s="97"/>
      <c r="I52" s="90"/>
      <c r="J52" s="90"/>
      <c r="K52" s="105"/>
    </row>
    <row r="53" spans="1:29" ht="15.95">
      <c r="A53" s="46"/>
      <c r="B53" s="6"/>
      <c r="C53" s="6"/>
      <c r="D53" s="6"/>
      <c r="F53" s="87"/>
      <c r="G53" s="101"/>
      <c r="H53" s="90"/>
      <c r="I53" s="90"/>
      <c r="J53" s="90"/>
      <c r="K53" s="105"/>
    </row>
    <row r="54" spans="1:29" ht="15.95">
      <c r="A54" s="46"/>
      <c r="B54" s="6"/>
      <c r="C54" s="6"/>
      <c r="D54" s="6"/>
      <c r="F54" s="87"/>
      <c r="G54" s="98"/>
      <c r="H54" s="90"/>
      <c r="I54" s="90"/>
      <c r="J54" s="90"/>
      <c r="K54" s="106"/>
    </row>
    <row r="55" spans="1:29" ht="15.95">
      <c r="A55" s="65"/>
      <c r="B55" s="6"/>
      <c r="C55" s="6"/>
      <c r="D55" s="6"/>
      <c r="E55" s="107"/>
      <c r="F55" s="87"/>
      <c r="G55" s="98"/>
      <c r="H55" s="90"/>
      <c r="AC55" t="s">
        <v>144</v>
      </c>
    </row>
    <row r="56" spans="1:29" ht="15.95">
      <c r="A56" s="65"/>
      <c r="B56" s="6"/>
      <c r="C56" s="6"/>
      <c r="D56" s="6"/>
      <c r="E56" s="107"/>
    </row>
    <row r="57" spans="1:29" ht="15.95">
      <c r="A57" s="54"/>
      <c r="B57" s="6"/>
      <c r="C57" s="6"/>
      <c r="D57" s="6"/>
      <c r="E57" s="109"/>
      <c r="K57" s="110"/>
    </row>
    <row r="58" spans="1:29" ht="15.95">
      <c r="A58" s="46"/>
      <c r="B58" s="46"/>
      <c r="C58" s="46"/>
      <c r="D58" s="46"/>
      <c r="K58" s="110"/>
    </row>
    <row r="59" spans="1:29" ht="228" customHeight="1">
      <c r="A59" s="65"/>
      <c r="B59" s="65"/>
      <c r="C59" s="65"/>
      <c r="D59" s="65"/>
      <c r="E59" s="107"/>
      <c r="K59" s="110"/>
    </row>
    <row r="60" spans="1:29" ht="15.95">
      <c r="A60" s="65"/>
      <c r="B60" s="65"/>
      <c r="C60" s="65"/>
      <c r="D60" s="65"/>
      <c r="E60" s="107"/>
    </row>
    <row r="61" spans="1:29" ht="15.95">
      <c r="A61" s="54"/>
      <c r="B61" s="54"/>
      <c r="C61" s="54"/>
      <c r="D61" s="54"/>
      <c r="E61" s="109"/>
    </row>
    <row r="62" spans="1:29" ht="15.95">
      <c r="A62" s="6"/>
      <c r="B62" s="6"/>
      <c r="C62" s="6"/>
      <c r="D62" s="6"/>
    </row>
    <row r="63" spans="1:29" ht="15.95">
      <c r="A63" s="6"/>
      <c r="B63" s="6"/>
      <c r="C63" s="6"/>
      <c r="D63" s="6"/>
      <c r="E63" s="111"/>
    </row>
    <row r="64" spans="1:29" ht="15.95">
      <c r="A64" s="6"/>
      <c r="B64" s="46"/>
      <c r="C64" s="46"/>
      <c r="D64" s="46"/>
    </row>
    <row r="65" spans="1:12" ht="15.95">
      <c r="A65" s="151"/>
      <c r="B65" s="152"/>
      <c r="C65" s="152"/>
      <c r="D65" s="152"/>
    </row>
    <row r="66" spans="1:12" ht="15.95">
      <c r="A66" s="153"/>
      <c r="B66" s="154"/>
      <c r="C66" s="154"/>
      <c r="D66" s="154"/>
    </row>
    <row r="67" spans="1:12" ht="15.95">
      <c r="A67" s="155"/>
      <c r="B67" s="152"/>
      <c r="C67" s="152"/>
      <c r="D67" s="152"/>
      <c r="K67" s="112"/>
    </row>
    <row r="68" spans="1:12" ht="15.95">
      <c r="A68" s="148"/>
      <c r="B68" s="152"/>
      <c r="C68" s="152"/>
      <c r="D68" s="152"/>
      <c r="E68" s="102"/>
    </row>
    <row r="69" spans="1:12" ht="15.95">
      <c r="A69" s="156"/>
      <c r="B69" s="157"/>
      <c r="C69" s="157"/>
      <c r="D69" s="157"/>
      <c r="E69" s="102"/>
    </row>
    <row r="70" spans="1:12" ht="15.95">
      <c r="A70" s="155"/>
      <c r="B70" s="152"/>
      <c r="C70" s="152"/>
      <c r="D70" s="152"/>
      <c r="E70" s="103"/>
    </row>
    <row r="71" spans="1:12" ht="15.95">
      <c r="A71" s="155"/>
      <c r="B71" s="152"/>
      <c r="C71" s="152"/>
      <c r="D71" s="152"/>
      <c r="E71" s="103"/>
    </row>
    <row r="72" spans="1:12" ht="15.95">
      <c r="A72" s="155"/>
      <c r="B72" s="152"/>
      <c r="C72" s="152"/>
      <c r="D72" s="152"/>
      <c r="E72" s="113"/>
    </row>
    <row r="73" spans="1:12" ht="15.95">
      <c r="A73" s="150"/>
      <c r="B73" s="150"/>
      <c r="C73" s="150"/>
      <c r="D73" s="150"/>
      <c r="E73" s="114"/>
      <c r="F73" s="115"/>
      <c r="G73" s="116"/>
      <c r="I73" s="116"/>
      <c r="J73" s="116"/>
    </row>
    <row r="74" spans="1:12" ht="15.95">
      <c r="A74" s="150"/>
      <c r="B74" s="150"/>
      <c r="C74" s="150"/>
      <c r="D74" s="150"/>
      <c r="E74" s="117"/>
      <c r="F74" s="96"/>
      <c r="G74" s="108"/>
      <c r="H74" s="98"/>
      <c r="I74" s="116"/>
      <c r="J74" s="98"/>
      <c r="L74" s="71"/>
    </row>
    <row r="75" spans="1:12" ht="15.95">
      <c r="A75" s="46"/>
      <c r="B75" s="46"/>
      <c r="C75" s="46"/>
      <c r="D75" s="46"/>
      <c r="F75" s="96"/>
      <c r="G75" s="108"/>
      <c r="H75" s="98"/>
      <c r="I75" s="98"/>
      <c r="J75" s="98"/>
    </row>
    <row r="76" spans="1:12" ht="15.95">
      <c r="A76" s="46"/>
      <c r="B76" s="46"/>
      <c r="C76" s="46"/>
      <c r="D76" s="46"/>
      <c r="F76" s="96"/>
      <c r="G76" s="108"/>
      <c r="H76" s="98"/>
      <c r="I76" s="98"/>
      <c r="J76" s="98"/>
    </row>
    <row r="77" spans="1:12" ht="15.95">
      <c r="A77" s="65"/>
      <c r="B77" s="65"/>
      <c r="C77" s="65"/>
      <c r="D77" s="65"/>
      <c r="E77" s="107"/>
      <c r="F77" s="96"/>
      <c r="G77" s="108"/>
      <c r="H77" s="118"/>
      <c r="I77" s="98"/>
    </row>
    <row r="78" spans="1:12" ht="15.95">
      <c r="A78" s="65"/>
      <c r="B78" s="65"/>
      <c r="C78" s="65"/>
      <c r="D78" s="65"/>
      <c r="E78" s="107"/>
      <c r="F78" s="119"/>
      <c r="G78" s="108"/>
      <c r="H78" s="118"/>
      <c r="K78" s="67"/>
    </row>
    <row r="79" spans="1:12" ht="15.95">
      <c r="A79" s="54"/>
      <c r="B79" s="54"/>
      <c r="C79" s="54"/>
      <c r="D79" s="54"/>
      <c r="E79" s="109"/>
      <c r="F79" s="119"/>
      <c r="G79" s="108"/>
      <c r="H79" s="120"/>
    </row>
    <row r="80" spans="1:12" ht="15.95">
      <c r="A80" s="46"/>
      <c r="B80" s="46"/>
      <c r="C80" s="46"/>
      <c r="D80" s="46"/>
      <c r="F80" s="98"/>
      <c r="G80" s="121"/>
      <c r="I80" s="120"/>
    </row>
    <row r="81" spans="1:11" ht="15.95">
      <c r="A81" s="65"/>
      <c r="B81" s="65"/>
      <c r="C81" s="65"/>
      <c r="D81" s="65"/>
      <c r="E81" s="107"/>
      <c r="F81" s="98"/>
      <c r="G81" s="121"/>
    </row>
    <row r="82" spans="1:11" ht="15.95">
      <c r="A82" s="65"/>
      <c r="B82" s="65"/>
      <c r="C82" s="65"/>
      <c r="D82" s="65"/>
      <c r="E82" s="107"/>
      <c r="F82" s="121"/>
      <c r="K82" s="112"/>
    </row>
    <row r="83" spans="1:11" ht="15.95">
      <c r="A83" s="65"/>
      <c r="B83" s="65"/>
      <c r="C83" s="65"/>
      <c r="D83" s="65"/>
      <c r="E83" s="107"/>
      <c r="F83" s="121"/>
    </row>
    <row r="84" spans="1:11" ht="15.95">
      <c r="A84" s="54"/>
      <c r="B84" s="54"/>
      <c r="C84" s="54"/>
      <c r="D84" s="54"/>
      <c r="E84" s="109"/>
      <c r="F84" s="121"/>
      <c r="G84" s="122"/>
    </row>
    <row r="85" spans="1:11" ht="15.95">
      <c r="A85" s="6"/>
      <c r="B85" s="6"/>
      <c r="C85" s="6"/>
      <c r="D85" s="6"/>
      <c r="F85" s="121"/>
      <c r="G85" s="123"/>
    </row>
    <row r="86" spans="1:11" ht="15.95">
      <c r="A86" s="46"/>
      <c r="B86" s="46"/>
      <c r="C86" s="46"/>
      <c r="D86" s="46"/>
      <c r="E86" s="111"/>
      <c r="F86" s="121"/>
      <c r="G86" s="123"/>
    </row>
    <row r="87" spans="1:11" ht="15.95">
      <c r="A87" s="6"/>
      <c r="B87" s="6"/>
      <c r="C87" s="6"/>
      <c r="D87" s="6"/>
      <c r="F87" s="121"/>
      <c r="G87" s="123"/>
    </row>
    <row r="88" spans="1:11" ht="64.5" customHeight="1">
      <c r="A88" s="6"/>
      <c r="B88" s="6"/>
      <c r="C88" s="6"/>
      <c r="D88" s="6"/>
      <c r="F88" s="121"/>
      <c r="G88" s="123"/>
    </row>
    <row r="89" spans="1:11" ht="15.95">
      <c r="A89" s="6"/>
      <c r="B89" s="6"/>
      <c r="C89" s="6"/>
      <c r="D89" s="6"/>
      <c r="F89" s="121"/>
      <c r="G89" s="123"/>
    </row>
    <row r="90" spans="1:11" ht="15.95">
      <c r="A90" s="6"/>
      <c r="B90" s="6"/>
      <c r="C90" s="6"/>
      <c r="D90" s="6"/>
      <c r="F90" s="121"/>
      <c r="G90" s="123"/>
      <c r="I90" s="124"/>
      <c r="J90" s="124"/>
    </row>
    <row r="91" spans="1:11" ht="15.95">
      <c r="A91" s="6"/>
      <c r="B91" s="6"/>
      <c r="C91" s="6"/>
      <c r="D91" s="6"/>
      <c r="F91" s="115"/>
      <c r="H91" s="124"/>
    </row>
    <row r="92" spans="1:11" ht="15.95">
      <c r="A92" s="6"/>
      <c r="B92" s="6"/>
      <c r="C92" s="6"/>
      <c r="D92" s="6"/>
      <c r="F92" s="121"/>
    </row>
    <row r="93" spans="1:11" ht="18.95">
      <c r="A93" s="6"/>
      <c r="B93" s="158"/>
      <c r="C93" s="158"/>
      <c r="D93" s="158"/>
      <c r="G93" s="125"/>
    </row>
    <row r="94" spans="1:11" ht="18.95">
      <c r="A94" s="6"/>
      <c r="B94" s="158"/>
      <c r="C94" s="158"/>
      <c r="D94" s="158"/>
      <c r="F94" s="121"/>
      <c r="G94" s="126"/>
    </row>
    <row r="95" spans="1:11" ht="18.95">
      <c r="A95" s="6"/>
      <c r="B95" s="159"/>
      <c r="C95" s="159"/>
      <c r="D95" s="159"/>
      <c r="F95" s="115"/>
      <c r="G95" s="126"/>
    </row>
    <row r="96" spans="1:11" ht="18.95">
      <c r="A96" s="6"/>
      <c r="B96" s="160"/>
      <c r="C96" s="160"/>
      <c r="D96" s="160"/>
      <c r="F96" s="115"/>
      <c r="G96" s="126"/>
    </row>
    <row r="97" spans="1:10" ht="18.95">
      <c r="A97" s="6"/>
      <c r="B97" s="160"/>
      <c r="C97" s="160"/>
      <c r="D97" s="160"/>
      <c r="F97" s="115"/>
      <c r="G97" s="126"/>
    </row>
    <row r="98" spans="1:10" ht="18.95">
      <c r="A98" s="6"/>
      <c r="B98" s="160"/>
      <c r="C98" s="160"/>
      <c r="D98" s="160"/>
      <c r="F98" s="115"/>
      <c r="G98" s="127"/>
      <c r="I98" s="128"/>
    </row>
    <row r="99" spans="1:10" ht="15.95">
      <c r="A99" s="6"/>
      <c r="B99" s="6"/>
      <c r="C99" s="6"/>
      <c r="D99" s="6"/>
      <c r="F99" s="115"/>
      <c r="G99" s="129"/>
      <c r="I99" s="128"/>
    </row>
    <row r="100" spans="1:10" ht="15.95">
      <c r="A100" s="6"/>
      <c r="B100" s="6"/>
      <c r="C100" s="6"/>
      <c r="D100" s="6"/>
      <c r="F100" s="115"/>
      <c r="I100" s="130"/>
      <c r="J100" s="130"/>
    </row>
    <row r="101" spans="1:10" ht="15.95">
      <c r="A101" s="6"/>
      <c r="B101" s="6"/>
      <c r="C101" s="6"/>
      <c r="D101" s="6"/>
      <c r="F101" s="115"/>
      <c r="G101" s="131"/>
      <c r="H101" s="130"/>
      <c r="I101" s="132"/>
    </row>
    <row r="102" spans="1:10" ht="15.95">
      <c r="A102" s="6"/>
      <c r="B102" s="6"/>
      <c r="C102" s="6"/>
      <c r="D102" s="6"/>
      <c r="F102" s="121"/>
      <c r="G102" s="131"/>
    </row>
    <row r="103" spans="1:10" ht="15.75" customHeight="1">
      <c r="A103" s="6"/>
      <c r="B103" s="6"/>
      <c r="C103" s="6"/>
      <c r="D103" s="6"/>
      <c r="F103" s="115"/>
      <c r="G103" s="131"/>
      <c r="I103" s="133"/>
      <c r="J103" s="134"/>
    </row>
    <row r="104" spans="1:10" ht="15.75" customHeight="1">
      <c r="A104" s="6"/>
      <c r="B104" s="6"/>
      <c r="C104" s="6"/>
      <c r="D104" s="6"/>
      <c r="G104" s="135"/>
      <c r="H104" s="136"/>
    </row>
    <row r="105" spans="1:10" ht="15.75" customHeight="1">
      <c r="A105" s="6"/>
      <c r="B105" s="6"/>
      <c r="C105" s="6"/>
      <c r="D105" s="6"/>
      <c r="F105" s="137"/>
      <c r="G105" s="125"/>
    </row>
    <row r="106" spans="1:10" ht="15.75" customHeight="1">
      <c r="A106" s="6"/>
      <c r="B106" s="6"/>
      <c r="C106" s="6"/>
      <c r="D106" s="6"/>
      <c r="F106" s="138"/>
      <c r="G106" s="139"/>
    </row>
    <row r="107" spans="1:10" ht="15.75" customHeight="1">
      <c r="A107" s="6"/>
      <c r="B107" s="6"/>
      <c r="C107" s="6"/>
      <c r="D107" s="6"/>
      <c r="F107" s="138"/>
      <c r="G107" s="139"/>
    </row>
    <row r="108" spans="1:10" ht="15.75" customHeight="1">
      <c r="A108" s="6"/>
      <c r="B108" s="6"/>
      <c r="C108" s="6"/>
      <c r="D108" s="6"/>
      <c r="F108" s="140"/>
      <c r="G108" s="141"/>
    </row>
    <row r="109" spans="1:10" ht="15.75" customHeight="1">
      <c r="A109" s="6"/>
      <c r="B109" s="6"/>
      <c r="C109" s="6"/>
      <c r="D109" s="6"/>
      <c r="F109" s="142"/>
      <c r="G109" s="143"/>
    </row>
    <row r="110" spans="1:10" ht="15.75" customHeight="1">
      <c r="F110" s="115"/>
      <c r="I110" s="130"/>
      <c r="J110" s="130"/>
    </row>
    <row r="111" spans="1:10" ht="15.75" customHeight="1">
      <c r="F111" s="140"/>
      <c r="H111" s="130"/>
      <c r="I111" s="130"/>
      <c r="J111" s="130"/>
    </row>
    <row r="112" spans="1:10" ht="15.75" customHeight="1">
      <c r="F112" s="138"/>
      <c r="G112" s="139"/>
      <c r="H112" s="130"/>
      <c r="I112" s="130"/>
      <c r="J112" s="130"/>
    </row>
    <row r="113" spans="6:10" ht="15.75" customHeight="1">
      <c r="F113" s="138"/>
      <c r="G113" s="139"/>
      <c r="H113" s="130"/>
      <c r="I113" s="130"/>
      <c r="J113" s="130"/>
    </row>
    <row r="114" spans="6:10" ht="15.75" customHeight="1">
      <c r="F114" s="140"/>
      <c r="G114" s="144"/>
      <c r="H114" s="130"/>
      <c r="I114" s="130"/>
      <c r="J114" s="130"/>
    </row>
    <row r="115" spans="6:10" ht="15.75" customHeight="1">
      <c r="F115" s="138"/>
      <c r="G115" s="139"/>
      <c r="H115" s="130"/>
    </row>
    <row r="116" spans="6:10" ht="15.75" customHeight="1">
      <c r="F116" s="138"/>
      <c r="G116" s="145"/>
    </row>
    <row r="117" spans="6:10" ht="15.75" customHeight="1">
      <c r="F117" s="138"/>
      <c r="G117" s="145"/>
    </row>
    <row r="118" spans="6:10" ht="15.75" customHeight="1">
      <c r="F118" s="140"/>
      <c r="G118" s="144"/>
      <c r="I118" s="5"/>
      <c r="J118" s="5"/>
    </row>
    <row r="119" spans="6:10" ht="15.75" customHeight="1">
      <c r="H119" s="5"/>
    </row>
  </sheetData>
  <hyperlinks>
    <hyperlink ref="AC17" r:id="rId1" xr:uid="{8B3332F1-EB70-714D-84C9-DDF63AFA5AB6}"/>
    <hyperlink ref="AF22" r:id="rId2" xr:uid="{40442FF7-A1AE-B94C-8532-B521E65D9AF6}"/>
    <hyperlink ref="L20" r:id="rId3" location="appsec1" display="https://www.sciencedirect.com/science/article/pii/S0959652620305369?via%3Dihub#appsec1" xr:uid="{EEB6B24B-FD6E-D144-8D9C-3C1446E2789D}"/>
    <hyperlink ref="L27" r:id="rId4" xr:uid="{336DFF79-A8E8-024E-9367-1EF70AC8BC77}"/>
    <hyperlink ref="Q36" r:id="rId5" xr:uid="{BB2C3048-532E-E041-9310-5C9BF7BF52C7}"/>
  </hyperlinks>
  <pageMargins left="0.7" right="0.7" top="0.75" bottom="0.75" header="0.3" footer="0.3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Debbie Gordon</dc:creator>
  <cp:keywords/>
  <dc:description/>
  <cp:lastModifiedBy>Shannon Hughes</cp:lastModifiedBy>
  <cp:revision/>
  <dcterms:created xsi:type="dcterms:W3CDTF">2023-09-14T20:46:18Z</dcterms:created>
  <dcterms:modified xsi:type="dcterms:W3CDTF">2023-10-16T19:16:22Z</dcterms:modified>
  <cp:category/>
  <cp:contentStatus/>
</cp:coreProperties>
</file>