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kkroh/Documents/"/>
    </mc:Choice>
  </mc:AlternateContent>
  <xr:revisionPtr revIDLastSave="0" documentId="8_{CED07805-F747-FC44-B519-52DCEFE59D12}" xr6:coauthVersionLast="45" xr6:coauthVersionMax="45" xr10:uidLastSave="{00000000-0000-0000-0000-000000000000}"/>
  <bookViews>
    <workbookView xWindow="0" yWindow="460" windowWidth="23260" windowHeight="12580" xr2:uid="{1B6FE3F9-57F3-4AC6-BAFD-F06D0B6AAFB5}"/>
  </bookViews>
  <sheets>
    <sheet name="Read-Me" sheetId="47" r:id="rId1"/>
    <sheet name="Summary Data" sheetId="46" r:id="rId2"/>
    <sheet name="All Data" sheetId="45" r:id="rId3"/>
    <sheet name="Gas Infrastructure Costs" sheetId="48" r:id="rId4"/>
    <sheet name="Detail- Mithun" sheetId="37" r:id="rId5"/>
    <sheet name="Schematics- Onion Flats" sheetId="27" r:id="rId6"/>
    <sheet name="Schematics- Coliseum Place" sheetId="41" r:id="rId7"/>
    <sheet name="SF NC Electric WH Z3 O1" sheetId="5" state="hidden" r:id="rId8"/>
    <sheet name="SF NC Electric WH Z3 O1 (2)" sheetId="25" state="hidden" r:id="rId9"/>
    <sheet name="SF NC Electric WH Z12 O1" sheetId="23" state="hidden" r:id="rId10"/>
    <sheet name="LRMF NC Electric WH Z3 O1" sheetId="17" state="hidden" r:id="rId11"/>
    <sheet name="LRMF NC Electric WH Z12 O1" sheetId="18" state="hidden" r:id="rId12"/>
  </sheets>
  <externalReferences>
    <externalReference r:id="rId13"/>
    <externalReference r:id="rId14"/>
    <externalReference r:id="rId15"/>
    <externalReference r:id="rId16"/>
  </externalReferences>
  <definedNames>
    <definedName name="_xlnm._FilterDatabase" localSheetId="2" hidden="1">'All Data'!$A$1:$AJ$79</definedName>
    <definedName name="_xlnm._FilterDatabase" localSheetId="1" hidden="1">'Summary Data'!$A$3:$V$28</definedName>
    <definedName name="_xlchart.v1.0" hidden="1">'Summary Data'!$U$13:$U$16</definedName>
    <definedName name="_xlchart.v1.1" hidden="1">'Summary Data'!$U$17:$U$23</definedName>
    <definedName name="_xlchart.v1.10" hidden="1">'Summary Data'!$T$13:$T$16</definedName>
    <definedName name="_xlchart.v1.11" hidden="1">'Summary Data'!$T$17:$T$23</definedName>
    <definedName name="_xlchart.v1.12" hidden="1">'Summary Data'!$T$24:$T$25</definedName>
    <definedName name="_xlchart.v1.13" hidden="1">'Summary Data'!$T$26:$T$28</definedName>
    <definedName name="_xlchart.v1.14" hidden="1">'Summary Data'!$T$4:$T$12</definedName>
    <definedName name="_xlchart.v1.2" hidden="1">'Summary Data'!$U$24:$U$25</definedName>
    <definedName name="_xlchart.v1.3" hidden="1">'Summary Data'!$U$26:$U$28</definedName>
    <definedName name="_xlchart.v1.4" hidden="1">'Summary Data'!$U$4:$U$12</definedName>
    <definedName name="_xlchart.v1.5" hidden="1">'Summary Data'!$V$13:$V$16</definedName>
    <definedName name="_xlchart.v1.6" hidden="1">'Summary Data'!$V$17:$V$23</definedName>
    <definedName name="_xlchart.v1.7" hidden="1">'Summary Data'!$V$24:$V$25</definedName>
    <definedName name="_xlchart.v1.8" hidden="1">'Summary Data'!$V$26:$V$28</definedName>
    <definedName name="_xlchart.v1.9" hidden="1">'Summary Data'!$V$4:$V$12</definedName>
    <definedName name="zone_lu" localSheetId="10">[1]Sheet1!$B$4:$J$9</definedName>
    <definedName name="zone_lu" localSheetId="8">[2]Sheet1!$B$4:$J$9</definedName>
    <definedName name="zone_lu">[3]Sheet1!$B$4:$J$9</definedName>
    <definedName name="zone_lu1">[4]Sheet1!$B$4:$J$9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48" l="1"/>
  <c r="K21" i="48"/>
  <c r="L21" i="48" s="1"/>
  <c r="L20" i="48"/>
  <c r="L19" i="48"/>
  <c r="L18" i="48"/>
  <c r="L16" i="48"/>
  <c r="I15" i="48"/>
  <c r="K15" i="48" s="1"/>
  <c r="L15" i="48" s="1"/>
  <c r="L14" i="48"/>
  <c r="L11" i="48"/>
  <c r="K10" i="48"/>
  <c r="L10" i="48" s="1"/>
  <c r="L9" i="48"/>
  <c r="L8" i="48"/>
  <c r="L7" i="48"/>
  <c r="L6" i="48"/>
  <c r="K5" i="48"/>
  <c r="L5" i="48" s="1"/>
  <c r="L4" i="48"/>
  <c r="P79" i="45"/>
  <c r="Q79" i="45" s="1"/>
  <c r="T79" i="45"/>
  <c r="U79" i="45" s="1"/>
  <c r="X79" i="45"/>
  <c r="Y79" i="45" s="1"/>
  <c r="AC79" i="45"/>
  <c r="AD79" i="45"/>
  <c r="AF79" i="45"/>
  <c r="AG79" i="45" s="1"/>
  <c r="AH79" i="45" s="1"/>
  <c r="AI79" i="45" s="1"/>
  <c r="K23" i="48" l="1"/>
  <c r="L17" i="48"/>
  <c r="L12" i="48"/>
  <c r="L13" i="48"/>
  <c r="L23" i="48"/>
  <c r="L5" i="46"/>
  <c r="J6" i="46" l="1"/>
  <c r="L15" i="46" l="1"/>
  <c r="L10" i="46"/>
  <c r="L6" i="46"/>
  <c r="L12" i="46" l="1"/>
  <c r="M12" i="46" s="1"/>
  <c r="L16" i="46"/>
  <c r="M16" i="46" s="1"/>
  <c r="E16" i="46" l="1"/>
  <c r="J16" i="46"/>
  <c r="R16" i="46" s="1"/>
  <c r="U16" i="46" s="1"/>
  <c r="P16" i="46"/>
  <c r="Q16" i="46"/>
  <c r="E5" i="46"/>
  <c r="E6" i="46"/>
  <c r="E7" i="46"/>
  <c r="E8" i="46"/>
  <c r="E9" i="46"/>
  <c r="E10" i="46"/>
  <c r="E11" i="46"/>
  <c r="E12" i="46"/>
  <c r="E13" i="46"/>
  <c r="E14" i="46"/>
  <c r="E15" i="46"/>
  <c r="E17" i="46"/>
  <c r="E18" i="46"/>
  <c r="E19" i="46"/>
  <c r="E20" i="46"/>
  <c r="E21" i="46"/>
  <c r="E22" i="46"/>
  <c r="E23" i="46"/>
  <c r="E24" i="46"/>
  <c r="E25" i="46"/>
  <c r="E26" i="46"/>
  <c r="E27" i="46"/>
  <c r="E28" i="46"/>
  <c r="E4" i="46"/>
  <c r="T16" i="46" l="1"/>
  <c r="S16" i="46"/>
  <c r="V16" i="46" s="1"/>
  <c r="O25" i="46"/>
  <c r="O24" i="46" l="1"/>
  <c r="J22" i="46"/>
  <c r="J4" i="46"/>
  <c r="J12" i="46"/>
  <c r="J5" i="46"/>
  <c r="J18" i="46"/>
  <c r="J21" i="46"/>
  <c r="J11" i="46"/>
  <c r="J20" i="46"/>
  <c r="J8" i="46"/>
  <c r="J7" i="46"/>
  <c r="J26" i="46"/>
  <c r="J14" i="46"/>
  <c r="J28" i="46"/>
  <c r="J27" i="46"/>
  <c r="J10" i="46"/>
  <c r="J15" i="46"/>
  <c r="J24" i="46"/>
  <c r="J23" i="46"/>
  <c r="J25" i="46"/>
  <c r="J19" i="46"/>
  <c r="J17" i="46"/>
  <c r="J13" i="46"/>
  <c r="J9" i="46"/>
  <c r="P13" i="46"/>
  <c r="M5" i="46"/>
  <c r="O15" i="46"/>
  <c r="P15" i="46" s="1"/>
  <c r="P24" i="46"/>
  <c r="P25" i="46"/>
  <c r="R9" i="46" l="1"/>
  <c r="U9" i="46" s="1"/>
  <c r="Q9" i="46"/>
  <c r="S9" i="46" s="1"/>
  <c r="Q13" i="46"/>
  <c r="R13" i="46"/>
  <c r="Q17" i="46"/>
  <c r="R17" i="46"/>
  <c r="Q19" i="46"/>
  <c r="R19" i="46"/>
  <c r="U19" i="46" s="1"/>
  <c r="Q25" i="46"/>
  <c r="R25" i="46"/>
  <c r="U25" i="46" s="1"/>
  <c r="Q23" i="46"/>
  <c r="R23" i="46"/>
  <c r="U23" i="46" s="1"/>
  <c r="Q24" i="46"/>
  <c r="R24" i="46"/>
  <c r="Q27" i="46"/>
  <c r="R27" i="46"/>
  <c r="U27" i="46" s="1"/>
  <c r="Q28" i="46"/>
  <c r="R28" i="46"/>
  <c r="U28" i="46" s="1"/>
  <c r="R14" i="46"/>
  <c r="U14" i="46" s="1"/>
  <c r="Q26" i="46"/>
  <c r="S26" i="46" s="1"/>
  <c r="R26" i="46"/>
  <c r="Q7" i="46"/>
  <c r="R7" i="46"/>
  <c r="U7" i="46" s="1"/>
  <c r="Q8" i="46"/>
  <c r="S8" i="46" s="1"/>
  <c r="R8" i="46"/>
  <c r="U8" i="46" s="1"/>
  <c r="Q20" i="46"/>
  <c r="R20" i="46"/>
  <c r="U20" i="46" s="1"/>
  <c r="Q11" i="46"/>
  <c r="S11" i="46" s="1"/>
  <c r="R11" i="46"/>
  <c r="U11" i="46" s="1"/>
  <c r="Q21" i="46"/>
  <c r="R21" i="46"/>
  <c r="U21" i="46" s="1"/>
  <c r="Q18" i="46"/>
  <c r="S18" i="46" s="1"/>
  <c r="R18" i="46"/>
  <c r="U18" i="46" s="1"/>
  <c r="Q5" i="46"/>
  <c r="R5" i="46"/>
  <c r="U5" i="46" s="1"/>
  <c r="Q12" i="46"/>
  <c r="R12" i="46"/>
  <c r="U12" i="46" s="1"/>
  <c r="Q4" i="46"/>
  <c r="R4" i="46"/>
  <c r="Q22" i="46"/>
  <c r="S22" i="46" s="1"/>
  <c r="R22" i="46"/>
  <c r="U22" i="46" s="1"/>
  <c r="M15" i="46"/>
  <c r="M10" i="46"/>
  <c r="M6" i="46"/>
  <c r="O14" i="46"/>
  <c r="P14" i="46" s="1"/>
  <c r="Q14" i="46" s="1"/>
  <c r="AG39" i="45"/>
  <c r="AH39" i="45"/>
  <c r="AC39" i="45"/>
  <c r="AD39" i="45"/>
  <c r="X39" i="45"/>
  <c r="Y39" i="45"/>
  <c r="T39" i="45"/>
  <c r="U39" i="45"/>
  <c r="P39" i="45"/>
  <c r="Q39" i="45"/>
  <c r="AC26" i="45"/>
  <c r="AD26" i="45" s="1"/>
  <c r="AC6" i="45"/>
  <c r="AD6" i="45" s="1"/>
  <c r="AC58" i="45"/>
  <c r="AD58" i="45" s="1"/>
  <c r="AC27" i="45"/>
  <c r="AD27" i="45" s="1"/>
  <c r="AC7" i="45"/>
  <c r="AD7" i="45" s="1"/>
  <c r="AC59" i="45"/>
  <c r="AD59" i="45" s="1"/>
  <c r="AC60" i="45"/>
  <c r="AD60" i="45" s="1"/>
  <c r="AC77" i="45"/>
  <c r="AD77" i="45" s="1"/>
  <c r="AC10" i="45"/>
  <c r="AD10" i="45" s="1"/>
  <c r="AC11" i="45"/>
  <c r="AD11" i="45" s="1"/>
  <c r="AC12" i="45"/>
  <c r="AD12" i="45" s="1"/>
  <c r="AC13" i="45"/>
  <c r="AD13" i="45" s="1"/>
  <c r="AC14" i="45"/>
  <c r="AD14" i="45" s="1"/>
  <c r="AC15" i="45"/>
  <c r="AD15" i="45" s="1"/>
  <c r="AC16" i="45"/>
  <c r="AD16" i="45" s="1"/>
  <c r="AC48" i="45"/>
  <c r="AD48" i="45" s="1"/>
  <c r="AC61" i="45"/>
  <c r="AD61" i="45" s="1"/>
  <c r="AC62" i="45"/>
  <c r="AD62" i="45" s="1"/>
  <c r="AC8" i="45"/>
  <c r="AD8" i="45" s="1"/>
  <c r="AC63" i="45"/>
  <c r="AD63" i="45" s="1"/>
  <c r="AC64" i="45"/>
  <c r="AD64" i="45" s="1"/>
  <c r="AC34" i="45"/>
  <c r="AD34" i="45" s="1"/>
  <c r="AC28" i="45"/>
  <c r="AD28" i="45" s="1"/>
  <c r="AC35" i="45"/>
  <c r="AD35" i="45" s="1"/>
  <c r="AC4" i="45"/>
  <c r="AD4" i="45" s="1"/>
  <c r="AC40" i="45"/>
  <c r="AD40" i="45" s="1"/>
  <c r="AC19" i="45"/>
  <c r="AD19" i="45" s="1"/>
  <c r="AC18" i="45"/>
  <c r="AD18" i="45" s="1"/>
  <c r="AA22" i="45"/>
  <c r="AC22" i="45" s="1"/>
  <c r="AD22" i="45" s="1"/>
  <c r="AA25" i="45"/>
  <c r="AC25" i="45" s="1"/>
  <c r="AD25" i="45" s="1"/>
  <c r="AA23" i="45"/>
  <c r="AC23" i="45" s="1"/>
  <c r="AD23" i="45" s="1"/>
  <c r="AC33" i="45"/>
  <c r="AD33" i="45" s="1"/>
  <c r="AC2" i="45"/>
  <c r="AD2" i="45" s="1"/>
  <c r="AA21" i="45"/>
  <c r="AC21" i="45" s="1"/>
  <c r="AD21" i="45" s="1"/>
  <c r="AA20" i="45"/>
  <c r="AC20" i="45" s="1"/>
  <c r="AD20" i="45" s="1"/>
  <c r="AA78" i="45"/>
  <c r="AC78" i="45" s="1"/>
  <c r="AD78" i="45" s="1"/>
  <c r="AC36" i="45"/>
  <c r="AD36" i="45" s="1"/>
  <c r="AC5" i="45"/>
  <c r="AD5" i="45" s="1"/>
  <c r="AC9" i="45"/>
  <c r="AD9" i="45" s="1"/>
  <c r="AC29" i="45"/>
  <c r="AD29" i="45" s="1"/>
  <c r="AC53" i="45"/>
  <c r="AD53" i="45" s="1"/>
  <c r="AC41" i="45"/>
  <c r="AD41" i="45" s="1"/>
  <c r="AC51" i="45"/>
  <c r="AD51" i="45" s="1"/>
  <c r="AC52" i="45"/>
  <c r="AD52" i="45" s="1"/>
  <c r="AC42" i="45"/>
  <c r="AD42" i="45" s="1"/>
  <c r="AC3" i="45"/>
  <c r="AD3" i="45" s="1"/>
  <c r="AC37" i="45"/>
  <c r="AD37" i="45" s="1"/>
  <c r="AC38" i="45"/>
  <c r="AD38" i="45" s="1"/>
  <c r="AC30" i="45"/>
  <c r="AD30" i="45" s="1"/>
  <c r="AC43" i="45"/>
  <c r="AD43" i="45" s="1"/>
  <c r="AC44" i="45"/>
  <c r="AD44" i="45" s="1"/>
  <c r="AA24" i="45"/>
  <c r="AC24" i="45" s="1"/>
  <c r="AD24" i="45"/>
  <c r="AC45" i="45"/>
  <c r="AD45" i="45"/>
  <c r="AC31" i="45"/>
  <c r="AD31" i="45"/>
  <c r="AC17" i="45"/>
  <c r="AD17" i="45"/>
  <c r="AC49" i="45"/>
  <c r="AD49" i="45"/>
  <c r="AC50" i="45"/>
  <c r="AD50" i="45"/>
  <c r="AC65" i="45"/>
  <c r="AD65" i="45"/>
  <c r="AC56" i="45"/>
  <c r="AD56" i="45"/>
  <c r="AC46" i="45"/>
  <c r="AD46" i="45"/>
  <c r="AC66" i="45"/>
  <c r="AD66" i="45"/>
  <c r="AC32" i="45"/>
  <c r="AD32" i="45"/>
  <c r="AC47" i="45"/>
  <c r="AD47" i="45"/>
  <c r="AC54" i="45"/>
  <c r="AD54" i="45"/>
  <c r="AC55" i="45"/>
  <c r="AD55" i="45"/>
  <c r="AC57" i="45"/>
  <c r="AD57" i="45"/>
  <c r="AC70" i="45"/>
  <c r="AD70" i="45"/>
  <c r="AC67" i="45"/>
  <c r="AD67" i="45"/>
  <c r="AC68" i="45"/>
  <c r="AD68" i="45"/>
  <c r="AC69" i="45"/>
  <c r="AD69" i="45"/>
  <c r="AC71" i="45"/>
  <c r="AD71" i="45"/>
  <c r="AC72" i="45"/>
  <c r="AD72" i="45"/>
  <c r="P26" i="45"/>
  <c r="Q26" i="45"/>
  <c r="P6" i="45"/>
  <c r="Q6" i="45"/>
  <c r="P58" i="45"/>
  <c r="Q58" i="45"/>
  <c r="P27" i="45"/>
  <c r="Q27" i="45"/>
  <c r="P7" i="45"/>
  <c r="Q7" i="45"/>
  <c r="P59" i="45"/>
  <c r="Q59" i="45"/>
  <c r="P60" i="45"/>
  <c r="Q60" i="45"/>
  <c r="P77" i="45"/>
  <c r="Q77" i="45"/>
  <c r="P10" i="45"/>
  <c r="Q10" i="45"/>
  <c r="P11" i="45"/>
  <c r="Q11" i="45"/>
  <c r="P12" i="45"/>
  <c r="Q12" i="45"/>
  <c r="P13" i="45"/>
  <c r="Q13" i="45"/>
  <c r="P14" i="45"/>
  <c r="Q14" i="45"/>
  <c r="P15" i="45"/>
  <c r="Q15" i="45"/>
  <c r="P16" i="45"/>
  <c r="Q16" i="45"/>
  <c r="P48" i="45"/>
  <c r="Q48" i="45"/>
  <c r="P61" i="45"/>
  <c r="Q61" i="45"/>
  <c r="P62" i="45"/>
  <c r="Q62" i="45"/>
  <c r="O8" i="45"/>
  <c r="P8" i="45"/>
  <c r="Q8" i="45" s="1"/>
  <c r="P63" i="45"/>
  <c r="Q63" i="45" s="1"/>
  <c r="P64" i="45"/>
  <c r="Q64" i="45" s="1"/>
  <c r="P34" i="45"/>
  <c r="Q34" i="45" s="1"/>
  <c r="P28" i="45"/>
  <c r="Q28" i="45" s="1"/>
  <c r="P35" i="45"/>
  <c r="Q35" i="45" s="1"/>
  <c r="P4" i="45"/>
  <c r="Q4" i="45" s="1"/>
  <c r="P40" i="45"/>
  <c r="Q40" i="45" s="1"/>
  <c r="P19" i="45"/>
  <c r="Q19" i="45" s="1"/>
  <c r="P18" i="45"/>
  <c r="Q18" i="45" s="1"/>
  <c r="P22" i="45"/>
  <c r="Q22" i="45" s="1"/>
  <c r="P25" i="45"/>
  <c r="Q25" i="45" s="1"/>
  <c r="P23" i="45"/>
  <c r="Q23" i="45" s="1"/>
  <c r="P33" i="45"/>
  <c r="Q33" i="45" s="1"/>
  <c r="P2" i="45"/>
  <c r="Q2" i="45" s="1"/>
  <c r="P21" i="45"/>
  <c r="Q21" i="45" s="1"/>
  <c r="P20" i="45"/>
  <c r="Q20" i="45" s="1"/>
  <c r="P78" i="45"/>
  <c r="Q78" i="45" s="1"/>
  <c r="P36" i="45"/>
  <c r="Q36" i="45" s="1"/>
  <c r="P5" i="45"/>
  <c r="Q5" i="45" s="1"/>
  <c r="P9" i="45"/>
  <c r="Q9" i="45" s="1"/>
  <c r="Q29" i="45"/>
  <c r="P53" i="45"/>
  <c r="Q53" i="45" s="1"/>
  <c r="P41" i="45"/>
  <c r="Q41" i="45" s="1"/>
  <c r="O51" i="45"/>
  <c r="P51" i="45" s="1"/>
  <c r="Q51" i="45" s="1"/>
  <c r="P52" i="45"/>
  <c r="Q52" i="45" s="1"/>
  <c r="P42" i="45"/>
  <c r="Q42" i="45" s="1"/>
  <c r="P3" i="45"/>
  <c r="Q3" i="45" s="1"/>
  <c r="P37" i="45"/>
  <c r="Q37" i="45" s="1"/>
  <c r="P38" i="45"/>
  <c r="Q38" i="45" s="1"/>
  <c r="P30" i="45"/>
  <c r="Q30" i="45" s="1"/>
  <c r="P43" i="45"/>
  <c r="Q43" i="45" s="1"/>
  <c r="P44" i="45"/>
  <c r="Q44" i="45" s="1"/>
  <c r="P24" i="45"/>
  <c r="Q24" i="45" s="1"/>
  <c r="P45" i="45"/>
  <c r="Q45" i="45" s="1"/>
  <c r="P31" i="45"/>
  <c r="Q31" i="45" s="1"/>
  <c r="P17" i="45"/>
  <c r="Q17" i="45" s="1"/>
  <c r="P49" i="45"/>
  <c r="Q49" i="45" s="1"/>
  <c r="P50" i="45"/>
  <c r="Q50" i="45" s="1"/>
  <c r="P65" i="45"/>
  <c r="Q65" i="45" s="1"/>
  <c r="P56" i="45"/>
  <c r="Q56" i="45" s="1"/>
  <c r="P46" i="45"/>
  <c r="Q46" i="45" s="1"/>
  <c r="P66" i="45"/>
  <c r="Q66" i="45" s="1"/>
  <c r="P32" i="45"/>
  <c r="Q32" i="45" s="1"/>
  <c r="P47" i="45"/>
  <c r="Q47" i="45" s="1"/>
  <c r="P54" i="45"/>
  <c r="Q54" i="45" s="1"/>
  <c r="P55" i="45"/>
  <c r="Q55" i="45" s="1"/>
  <c r="P57" i="45"/>
  <c r="Q57" i="45" s="1"/>
  <c r="P70" i="45"/>
  <c r="Q70" i="45" s="1"/>
  <c r="P67" i="45"/>
  <c r="Q67" i="45" s="1"/>
  <c r="P68" i="45"/>
  <c r="Q68" i="45" s="1"/>
  <c r="P69" i="45"/>
  <c r="Q69" i="45" s="1"/>
  <c r="P71" i="45"/>
  <c r="Q71" i="45" s="1"/>
  <c r="P72" i="45"/>
  <c r="Q72" i="45" s="1"/>
  <c r="T26" i="45"/>
  <c r="U26" i="45" s="1"/>
  <c r="T6" i="45"/>
  <c r="U6" i="45" s="1"/>
  <c r="T58" i="45"/>
  <c r="U58" i="45" s="1"/>
  <c r="T27" i="45"/>
  <c r="U27" i="45" s="1"/>
  <c r="T7" i="45"/>
  <c r="U7" i="45" s="1"/>
  <c r="T59" i="45"/>
  <c r="U59" i="45" s="1"/>
  <c r="T60" i="45"/>
  <c r="U60" i="45" s="1"/>
  <c r="T77" i="45"/>
  <c r="U77" i="45" s="1"/>
  <c r="T10" i="45"/>
  <c r="U10" i="45" s="1"/>
  <c r="T11" i="45"/>
  <c r="U11" i="45" s="1"/>
  <c r="T12" i="45"/>
  <c r="U12" i="45" s="1"/>
  <c r="T13" i="45"/>
  <c r="U13" i="45" s="1"/>
  <c r="T14" i="45"/>
  <c r="U14" i="45" s="1"/>
  <c r="T15" i="45"/>
  <c r="U15" i="45" s="1"/>
  <c r="T16" i="45"/>
  <c r="U16" i="45" s="1"/>
  <c r="S48" i="45"/>
  <c r="T48" i="45" s="1"/>
  <c r="U48" i="45" s="1"/>
  <c r="T61" i="45"/>
  <c r="U61" i="45"/>
  <c r="T62" i="45"/>
  <c r="U62" i="45"/>
  <c r="T8" i="45"/>
  <c r="U8" i="45"/>
  <c r="T63" i="45"/>
  <c r="U63" i="45"/>
  <c r="T64" i="45"/>
  <c r="U64" i="45"/>
  <c r="S34" i="45"/>
  <c r="T34" i="45"/>
  <c r="U34" i="45" s="1"/>
  <c r="T28" i="45"/>
  <c r="U28" i="45" s="1"/>
  <c r="S35" i="45"/>
  <c r="T35" i="45" s="1"/>
  <c r="U35" i="45" s="1"/>
  <c r="T4" i="45"/>
  <c r="U4" i="45" s="1"/>
  <c r="T40" i="45"/>
  <c r="U40" i="45" s="1"/>
  <c r="T19" i="45"/>
  <c r="U19" i="45" s="1"/>
  <c r="T18" i="45"/>
  <c r="U18" i="45" s="1"/>
  <c r="T22" i="45"/>
  <c r="U22" i="45" s="1"/>
  <c r="T25" i="45"/>
  <c r="U25" i="45" s="1"/>
  <c r="T23" i="45"/>
  <c r="U23" i="45" s="1"/>
  <c r="T33" i="45"/>
  <c r="U33" i="45" s="1"/>
  <c r="T2" i="45"/>
  <c r="U2" i="45" s="1"/>
  <c r="T21" i="45"/>
  <c r="U21" i="45" s="1"/>
  <c r="S20" i="45"/>
  <c r="T20" i="45" s="1"/>
  <c r="U20" i="45" s="1"/>
  <c r="T78" i="45"/>
  <c r="U78" i="45" s="1"/>
  <c r="S36" i="45"/>
  <c r="T36" i="45" s="1"/>
  <c r="U36" i="45" s="1"/>
  <c r="T5" i="45"/>
  <c r="U5" i="45" s="1"/>
  <c r="T9" i="45"/>
  <c r="U9" i="45" s="1"/>
  <c r="T29" i="45"/>
  <c r="U29" i="45" s="1"/>
  <c r="S53" i="45"/>
  <c r="T53" i="45" s="1"/>
  <c r="U53" i="45" s="1"/>
  <c r="T41" i="45"/>
  <c r="U41" i="45" s="1"/>
  <c r="T51" i="45"/>
  <c r="U51" i="45" s="1"/>
  <c r="T52" i="45"/>
  <c r="U52" i="45" s="1"/>
  <c r="S42" i="45"/>
  <c r="T42" i="45" s="1"/>
  <c r="U42" i="45"/>
  <c r="T3" i="45"/>
  <c r="U3" i="45"/>
  <c r="T37" i="45"/>
  <c r="U37" i="45"/>
  <c r="T38" i="45"/>
  <c r="U38" i="45"/>
  <c r="T30" i="45"/>
  <c r="U30" i="45"/>
  <c r="S43" i="45"/>
  <c r="T43" i="45"/>
  <c r="U43" i="45" s="1"/>
  <c r="S44" i="45"/>
  <c r="T44" i="45" s="1"/>
  <c r="U44" i="45"/>
  <c r="T24" i="45"/>
  <c r="U24" i="45"/>
  <c r="S45" i="45"/>
  <c r="T45" i="45"/>
  <c r="U45" i="45" s="1"/>
  <c r="T31" i="45"/>
  <c r="U31" i="45" s="1"/>
  <c r="T17" i="45"/>
  <c r="U17" i="45" s="1"/>
  <c r="T49" i="45"/>
  <c r="U49" i="45" s="1"/>
  <c r="T50" i="45"/>
  <c r="U50" i="45" s="1"/>
  <c r="T65" i="45"/>
  <c r="U65" i="45" s="1"/>
  <c r="T56" i="45"/>
  <c r="U56" i="45" s="1"/>
  <c r="S46" i="45"/>
  <c r="T46" i="45" s="1"/>
  <c r="U46" i="45"/>
  <c r="T66" i="45"/>
  <c r="U66" i="45"/>
  <c r="T32" i="45"/>
  <c r="U32" i="45"/>
  <c r="S47" i="45"/>
  <c r="T47" i="45"/>
  <c r="U47" i="45" s="1"/>
  <c r="T54" i="45"/>
  <c r="U54" i="45" s="1"/>
  <c r="T55" i="45"/>
  <c r="U55" i="45" s="1"/>
  <c r="T57" i="45"/>
  <c r="U57" i="45" s="1"/>
  <c r="T70" i="45"/>
  <c r="U70" i="45" s="1"/>
  <c r="S67" i="45"/>
  <c r="T67" i="45" s="1"/>
  <c r="U67" i="45" s="1"/>
  <c r="S68" i="45"/>
  <c r="T68" i="45" s="1"/>
  <c r="U68" i="45" s="1"/>
  <c r="S69" i="45"/>
  <c r="T69" i="45" s="1"/>
  <c r="U69" i="45" s="1"/>
  <c r="T71" i="45"/>
  <c r="U71" i="45" s="1"/>
  <c r="T72" i="45"/>
  <c r="U72" i="45" s="1"/>
  <c r="X26" i="45"/>
  <c r="Y26" i="45" s="1"/>
  <c r="X6" i="45"/>
  <c r="Y6" i="45" s="1"/>
  <c r="X58" i="45"/>
  <c r="Y58" i="45" s="1"/>
  <c r="X27" i="45"/>
  <c r="Y27" i="45" s="1"/>
  <c r="X7" i="45"/>
  <c r="Y7" i="45" s="1"/>
  <c r="X59" i="45"/>
  <c r="Y59" i="45" s="1"/>
  <c r="X60" i="45"/>
  <c r="Y60" i="45" s="1"/>
  <c r="X77" i="45"/>
  <c r="Y77" i="45" s="1"/>
  <c r="X10" i="45"/>
  <c r="Y10" i="45" s="1"/>
  <c r="X11" i="45"/>
  <c r="Y11" i="45" s="1"/>
  <c r="X12" i="45"/>
  <c r="Y12" i="45" s="1"/>
  <c r="X13" i="45"/>
  <c r="Y13" i="45" s="1"/>
  <c r="X14" i="45"/>
  <c r="Y14" i="45" s="1"/>
  <c r="X15" i="45"/>
  <c r="Y15" i="45" s="1"/>
  <c r="X16" i="45"/>
  <c r="Y16" i="45" s="1"/>
  <c r="W48" i="45"/>
  <c r="X48" i="45" s="1"/>
  <c r="Y48" i="45" s="1"/>
  <c r="X61" i="45"/>
  <c r="Y61" i="45" s="1"/>
  <c r="X62" i="45"/>
  <c r="Y62" i="45" s="1"/>
  <c r="X8" i="45"/>
  <c r="Y8" i="45" s="1"/>
  <c r="X63" i="45"/>
  <c r="Y63" i="45" s="1"/>
  <c r="X64" i="45"/>
  <c r="Y64" i="45" s="1"/>
  <c r="X34" i="45"/>
  <c r="Y34" i="45" s="1"/>
  <c r="X28" i="45"/>
  <c r="Y28" i="45" s="1"/>
  <c r="X35" i="45"/>
  <c r="Y35" i="45" s="1"/>
  <c r="X4" i="45"/>
  <c r="Y4" i="45" s="1"/>
  <c r="X40" i="45"/>
  <c r="Y40" i="45" s="1"/>
  <c r="W19" i="45"/>
  <c r="X19" i="45" s="1"/>
  <c r="Y19" i="45" s="1"/>
  <c r="W18" i="45"/>
  <c r="X18" i="45" s="1"/>
  <c r="Y18" i="45" s="1"/>
  <c r="W22" i="45"/>
  <c r="X22" i="45" s="1"/>
  <c r="Y22" i="45" s="1"/>
  <c r="W25" i="45"/>
  <c r="X25" i="45" s="1"/>
  <c r="Y25" i="45" s="1"/>
  <c r="W23" i="45"/>
  <c r="X23" i="45" s="1"/>
  <c r="Y23" i="45" s="1"/>
  <c r="X33" i="45"/>
  <c r="Y33" i="45" s="1"/>
  <c r="X2" i="45"/>
  <c r="Y2" i="45" s="1"/>
  <c r="W21" i="45"/>
  <c r="X21" i="45" s="1"/>
  <c r="Y21" i="45" s="1"/>
  <c r="W20" i="45"/>
  <c r="X20" i="45" s="1"/>
  <c r="Y20" i="45" s="1"/>
  <c r="X78" i="45"/>
  <c r="Y78" i="45" s="1"/>
  <c r="X36" i="45"/>
  <c r="Y36" i="45" s="1"/>
  <c r="X5" i="45"/>
  <c r="Y5" i="45" s="1"/>
  <c r="X9" i="45"/>
  <c r="Y9" i="45" s="1"/>
  <c r="X29" i="45"/>
  <c r="Y29" i="45" s="1"/>
  <c r="X53" i="45"/>
  <c r="Y53" i="45"/>
  <c r="X41" i="45"/>
  <c r="Y41" i="45" s="1"/>
  <c r="X51" i="45"/>
  <c r="Y51" i="45" s="1"/>
  <c r="X52" i="45"/>
  <c r="Y52" i="45" s="1"/>
  <c r="X42" i="45"/>
  <c r="Y42" i="45"/>
  <c r="X3" i="45"/>
  <c r="Y3" i="45" s="1"/>
  <c r="X37" i="45"/>
  <c r="Y37" i="45" s="1"/>
  <c r="X38" i="45"/>
  <c r="Y38" i="45" s="1"/>
  <c r="X30" i="45"/>
  <c r="Y30" i="45"/>
  <c r="X43" i="45"/>
  <c r="Y43" i="45" s="1"/>
  <c r="X44" i="45"/>
  <c r="Y44" i="45" s="1"/>
  <c r="W24" i="45"/>
  <c r="X24" i="45" s="1"/>
  <c r="Y24" i="45" s="1"/>
  <c r="X45" i="45"/>
  <c r="Y45" i="45"/>
  <c r="X31" i="45"/>
  <c r="Y31" i="45"/>
  <c r="X17" i="45"/>
  <c r="Y17" i="45"/>
  <c r="X49" i="45"/>
  <c r="Y49" i="45"/>
  <c r="X50" i="45"/>
  <c r="Y50" i="45"/>
  <c r="X65" i="45"/>
  <c r="Y65" i="45"/>
  <c r="X56" i="45"/>
  <c r="Y56" i="45"/>
  <c r="X46" i="45"/>
  <c r="Y46" i="45"/>
  <c r="X66" i="45"/>
  <c r="Y66" i="45"/>
  <c r="X32" i="45"/>
  <c r="Y32" i="45"/>
  <c r="X47" i="45"/>
  <c r="Y47" i="45"/>
  <c r="X54" i="45"/>
  <c r="Y54" i="45"/>
  <c r="X55" i="45"/>
  <c r="Y55" i="45"/>
  <c r="X57" i="45"/>
  <c r="Y57" i="45"/>
  <c r="X70" i="45"/>
  <c r="Y70" i="45"/>
  <c r="X67" i="45"/>
  <c r="Y67" i="45"/>
  <c r="X68" i="45"/>
  <c r="Y68" i="45"/>
  <c r="X69" i="45"/>
  <c r="Y69" i="45"/>
  <c r="X71" i="45"/>
  <c r="Y71" i="45"/>
  <c r="X72" i="45"/>
  <c r="Y72" i="45"/>
  <c r="AG17" i="45"/>
  <c r="AH17" i="45" s="1"/>
  <c r="AI17" i="45" s="1"/>
  <c r="AG70" i="45"/>
  <c r="AH70" i="45"/>
  <c r="AI70" i="45" s="1"/>
  <c r="AG49" i="45"/>
  <c r="AH49" i="45" s="1"/>
  <c r="AI49" i="45" s="1"/>
  <c r="AB49" i="45"/>
  <c r="AG69" i="45"/>
  <c r="AH69" i="45" s="1"/>
  <c r="AI69" i="45" s="1"/>
  <c r="AG68" i="45"/>
  <c r="AH68" i="45"/>
  <c r="AI68" i="45" s="1"/>
  <c r="AG67" i="45"/>
  <c r="AH67" i="45"/>
  <c r="AI67" i="45" s="1"/>
  <c r="AG54" i="45"/>
  <c r="AH54" i="45" s="1"/>
  <c r="AG57" i="45"/>
  <c r="AH57" i="45" s="1"/>
  <c r="AI57" i="45" s="1"/>
  <c r="L54" i="45"/>
  <c r="L57" i="45"/>
  <c r="L55" i="45"/>
  <c r="M41" i="45"/>
  <c r="L41" i="45"/>
  <c r="M40" i="45"/>
  <c r="L40" i="45"/>
  <c r="M37" i="45"/>
  <c r="L28" i="45"/>
  <c r="L27" i="45"/>
  <c r="L26" i="45"/>
  <c r="L16" i="45"/>
  <c r="L15" i="45"/>
  <c r="L14" i="45"/>
  <c r="L13" i="45"/>
  <c r="L12" i="45"/>
  <c r="L11" i="45"/>
  <c r="L10" i="45"/>
  <c r="L5" i="45"/>
  <c r="AG76" i="45"/>
  <c r="AH76" i="45" s="1"/>
  <c r="AI76" i="45" s="1"/>
  <c r="AB52" i="45"/>
  <c r="AB22" i="45"/>
  <c r="AA76" i="45"/>
  <c r="AB76" i="45"/>
  <c r="AA75" i="45"/>
  <c r="AB75" i="45"/>
  <c r="AB29" i="45"/>
  <c r="AB9" i="45"/>
  <c r="AB71" i="45"/>
  <c r="AB50" i="45"/>
  <c r="AB73" i="45"/>
  <c r="AB72" i="45"/>
  <c r="AG75" i="45"/>
  <c r="AH75" i="45"/>
  <c r="AI75" i="45" s="1"/>
  <c r="Q75" i="45"/>
  <c r="AC75" i="45"/>
  <c r="AD75" i="45" s="1"/>
  <c r="X75" i="45"/>
  <c r="Y75" i="45" s="1"/>
  <c r="T75" i="45"/>
  <c r="U75" i="45" s="1"/>
  <c r="AG71" i="45"/>
  <c r="AH71" i="45" s="1"/>
  <c r="AI71" i="45" s="1"/>
  <c r="AG74" i="45"/>
  <c r="AH74" i="45" s="1"/>
  <c r="Q74" i="45"/>
  <c r="AC74" i="45"/>
  <c r="AD74" i="45" s="1"/>
  <c r="X74" i="45"/>
  <c r="Y74" i="45" s="1"/>
  <c r="T74" i="45"/>
  <c r="U74" i="45" s="1"/>
  <c r="AC76" i="45"/>
  <c r="Q76" i="45"/>
  <c r="AD76" i="45"/>
  <c r="X76" i="45"/>
  <c r="Y76" i="45" s="1"/>
  <c r="T76" i="45"/>
  <c r="U76" i="45" s="1"/>
  <c r="AG58" i="45"/>
  <c r="AH58" i="45" s="1"/>
  <c r="AI58" i="45" s="1"/>
  <c r="AG59" i="45"/>
  <c r="AH59" i="45" s="1"/>
  <c r="AI59" i="45" s="1"/>
  <c r="AG61" i="45"/>
  <c r="AH61" i="45"/>
  <c r="AG62" i="45"/>
  <c r="AH62" i="45" s="1"/>
  <c r="AG63" i="45"/>
  <c r="AH63" i="45" s="1"/>
  <c r="AI63" i="45" s="1"/>
  <c r="AG64" i="45"/>
  <c r="AH64" i="45" s="1"/>
  <c r="AI64" i="45" s="1"/>
  <c r="AG72" i="45"/>
  <c r="AH72" i="45"/>
  <c r="AG73" i="45"/>
  <c r="AH73" i="45" s="1"/>
  <c r="P73" i="45"/>
  <c r="Q73" i="45" s="1"/>
  <c r="AG50" i="45"/>
  <c r="AH50" i="45" s="1"/>
  <c r="AI50" i="45" s="1"/>
  <c r="AG2" i="45"/>
  <c r="AH2" i="45" s="1"/>
  <c r="AG3" i="45"/>
  <c r="AH3" i="45" s="1"/>
  <c r="AI3" i="45" s="1"/>
  <c r="AG4" i="45"/>
  <c r="AH4" i="45" s="1"/>
  <c r="AI4" i="45" s="1"/>
  <c r="AG5" i="45"/>
  <c r="AH5" i="45"/>
  <c r="AI5" i="45" s="1"/>
  <c r="AG6" i="45"/>
  <c r="AH6" i="45" s="1"/>
  <c r="AI6" i="45" s="1"/>
  <c r="AG7" i="45"/>
  <c r="AH7" i="45"/>
  <c r="AI7" i="45" s="1"/>
  <c r="AG8" i="45"/>
  <c r="AH8" i="45"/>
  <c r="AI8" i="45" s="1"/>
  <c r="AG9" i="45"/>
  <c r="AH9" i="45" s="1"/>
  <c r="AG10" i="45"/>
  <c r="AH10" i="45" s="1"/>
  <c r="AI10" i="45" s="1"/>
  <c r="AG11" i="45"/>
  <c r="AH11" i="45"/>
  <c r="AI11" i="45" s="1"/>
  <c r="AG12" i="45"/>
  <c r="AH12" i="45"/>
  <c r="AI12" i="45" s="1"/>
  <c r="AG13" i="45"/>
  <c r="AH13" i="45" s="1"/>
  <c r="AI13" i="45" s="1"/>
  <c r="AG14" i="45"/>
  <c r="AH14" i="45" s="1"/>
  <c r="AG15" i="45"/>
  <c r="AH15" i="45" s="1"/>
  <c r="AI15" i="45" s="1"/>
  <c r="AG16" i="45"/>
  <c r="AH16" i="45" s="1"/>
  <c r="AI16" i="45" s="1"/>
  <c r="AG29" i="45"/>
  <c r="AH29" i="45"/>
  <c r="AI29" i="45" s="1"/>
  <c r="AF21" i="45"/>
  <c r="AG21" i="45" s="1"/>
  <c r="AH21" i="45" s="1"/>
  <c r="AI21" i="45" s="1"/>
  <c r="AF23" i="45"/>
  <c r="AG23" i="45" s="1"/>
  <c r="AH23" i="45" s="1"/>
  <c r="AF20" i="45"/>
  <c r="AG20" i="45" s="1"/>
  <c r="AH20" i="45" s="1"/>
  <c r="AI20" i="45" s="1"/>
  <c r="AF19" i="45"/>
  <c r="AG19" i="45" s="1"/>
  <c r="AH19" i="45" s="1"/>
  <c r="AF24" i="45"/>
  <c r="AG24" i="45" s="1"/>
  <c r="AH24" i="45" s="1"/>
  <c r="AI24" i="45" s="1"/>
  <c r="AF22" i="45"/>
  <c r="AG22" i="45" s="1"/>
  <c r="AH22" i="45" s="1"/>
  <c r="AF18" i="45"/>
  <c r="AG18" i="45" s="1"/>
  <c r="AH18" i="45" s="1"/>
  <c r="AI18" i="45" s="1"/>
  <c r="AF25" i="45"/>
  <c r="AG25" i="45" s="1"/>
  <c r="AH25" i="45" s="1"/>
  <c r="AI25" i="45" s="1"/>
  <c r="AG26" i="45"/>
  <c r="AH26" i="45" s="1"/>
  <c r="AI26" i="45" s="1"/>
  <c r="AG27" i="45"/>
  <c r="AH27" i="45" s="1"/>
  <c r="AG28" i="45"/>
  <c r="AH28" i="45" s="1"/>
  <c r="AI28" i="45" s="1"/>
  <c r="AG30" i="45"/>
  <c r="AH30" i="45"/>
  <c r="AI30" i="45" s="1"/>
  <c r="AG31" i="45"/>
  <c r="AH31" i="45" s="1"/>
  <c r="AI31" i="45" s="1"/>
  <c r="AG32" i="45"/>
  <c r="AH32" i="45"/>
  <c r="AI32" i="45" s="1"/>
  <c r="AG33" i="45"/>
  <c r="AH33" i="45"/>
  <c r="AI33" i="45" s="1"/>
  <c r="AG36" i="45"/>
  <c r="AH36" i="45" s="1"/>
  <c r="AI36" i="45" s="1"/>
  <c r="AG34" i="45"/>
  <c r="AH34" i="45" s="1"/>
  <c r="AI34" i="45" s="1"/>
  <c r="AG35" i="45"/>
  <c r="AH35" i="45" s="1"/>
  <c r="AI35" i="45" s="1"/>
  <c r="AG37" i="45"/>
  <c r="AH37" i="45" s="1"/>
  <c r="AI37" i="45" s="1"/>
  <c r="AG38" i="45"/>
  <c r="AH38" i="45"/>
  <c r="AG40" i="45"/>
  <c r="AH40" i="45" s="1"/>
  <c r="AI40" i="45" s="1"/>
  <c r="AG41" i="45"/>
  <c r="AH41" i="45" s="1"/>
  <c r="AG42" i="45"/>
  <c r="AH42" i="45" s="1"/>
  <c r="AI42" i="45" s="1"/>
  <c r="AG44" i="45"/>
  <c r="AH44" i="45"/>
  <c r="AI44" i="45" s="1"/>
  <c r="AG46" i="45"/>
  <c r="AH46" i="45" s="1"/>
  <c r="AI46" i="45" s="1"/>
  <c r="AG43" i="45"/>
  <c r="AH43" i="45"/>
  <c r="AI43" i="45" s="1"/>
  <c r="AG45" i="45"/>
  <c r="AH45" i="45"/>
  <c r="AI45" i="45" s="1"/>
  <c r="AG47" i="45"/>
  <c r="AH47" i="45" s="1"/>
  <c r="AI47" i="45" s="1"/>
  <c r="AF48" i="45"/>
  <c r="AG48" i="45" s="1"/>
  <c r="AH48" i="45" s="1"/>
  <c r="AI48" i="45" s="1"/>
  <c r="AG53" i="45"/>
  <c r="AH53" i="45" s="1"/>
  <c r="AG52" i="45"/>
  <c r="AH52" i="45" s="1"/>
  <c r="AI52" i="45" s="1"/>
  <c r="AF51" i="45"/>
  <c r="AG51" i="45" s="1"/>
  <c r="AH51" i="45" s="1"/>
  <c r="AI51" i="45" s="1"/>
  <c r="AG55" i="45"/>
  <c r="AH55" i="45"/>
  <c r="AI55" i="45" s="1"/>
  <c r="AG56" i="45"/>
  <c r="AH56" i="45" s="1"/>
  <c r="AI56" i="45" s="1"/>
  <c r="AG65" i="45"/>
  <c r="AH65" i="45" s="1"/>
  <c r="AG66" i="45"/>
  <c r="AH66" i="45" s="1"/>
  <c r="AI66" i="45" s="1"/>
  <c r="AG60" i="45"/>
  <c r="AH60" i="45" s="1"/>
  <c r="AI60" i="45" s="1"/>
  <c r="AF78" i="45"/>
  <c r="AG78" i="45"/>
  <c r="AH78" i="45" s="1"/>
  <c r="AI78" i="45" s="1"/>
  <c r="AC73" i="45"/>
  <c r="AD73" i="45" s="1"/>
  <c r="X73" i="45"/>
  <c r="Y73" i="45"/>
  <c r="T73" i="45"/>
  <c r="U73" i="45" s="1"/>
  <c r="AF77" i="45"/>
  <c r="AG77" i="45" s="1"/>
  <c r="AH77" i="45" s="1"/>
  <c r="G22" i="37"/>
  <c r="G21" i="37"/>
  <c r="F14" i="37"/>
  <c r="F15" i="37"/>
  <c r="F16" i="37"/>
  <c r="F17" i="37"/>
  <c r="F18" i="37"/>
  <c r="F19" i="37"/>
  <c r="F20" i="37"/>
  <c r="F10" i="37"/>
  <c r="F11" i="37"/>
  <c r="F12" i="37"/>
  <c r="F9" i="37"/>
  <c r="B9" i="37"/>
  <c r="B10" i="37"/>
  <c r="B11" i="37"/>
  <c r="C22" i="37"/>
  <c r="H41" i="25"/>
  <c r="H39" i="25"/>
  <c r="E36" i="25"/>
  <c r="E34" i="25"/>
  <c r="E32" i="25"/>
  <c r="H31" i="25"/>
  <c r="G27" i="25"/>
  <c r="H27" i="25"/>
  <c r="H24" i="25"/>
  <c r="G22" i="25"/>
  <c r="H22" i="25"/>
  <c r="H21" i="25"/>
  <c r="H20" i="25"/>
  <c r="H18" i="25"/>
  <c r="G17" i="25"/>
  <c r="H17" i="25"/>
  <c r="H16" i="25"/>
  <c r="H15" i="25"/>
  <c r="H13" i="25"/>
  <c r="H12" i="25"/>
  <c r="H11" i="25"/>
  <c r="O1" i="25"/>
  <c r="H41" i="23"/>
  <c r="H39" i="23"/>
  <c r="E36" i="23"/>
  <c r="E34" i="23"/>
  <c r="E32" i="23"/>
  <c r="H31" i="23"/>
  <c r="G27" i="23"/>
  <c r="H27" i="23"/>
  <c r="H24" i="23"/>
  <c r="G22" i="23"/>
  <c r="H22" i="23"/>
  <c r="H21" i="23"/>
  <c r="H20" i="23"/>
  <c r="H18" i="23"/>
  <c r="G17" i="23"/>
  <c r="H17" i="23"/>
  <c r="H16" i="23"/>
  <c r="H15" i="23"/>
  <c r="H13" i="23"/>
  <c r="H12" i="23"/>
  <c r="H11" i="23"/>
  <c r="H10" i="23"/>
  <c r="O1" i="23"/>
  <c r="H28" i="25"/>
  <c r="H30" i="25"/>
  <c r="H28" i="23"/>
  <c r="H30" i="23"/>
  <c r="H32" i="23"/>
  <c r="H32" i="25"/>
  <c r="H34" i="23"/>
  <c r="H36" i="23"/>
  <c r="H38" i="23"/>
  <c r="H34" i="25"/>
  <c r="H36" i="25"/>
  <c r="H38" i="25"/>
  <c r="H41" i="18"/>
  <c r="H39" i="18"/>
  <c r="E36" i="18"/>
  <c r="E34" i="18"/>
  <c r="E32" i="18"/>
  <c r="H31" i="18"/>
  <c r="G27" i="18"/>
  <c r="H27" i="18"/>
  <c r="H24" i="18"/>
  <c r="G22" i="18"/>
  <c r="H22" i="18"/>
  <c r="H21" i="18"/>
  <c r="H20" i="18"/>
  <c r="H18" i="18"/>
  <c r="G17" i="18"/>
  <c r="H17" i="18"/>
  <c r="H16" i="18"/>
  <c r="H15" i="18"/>
  <c r="H13" i="18"/>
  <c r="H12" i="18"/>
  <c r="H11" i="18"/>
  <c r="H10" i="18"/>
  <c r="O1" i="18"/>
  <c r="H41" i="17"/>
  <c r="H39" i="17"/>
  <c r="E36" i="17"/>
  <c r="E34" i="17"/>
  <c r="E32" i="17"/>
  <c r="H31" i="17"/>
  <c r="G27" i="17"/>
  <c r="H27" i="17"/>
  <c r="H24" i="17"/>
  <c r="G22" i="17"/>
  <c r="H22" i="17"/>
  <c r="H21" i="17"/>
  <c r="H20" i="17"/>
  <c r="H18" i="17"/>
  <c r="G17" i="17"/>
  <c r="H17" i="17"/>
  <c r="H16" i="17"/>
  <c r="H15" i="17"/>
  <c r="H13" i="17"/>
  <c r="H12" i="17"/>
  <c r="H11" i="17"/>
  <c r="O1" i="17"/>
  <c r="H28" i="18"/>
  <c r="H30" i="18"/>
  <c r="H28" i="17"/>
  <c r="H30" i="17"/>
  <c r="H32" i="18"/>
  <c r="H34" i="18"/>
  <c r="H36" i="18"/>
  <c r="H32" i="17"/>
  <c r="H38" i="18"/>
  <c r="H34" i="17"/>
  <c r="H36" i="17"/>
  <c r="H38" i="17"/>
  <c r="H41" i="5"/>
  <c r="H39" i="5"/>
  <c r="E36" i="5"/>
  <c r="E34" i="5"/>
  <c r="E32" i="5"/>
  <c r="H31" i="5"/>
  <c r="G27" i="5"/>
  <c r="H27" i="5"/>
  <c r="H24" i="5"/>
  <c r="G22" i="5"/>
  <c r="H22" i="5"/>
  <c r="H21" i="5"/>
  <c r="H20" i="5"/>
  <c r="H18" i="5"/>
  <c r="G17" i="5"/>
  <c r="H17" i="5"/>
  <c r="H16" i="5"/>
  <c r="H15" i="5"/>
  <c r="H13" i="5"/>
  <c r="H12" i="5"/>
  <c r="H11" i="5"/>
  <c r="O1" i="5"/>
  <c r="H28" i="5"/>
  <c r="H30" i="5"/>
  <c r="H32" i="5"/>
  <c r="H34" i="5"/>
  <c r="H36" i="5"/>
  <c r="H38" i="5"/>
  <c r="S14" i="46" l="1"/>
  <c r="S28" i="46"/>
  <c r="S24" i="46"/>
  <c r="S25" i="46"/>
  <c r="S17" i="46"/>
  <c r="AI41" i="45"/>
  <c r="AI72" i="45"/>
  <c r="AI54" i="45"/>
  <c r="AI38" i="45"/>
  <c r="AI9" i="45"/>
  <c r="AI61" i="45"/>
  <c r="AI27" i="45"/>
  <c r="AI22" i="45"/>
  <c r="AI23" i="45"/>
  <c r="AI2" i="45"/>
  <c r="AB78" i="45"/>
  <c r="AI65" i="45"/>
  <c r="AI53" i="45"/>
  <c r="AI19" i="45"/>
  <c r="AI14" i="45"/>
  <c r="AI73" i="45"/>
  <c r="AI62" i="45"/>
  <c r="AI74" i="45"/>
  <c r="AB25" i="45"/>
  <c r="S27" i="46"/>
  <c r="S23" i="46"/>
  <c r="S19" i="46"/>
  <c r="S4" i="46"/>
  <c r="S21" i="46"/>
  <c r="S20" i="46"/>
  <c r="S7" i="46"/>
  <c r="F21" i="37"/>
  <c r="B22" i="37"/>
  <c r="F22" i="37"/>
  <c r="S13" i="46"/>
  <c r="S5" i="46"/>
  <c r="S12" i="46"/>
  <c r="V12" i="46" s="1"/>
  <c r="U26" i="46"/>
  <c r="I34" i="46" s="1"/>
  <c r="F34" i="46"/>
  <c r="E34" i="46"/>
  <c r="U13" i="46"/>
  <c r="U4" i="46"/>
  <c r="V9" i="46"/>
  <c r="U24" i="46"/>
  <c r="I35" i="46" s="1"/>
  <c r="F35" i="46"/>
  <c r="U17" i="46"/>
  <c r="I36" i="46" s="1"/>
  <c r="F36" i="46"/>
  <c r="E35" i="46"/>
  <c r="E36" i="46"/>
  <c r="T9" i="46"/>
  <c r="V14" i="46"/>
  <c r="T14" i="46"/>
  <c r="Q6" i="46"/>
  <c r="R6" i="46"/>
  <c r="Q10" i="46"/>
  <c r="R10" i="46"/>
  <c r="Q15" i="46"/>
  <c r="R15" i="46"/>
  <c r="F32" i="46" s="1"/>
  <c r="V22" i="46"/>
  <c r="T22" i="46"/>
  <c r="T4" i="46"/>
  <c r="T12" i="46"/>
  <c r="V5" i="46"/>
  <c r="T5" i="46"/>
  <c r="V18" i="46"/>
  <c r="T18" i="46"/>
  <c r="V21" i="46"/>
  <c r="T21" i="46"/>
  <c r="V11" i="46"/>
  <c r="T11" i="46"/>
  <c r="V20" i="46"/>
  <c r="T20" i="46"/>
  <c r="V8" i="46"/>
  <c r="T8" i="46"/>
  <c r="V7" i="46"/>
  <c r="T7" i="46"/>
  <c r="T26" i="46"/>
  <c r="V28" i="46"/>
  <c r="T28" i="46"/>
  <c r="V27" i="46"/>
  <c r="T27" i="46"/>
  <c r="T24" i="46"/>
  <c r="V23" i="46"/>
  <c r="T23" i="46"/>
  <c r="T25" i="46"/>
  <c r="T19" i="46"/>
  <c r="T17" i="46"/>
  <c r="T13" i="46"/>
  <c r="S6" i="46" l="1"/>
  <c r="E32" i="46"/>
  <c r="S15" i="46"/>
  <c r="G32" i="46" s="1"/>
  <c r="S10" i="46"/>
  <c r="H35" i="46"/>
  <c r="F33" i="46"/>
  <c r="H36" i="46"/>
  <c r="V17" i="46"/>
  <c r="G36" i="46"/>
  <c r="V24" i="46"/>
  <c r="G35" i="46"/>
  <c r="H34" i="46"/>
  <c r="V26" i="46"/>
  <c r="J34" i="46" s="1"/>
  <c r="G34" i="46"/>
  <c r="V4" i="46"/>
  <c r="E33" i="46"/>
  <c r="V13" i="46"/>
  <c r="V19" i="46"/>
  <c r="V25" i="46"/>
  <c r="U15" i="46"/>
  <c r="I32" i="46" s="1"/>
  <c r="T15" i="46"/>
  <c r="H32" i="46" s="1"/>
  <c r="U10" i="46"/>
  <c r="T10" i="46"/>
  <c r="U6" i="46"/>
  <c r="T6" i="46"/>
  <c r="J35" i="46" l="1"/>
  <c r="G33" i="46"/>
  <c r="H33" i="46"/>
  <c r="I33" i="46"/>
  <c r="J36" i="46"/>
  <c r="V6" i="46"/>
  <c r="V10" i="46"/>
  <c r="V15" i="46"/>
  <c r="J32" i="46" s="1"/>
  <c r="J33"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tc={B18FE68C-A66E-45B5-AE24-D7F2B77F55FD}</author>
    <author>tc={85A06CC6-9D99-4396-B7B9-44402C25007D}</author>
    <author>tc={2CDD0475-ED8F-4446-BE9C-18FE7EE0385B}</author>
    <author>tc={3EB97558-E1D9-484F-B907-28CC50903A10}</author>
    <author>tc={3C8FD85B-E3ED-41D1-AFE3-1460DF4FE1A5}</author>
    <author>tc={1382DED7-407F-429C-A343-C661289B1217}</author>
  </authors>
  <commentList>
    <comment ref="L3" authorId="0" shapeId="0" xr:uid="{B18FE68C-A66E-45B5-AE24-D7F2B77F55FD}">
      <text>
        <t>[Threaded comment]
Your version of Excel allows you to read this threaded comment; however, any edits to it will get removed if the file is opened in a newer version of Excel. Learn more: https://go.microsoft.com/fwlink/?linkid=870924
Comment:
    Uses rule-of-thumb costs provided by Ecotope (for mid/high-rise buildings in urban markets) and BLH (for low-rise buildings in smaller markets).</t>
      </text>
    </comment>
    <comment ref="O3" authorId="1" shapeId="0" xr:uid="{85A06CC6-9D99-4396-B7B9-44402C25007D}">
      <text>
        <t>[Threaded comment]
Your version of Excel allows you to read this threaded comment; however, any edits to it will get removed if the file is opened in a newer version of Excel. Learn more: https://go.microsoft.com/fwlink/?linkid=870924
Comment:
    Assumptions based on PG&amp;E memo</t>
      </text>
    </comment>
    <comment ref="H13" authorId="2" shapeId="0" xr:uid="{2CDD0475-ED8F-4446-BE9C-18FE7EE0385B}">
      <text>
        <t>[Threaded comment]
Your version of Excel allows you to read this threaded comment; however, any edits to it will get removed if the file is opened in a newer version of Excel. Learn more: https://go.microsoft.com/fwlink/?linkid=870924
Comment:
    Added $25k after follow up, see 3/29 email</t>
      </text>
    </comment>
    <comment ref="O15" authorId="3" shapeId="0" xr:uid="{3EB97558-E1D9-484F-B907-28CC50903A10}">
      <text>
        <t xml:space="preserve">[Threaded comment]
Your version of Excel allows you to read this threaded comment; however, any edits to it will get removed if the file is opened in a newer version of Excel. Learn more: https://go.microsoft.com/fwlink/?linkid=870924
Comment:
    Based on the median of the four non-outlier gas infrastructure quotes we got from large MF projects
</t>
      </text>
    </comment>
    <comment ref="O24" authorId="4" shapeId="0" xr:uid="{3C8FD85B-E3ED-41D1-AFE3-1460DF4FE1A5}">
      <text>
        <t xml:space="preserve">[Threaded comment]
Your version of Excel allows you to read this threaded comment; however, any edits to it will get removed if the file is opened in a newer version of Excel. Learn more: https://go.microsoft.com/fwlink/?linkid=870924
Comment:
    Exact assumed cost was unclear, this number mirrors PGE recommendations 
</t>
      </text>
    </comment>
    <comment ref="O25" authorId="5" shapeId="0" xr:uid="{1382DED7-407F-429C-A343-C661289B1217}">
      <text>
        <t>[Threaded comment]
Your version of Excel allows you to read this threaded comment; however, any edits to it will get removed if the file is opened in a newer version of Excel. Learn more: https://go.microsoft.com/fwlink/?linkid=870924
Comment:
    Exact assumed cost was unclear, this number mirrors PGE recommendations and adjusts for discrepancies in E3 assumptions (using $300/meter instead of $600/meter)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tc={D4C3976B-DD60-4E4D-9226-928A7128CD1B}</author>
    <author>tc={07811638-3BBB-4C74-89A9-44A6AC3FF131}</author>
    <author>tc={67AA28FE-A3FB-49D2-9838-592D2BA6D459}</author>
    <author>tc={F068C691-BD52-4624-8AE8-8308BB40834F}</author>
    <author>tc={F4DC0BB8-1602-4C29-A8C9-16C35A6AA824}</author>
    <author>tc={C5672887-DE3B-4BE6-8CE0-6FFCB40F1416}</author>
  </authors>
  <commentList>
    <comment ref="H1" authorId="0" shapeId="0" xr:uid="{D4C3976B-DD60-4E4D-9226-928A7128CD1B}">
      <text>
        <t>[Threaded comment]
Your version of Excel allows you to read this threaded comment; however, any edits to it will get removed if the file is opened in a newer version of Excel. Learn more: https://go.microsoft.com/fwlink/?linkid=870924
Comment:
    RSMeans 2020 City Cost Index, Assemblies &gt; Mechanical &gt; Total</t>
      </text>
    </comment>
    <comment ref="H6" authorId="1" shapeId="0" xr:uid="{07811638-3BBB-4C74-89A9-44A6AC3FF131}">
      <text>
        <t>[Threaded comment]
Your version of Excel allows you to read this threaded comment; however, any edits to it will get removed if the file is opened in a newer version of Excel. Learn more: https://go.microsoft.com/fwlink/?linkid=870924
Comment:
    Avg of Fresno, Sacramento, and SLO-- unsure which BLH project was where, but all factors were within +/-1% of each other.</t>
      </text>
    </comment>
    <comment ref="H29" authorId="2" shapeId="0" xr:uid="{67AA28FE-A3FB-49D2-9838-592D2BA6D459}">
      <text>
        <t>[Threaded comment]
Your version of Excel allows you to read this threaded comment; however, any edits to it will get removed if the file is opened in a newer version of Excel. Learn more: https://go.microsoft.com/fwlink/?linkid=870924
Comment:
    Estimated based roughly on scaling factor for Sacramento.</t>
      </text>
    </comment>
    <comment ref="H49" authorId="3" shapeId="0" xr:uid="{F068C691-BD52-4624-8AE8-8308BB40834F}">
      <text>
        <t>[Threaded comment]
Your version of Excel allows you to read this threaded comment; however, any edits to it will get removed if the file is opened in a newer version of Excel. Learn more: https://go.microsoft.com/fwlink/?linkid=870924
Comment:
    Estimated based roughly on scaling factor for Sacramento.</t>
      </text>
    </comment>
    <comment ref="H50" authorId="4" shapeId="0" xr:uid="{F4DC0BB8-1602-4C29-A8C9-16C35A6AA824}">
      <text>
        <t>[Threaded comment]
Your version of Excel allows you to read this threaded comment; however, any edits to it will get removed if the file is opened in a newer version of Excel. Learn more: https://go.microsoft.com/fwlink/?linkid=870924
Comment:
    Estimated based roughly on scaling factor for Sacramento.</t>
      </text>
    </comment>
    <comment ref="H72" authorId="5" shapeId="0" xr:uid="{C5672887-DE3B-4BE6-8CE0-6FFCB40F1416}">
      <text>
        <t>[Threaded comment]
Your version of Excel allows you to read this threaded comment; however, any edits to it will get removed if the file is opened in a newer version of Excel. Learn more: https://go.microsoft.com/fwlink/?linkid=870924
Comment:
    Estimate based on overall CA costs.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tc={8EF766B7-7B5F-4261-8A0A-18F27E26578F}</author>
    <author>tc={C6627453-9CCA-4D0D-9BC7-E84212A56437}</author>
    <author>tc={E980C973-91F5-436E-B21C-73A5BA9A81F2}</author>
    <author>tc={9C147EBA-FB59-4986-B7D2-2A8607064223}</author>
  </authors>
  <commentList>
    <comment ref="C5" authorId="0" shapeId="0" xr:uid="{8EF766B7-7B5F-4261-8A0A-18F27E26578F}">
      <text>
        <t>[Threaded comment]
Your version of Excel allows you to read this threaded comment; however, any edits to it will get removed if the file is opened in a newer version of Excel. Learn more: https://go.microsoft.com/fwlink/?linkid=870924
Comment:
    Estimated based roughly on scaling factor for Sacramento.</t>
      </text>
    </comment>
    <comment ref="C6" authorId="1" shapeId="0" xr:uid="{C6627453-9CCA-4D0D-9BC7-E84212A56437}">
      <text>
        <t>[Threaded comment]
Your version of Excel allows you to read this threaded comment; however, any edits to it will get removed if the file is opened in a newer version of Excel. Learn more: https://go.microsoft.com/fwlink/?linkid=870924
Comment:
    Estimated based roughly on scaling factor for Sacramento.</t>
      </text>
    </comment>
    <comment ref="C10" authorId="2" shapeId="0" xr:uid="{E980C973-91F5-436E-B21C-73A5BA9A81F2}">
      <text>
        <t>[Threaded comment]
Your version of Excel allows you to read this threaded comment; however, any edits to it will get removed if the file is opened in a newer version of Excel. Learn more: https://go.microsoft.com/fwlink/?linkid=870924
Comment:
    Estimated based roughly on scaling factor for Sacramento.</t>
      </text>
    </comment>
    <comment ref="C15" authorId="3" shapeId="0" xr:uid="{9C147EBA-FB59-4986-B7D2-2A8607064223}">
      <text>
        <t>[Threaded comment]
Your version of Excel allows you to read this threaded comment; however, any edits to it will get removed if the file is opened in a newer version of Excel. Learn more: https://go.microsoft.com/fwlink/?linkid=870924
Comment:
    Estimated based roughly on scaling factor for Sacramento.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tc={23B744FB-2822-4057-B0E8-F3769B5DF606}</author>
  </authors>
  <commentList>
    <comment ref="F59" authorId="0" shapeId="0" xr:uid="{23B744FB-2822-4057-B0E8-F3769B5DF606}">
      <text>
        <t xml:space="preserve">[Threaded comment]
Your version of Excel allows you to read this threaded comment; however, any edits to it will get removed if the file is opened in a newer version of Excel. Learn more: https://go.microsoft.com/fwlink/?linkid=870924
Comment:
    Why is this implying that the gas EQUIPMENT is more expensive? Is that really true?
</t>
      </text>
    </comment>
  </commentList>
</comments>
</file>

<file path=xl/sharedStrings.xml><?xml version="1.0" encoding="utf-8"?>
<sst xmlns="http://schemas.openxmlformats.org/spreadsheetml/2006/main" count="1913" uniqueCount="398">
  <si>
    <t>FROM THE "APPENDIX: COST DETAILS" SECTION OF THE INSIGHT BRIEF:</t>
  </si>
  <si>
    <t>The numbers referenced in this report have been normalized to ensure a consistent context across the various data points considered in this study. Three adjustments were made in this analysis to achieve normalized cost numbers: </t>
  </si>
  <si>
    <r>
      <t>1) Fully-loaded costs:</t>
    </r>
    <r>
      <rPr>
        <sz val="11"/>
        <rFont val="Calibri"/>
        <family val="2"/>
      </rPr>
      <t> Many of the cost quotes provided for this report did not incorporate sales tax and/or contractor margins for overhead and profit. These costs were added where necessary. Where standard contractor margins were not apparent from other project information, a 15% margin was added to approximate typical practice. </t>
    </r>
  </si>
  <si>
    <r>
      <t>2) Natural gas infrastructure:</t>
    </r>
    <r>
      <rPr>
        <sz val="11"/>
        <rFont val="Calibri"/>
        <family val="2"/>
      </rPr>
      <t> Many of the natural gas system quotes provided for this report made no mention of natural gas supply infrastructure because many contractors consider these costs separately from the cost of their building’s natural gas end uses. To ensure a consistent comparison of true costs across natural gas and heat pump system options, rule-of-thumb costs for natural gas supply infrastructure have been added where they were not already present.  </t>
    </r>
  </si>
  <si>
    <r>
      <t>3) Local labor cost adjustment: </t>
    </r>
    <r>
      <rPr>
        <sz val="11"/>
        <rFont val="Calibri"/>
        <family val="2"/>
      </rPr>
      <t>Many of the cost data points utilized in this report come from California’s Bay Area, a hotbed for heat pump installations and a place where construction labor rates can be nearly triple those of low-cost areas in the United States. Normalized costs have been adjusted account for these regional cost variations using RS Means’ 2020 City Cost Indices for mechanical assemblies, providing a national average cost. </t>
    </r>
  </si>
  <si>
    <t>Developers and policymakers alike will typically be best served by considering these normalized costs and then adjusting for their project’s local conditions (i.e., their assumed contractor margin and labor rates). The raw data collected from report sources can also be accessed in the technical addendum and may be particularly useful for designers in the Bay Area (where many of our quotes originated from).</t>
  </si>
  <si>
    <t>The table below summarizes all cost quotes where we were able to either collect or extrapolate a complete project cost including the cost of gas infrastructure and the hot water distribution/recirculation system, which can equal or exceed the cost of the hot water plant itself. A summary table and charts are provided below.</t>
  </si>
  <si>
    <t>Source</t>
  </si>
  <si>
    <t>Project Name</t>
  </si>
  <si>
    <t>Design</t>
  </si>
  <si>
    <t>Supply</t>
  </si>
  <si>
    <t>Combo</t>
  </si>
  <si>
    <t>CCI</t>
  </si>
  <si>
    <t># Units</t>
  </si>
  <si>
    <t>Reported Cost</t>
  </si>
  <si>
    <t>Incl O&amp;P?</t>
  </si>
  <si>
    <t>Normalized Reported Cost</t>
  </si>
  <si>
    <t>Incl Central Dist?</t>
  </si>
  <si>
    <t>Assumed Central Dist/Recirc Adder</t>
  </si>
  <si>
    <t>Normalized Dist/Recirc Adder</t>
  </si>
  <si>
    <t>Incl NG Infra?</t>
  </si>
  <si>
    <t>Reported/Assumed NG Infra Cost</t>
  </si>
  <si>
    <t>Normalized NG Infra Cost</t>
  </si>
  <si>
    <t>Normalized Total Cost (w/o infra)</t>
  </si>
  <si>
    <t>Normalized Total Cost (w/ infra)</t>
  </si>
  <si>
    <t>Normalized Total Cost (w/ 50% infra)</t>
  </si>
  <si>
    <t>Normalized Total $/Unit (w/o infra)</t>
  </si>
  <si>
    <t>Normalized Total $/Unit (w/ infra)</t>
  </si>
  <si>
    <t>Normalized Total $/Unit (w/ 50% infra)</t>
  </si>
  <si>
    <t>Bright Power</t>
  </si>
  <si>
    <t>-</t>
  </si>
  <si>
    <t>Central</t>
  </si>
  <si>
    <t>Heat Pump</t>
  </si>
  <si>
    <t>Y</t>
  </si>
  <si>
    <t>N</t>
  </si>
  <si>
    <t>Pete Skinner</t>
  </si>
  <si>
    <t>Solara</t>
  </si>
  <si>
    <t>Ecotope</t>
  </si>
  <si>
    <t>N/A</t>
  </si>
  <si>
    <t>Roberts-Obayashi</t>
  </si>
  <si>
    <t>Quetzal Gardens</t>
  </si>
  <si>
    <t>Air Systems</t>
  </si>
  <si>
    <t>Edwina Benner Plaza</t>
  </si>
  <si>
    <t>Mithun</t>
  </si>
  <si>
    <t>BLH</t>
  </si>
  <si>
    <t>Natural Gas</t>
  </si>
  <si>
    <t>Walton</t>
  </si>
  <si>
    <t>Fermin Court</t>
  </si>
  <si>
    <t>Individual</t>
  </si>
  <si>
    <t>NREL</t>
  </si>
  <si>
    <t>Electrification Futures Study</t>
  </si>
  <si>
    <t>E3/AECOM</t>
  </si>
  <si>
    <t>A1 Guaranteed</t>
  </si>
  <si>
    <t>SVCE</t>
  </si>
  <si>
    <t>Multi-Central</t>
  </si>
  <si>
    <t>Onion Flats</t>
  </si>
  <si>
    <t>Bank Flats</t>
  </si>
  <si>
    <t># of Quotes</t>
  </si>
  <si>
    <t>System Type</t>
  </si>
  <si>
    <t>Normalized Total Cost 
(w/o infra)</t>
  </si>
  <si>
    <t>Normalized Total Cost 
(w/ infra)</t>
  </si>
  <si>
    <t>Normalized Total Cost 
(w/ 50% infra)</t>
  </si>
  <si>
    <t>Normalized Total $/Unit 
(w/o infra)</t>
  </si>
  <si>
    <t>Normalized Total $/Unit 
(w/ infra)</t>
  </si>
  <si>
    <t>Normalized Total $/Unit 
(w/ 50% infra)</t>
  </si>
  <si>
    <t>Notes</t>
  </si>
  <si>
    <t>Quote Source</t>
  </si>
  <si>
    <t>Project, Quote, or Study?</t>
  </si>
  <si>
    <t>New or Retrofit?</t>
  </si>
  <si>
    <t>Location</t>
  </si>
  <si>
    <t>RSMeans CCI</t>
  </si>
  <si>
    <t>Manufacturer</t>
  </si>
  <si>
    <t>Model</t>
  </si>
  <si>
    <t>Stories of Building Height</t>
  </si>
  <si>
    <t>Compressor BTUs/Hr</t>
  </si>
  <si>
    <t>Storage Tank Volume (gal)</t>
  </si>
  <si>
    <t>Total Installed Cost</t>
  </si>
  <si>
    <t>Total Cost Per Unit</t>
  </si>
  <si>
    <t>Normalized Total Cost Per Unit</t>
  </si>
  <si>
    <t>Total Cost Notes</t>
  </si>
  <si>
    <t>Boiler/HP Cost</t>
  </si>
  <si>
    <t>Boiler/HP Cost Per Unit</t>
  </si>
  <si>
    <t>Normalized Boiler/HP Cost Per Unit</t>
  </si>
  <si>
    <t>Boiler/HP Notes</t>
  </si>
  <si>
    <t>Distribution Design and Installation Cost</t>
  </si>
  <si>
    <t>Distribution Design and Installation Cost Per Unit</t>
  </si>
  <si>
    <t>Normalized Distribution Design and Installation Cost Per Unit</t>
  </si>
  <si>
    <t>Design and Install Notes</t>
  </si>
  <si>
    <t>Utility Supply Infrastructure Cost</t>
  </si>
  <si>
    <t>Normalized Total Cost</t>
  </si>
  <si>
    <t>Utility Supply Infrastructure Cost Per Unit</t>
  </si>
  <si>
    <t>Normalized Utility Supply Infrastructure Cost Per Unit</t>
  </si>
  <si>
    <t>Utility Supply Notes</t>
  </si>
  <si>
    <t>Overhead and Profit Cost</t>
  </si>
  <si>
    <t>Overhead and Profit Cost Per Unit</t>
  </si>
  <si>
    <t>Normalized Overhead and Profit Cost Per Unit</t>
  </si>
  <si>
    <t>O&amp;P Adder</t>
  </si>
  <si>
    <t>O&amp;P Notes</t>
  </si>
  <si>
    <t>A-1 Guaranteed</t>
  </si>
  <si>
    <t>Project</t>
  </si>
  <si>
    <t>New</t>
  </si>
  <si>
    <t>Pinole, CA</t>
  </si>
  <si>
    <t>Ruud</t>
  </si>
  <si>
    <t>PROUH50</t>
  </si>
  <si>
    <t>AC Wholesalers</t>
  </si>
  <si>
    <t>Quote</t>
  </si>
  <si>
    <t>USA Avg</t>
  </si>
  <si>
    <t>A.O. Smith</t>
  </si>
  <si>
    <t>FPTU-50</t>
  </si>
  <si>
    <t>50 gallon, basic, 3.42 UEF, 6-yr warranty. Does not include tax or O&amp;P.</t>
  </si>
  <si>
    <t>Aermec</t>
  </si>
  <si>
    <t>NRL 750</t>
  </si>
  <si>
    <t>No Tank in Pricing</t>
  </si>
  <si>
    <t>For 50 ton HP, without tax. No storage tanks included. Number of units served and per-unit costs are approximated based on assumed 3 MBH/residence.</t>
  </si>
  <si>
    <t>Sunnyvale, CA</t>
  </si>
  <si>
    <t>Sanden</t>
  </si>
  <si>
    <t>GS3-45HPA</t>
  </si>
  <si>
    <t>Includes tax and O&amp;P.</t>
  </si>
  <si>
    <t>Roughly $70 labor and $50k materials (copper, insulation, valves, actuators, 3-way valves, timers, etc). Includes tax and O&amp;P.</t>
  </si>
  <si>
    <t>Natural Gas W/O LAT</t>
  </si>
  <si>
    <t>Does not include gas lateral pricing</t>
  </si>
  <si>
    <t>Natural Gas W/ LAT</t>
  </si>
  <si>
    <t>Includes gas lateral pricing</t>
  </si>
  <si>
    <t>Atascadero, Williams, Selma</t>
  </si>
  <si>
    <t>Nothing noted.</t>
  </si>
  <si>
    <t>Bozutto</t>
  </si>
  <si>
    <t>Study</t>
  </si>
  <si>
    <t>Unknown</t>
  </si>
  <si>
    <t>Includes O&amp;P.</t>
  </si>
  <si>
    <t>Retrofit</t>
  </si>
  <si>
    <t>San Francisco, CA</t>
  </si>
  <si>
    <t>GUS-A45HPA</t>
  </si>
  <si>
    <t>Required extensive repair/replacement to the distribution system</t>
  </si>
  <si>
    <t>Colmac</t>
  </si>
  <si>
    <t>HPA15</t>
  </si>
  <si>
    <t>Required a crane. Was a hybrid system with NG backup (cost not included).</t>
  </si>
  <si>
    <t>Was a hybrid system with NG backup (cost not included).</t>
  </si>
  <si>
    <t>Required a crane and new storage tank</t>
  </si>
  <si>
    <t>CxV-5</t>
  </si>
  <si>
    <t>Building Doctors Inc.</t>
  </si>
  <si>
    <t>Los Angeles, CA</t>
  </si>
  <si>
    <t>NA</t>
  </si>
  <si>
    <t>X</t>
  </si>
  <si>
    <t>Provider requested that full costs not be quoted publicly</t>
  </si>
  <si>
    <t>Includes delivery. Includes profit but not overhead.</t>
  </si>
  <si>
    <t>Provider requested that full cost breakdowns not be quoted publicly</t>
  </si>
  <si>
    <t>1 to 3 stories</t>
  </si>
  <si>
    <t>Low-rise multifamily quote, 50 gal 0.63 UEF.</t>
  </si>
  <si>
    <t>50 gal 0.63 UEF. Does not include O&amp;P.</t>
  </si>
  <si>
    <t>Demo/removal, misc supplies, connection/modification of hot water piping and valves, modification to gas piping, and labor. Does not include O&amp;P.</t>
  </si>
  <si>
    <t>Includes general conditions, O&amp;P, design and engineering, permit, and contractor profit/market factor. 20% assumed for GCs and O&amp;P, an additional 8% for contractor profit/market factor.</t>
  </si>
  <si>
    <t>2 to 3 stories</t>
  </si>
  <si>
    <t>Single family quote, 50 gal, .63 UEF</t>
  </si>
  <si>
    <t>Misc supplies, connection/modification of hot water piping and valves, modification to gas piping, and labor. Does not include O&amp;P.</t>
  </si>
  <si>
    <t>Low-rise multifamily quote, 3.4 UEF</t>
  </si>
  <si>
    <t>50gal 3.4 UEF, NEEA Tier 3. Does not include O&amp;P.</t>
  </si>
  <si>
    <t>Outdoor closet, misc supplies, connection/modification of hot water piping and valves, condensate piping, and labor. Does not include O&amp;P.</t>
  </si>
  <si>
    <t>New electrical circuits. Does not include O&amp;P.</t>
  </si>
  <si>
    <t>Includes general conditions, O&amp;P, design and engineering, permit. 12% assumed for GCs and O&amp;P.</t>
  </si>
  <si>
    <t>Misc supplies, connection/modification of hot water piping and valves, condensate piping, and labor. Does not include O&amp;P.</t>
  </si>
  <si>
    <t>unknown</t>
  </si>
  <si>
    <t>Low-rise multifamily quote, 140 kBtu/h, 0.81 UEF.</t>
  </si>
  <si>
    <t>140 kBtu/h, 0.81 UEF. Does not include O&amp;P.</t>
  </si>
  <si>
    <t>Does not include O&amp;P.</t>
  </si>
  <si>
    <t>Single family quote, 3.4 UEF</t>
  </si>
  <si>
    <t>80gal 3.4 UEF, NEEA Tier 3. Does not include O&amp;P.</t>
  </si>
  <si>
    <t>tankless</t>
  </si>
  <si>
    <t>Single family quote, 190 kBtu/h, 0.81 UEF gas tankless</t>
  </si>
  <si>
    <t>190 kBtu/h, 0.81 UEF gas tankless. Doesn't include O&amp;P.</t>
  </si>
  <si>
    <t>Seattle, WA</t>
  </si>
  <si>
    <t>Does not include gas lateral pricing- no estimate available on this project. Includes an assumed 15% markup for O&amp;P and 6.5% for WA state tax. DOES NOT INCLUDE RECIRC.</t>
  </si>
  <si>
    <t>Includes an assumed 15% markup for O&amp;P and 6.5% for WA state tax. DOES NOT INCLUDE RECIRC.</t>
  </si>
  <si>
    <t>Frontier Energy</t>
  </si>
  <si>
    <t>Bruceri, M. (2019).”Draft 2019 Energy Efficiency Cost-effectiveness Study: Low Rise Residential.”</t>
  </si>
  <si>
    <t>PG&amp;E Territory</t>
  </si>
  <si>
    <t>Quoted by PG&amp;E for a new development of single-fam homes. Includes gas main extension, service lateral, and meter. Price without utility refunds was $11,836 ($10k main extension, $1686 for service lat, and $150 for meter). Includes O&amp;P.</t>
  </si>
  <si>
    <t>Home Depot</t>
  </si>
  <si>
    <t>Rheem</t>
  </si>
  <si>
    <t>XE50T10HD50U1</t>
  </si>
  <si>
    <t>50 gallon, smart, 3.55 UEF, 10-yr warranty. Does not include tax or O&amp;P.</t>
  </si>
  <si>
    <t>XE65T10HD65U1</t>
  </si>
  <si>
    <t>65 gallon, smart, 3.70 UEF, 10-yr warranty. Does not include tax or O&amp;P.</t>
  </si>
  <si>
    <t>XE80T10HD80U1</t>
  </si>
  <si>
    <t>80 gallon, smart, 3.70 UEF, 10-yr warranty. Does not include tax or O&amp;P.</t>
  </si>
  <si>
    <t>Jonathan Moscatello</t>
  </si>
  <si>
    <t>25-45% margin overall</t>
  </si>
  <si>
    <t>Raypack</t>
  </si>
  <si>
    <t>Full quote includes a 40% solar thermal array; does not include gas lateral pricing; does not include the recirculation system</t>
  </si>
  <si>
    <t>Includes other items in the mechanical room (e.g. copper, insulation, valves, actuators, 3-way valves, timers). Includes O&amp;P and tax.</t>
  </si>
  <si>
    <t>Full quote includes a 40% solar thermal array; includes gas lateral pricing; does not include the recirculation system</t>
  </si>
  <si>
    <t>CxV-5 and HPA-15</t>
  </si>
  <si>
    <t>Full $150,055 quote does not include the recirculation system</t>
  </si>
  <si>
    <t>Coliseum Place</t>
  </si>
  <si>
    <t>Oakland, CA</t>
  </si>
  <si>
    <t>NIST</t>
  </si>
  <si>
    <t>Pub 1207, "Net-Zero Energy Residential Building Component Cost Estimates and Comparisons", 2016.</t>
  </si>
  <si>
    <t>Gaithersburg, MD</t>
  </si>
  <si>
    <t>Report includes a $3933 quote from O'Connor Construction Management, Inc. dated 2016 (as well as several older quotes)… likely no longer relevant. But number does not include distribution. Includes O&amp;P.</t>
  </si>
  <si>
    <t>Noted 21% compounded markup assumed.</t>
  </si>
  <si>
    <t>Electrification Futures</t>
  </si>
  <si>
    <t>Based on meta analysis. Includes O&amp;P.</t>
  </si>
  <si>
    <t>Philadelphia, PA</t>
  </si>
  <si>
    <t>HPLD80</t>
  </si>
  <si>
    <t>Includes O&amp;P and tax</t>
  </si>
  <si>
    <t>Includes O&amp;P and tax. Line for "labor and materials for installation, including recirc system and all water lines.</t>
  </si>
  <si>
    <t>PACESupply</t>
  </si>
  <si>
    <t>PROPH50T2RH350</t>
  </si>
  <si>
    <t>50 gallon, basic, 3.55 UEF, 6-yr warranty. Does not include O&amp;P.</t>
  </si>
  <si>
    <t>50 gallon, smart, 3.55 UEF, 10-yr warranty. Does not include O&amp;P.</t>
  </si>
  <si>
    <t>PROPH65T2RH350</t>
  </si>
  <si>
    <t>65 gallon, basic, 3.70 UEF, 6-yr warranty. Does not include O&amp;P.</t>
  </si>
  <si>
    <t>PROUH65</t>
  </si>
  <si>
    <t>65 gallon, smart, 3.70 UEF, 10-yr warranty. Does not include O&amp;P.</t>
  </si>
  <si>
    <t>PROPH80T2RH350</t>
  </si>
  <si>
    <t>80 gallon, basic, 3.70 UEF, 6-yr warranty. Does not include O&amp;P.</t>
  </si>
  <si>
    <t>PROUH80</t>
  </si>
  <si>
    <t>80 gallon, smart, 3.70 UEF, 10-yr warranty. Does not include O&amp;P.</t>
  </si>
  <si>
    <t>Rotterdam, NY</t>
  </si>
  <si>
    <t>Chilltrix</t>
  </si>
  <si>
    <t>Full $10,083 quote does not include the recirculation system</t>
  </si>
  <si>
    <t>Includes 4% use tax; does not include O&amp;P</t>
  </si>
  <si>
    <t>Includes 4% use tax on materials; does not include O&amp;P</t>
  </si>
  <si>
    <t>Includes $1250 for design and analysis, $1375 for parts procurement, and 15% O&amp;P margin ($1315.2)</t>
  </si>
  <si>
    <t>PG&amp;E</t>
  </si>
  <si>
    <t>12-5-2019 CEC memo</t>
  </si>
  <si>
    <t>Varies widely- lots of detail provided on different orientations. Includes O&amp;P.</t>
  </si>
  <si>
    <t>CPUC R 15-03-010: Pacific Gas and Electric Company's Cost Estimates for Identified Communities</t>
  </si>
  <si>
    <t>Average cost per service to PG&amp;E across all building sizes and situations, reflecting "typical applicant-installed costs based on recent experience". Does not include any allowances to developers. Does not include main extension. Includes O&amp;P.</t>
  </si>
  <si>
    <t>San Jose, CA</t>
  </si>
  <si>
    <t>Not Provided</t>
  </si>
  <si>
    <t>Does not include gas lateral pricing.</t>
  </si>
  <si>
    <t>"Direct cost including Raypack boilers, tank, flues, pumps, controller, condensate drain, gas supply to boilers". Does not include O&amp;P.</t>
  </si>
  <si>
    <t>6% adder for "GC insurance, fee, bonding"</t>
  </si>
  <si>
    <t>"Gas lateral and piping to gas boiler". Does not include O&amp;P.</t>
  </si>
  <si>
    <t>"80 gallon HPWHs with drain pans and condensate drains". Does not include O&amp;P.</t>
  </si>
  <si>
    <t>For water heater closet and walls/doors. Does not include O&amp;P.</t>
  </si>
  <si>
    <t>For "add electrical outlet and circuit breaker". Does not include O&amp;P</t>
  </si>
  <si>
    <t>"Direct cost including heat pumps, storage tank, pumps, stainless cabinet, PLC controller, etc.". Does not include O&amp;P.</t>
  </si>
  <si>
    <t>None noted.</t>
  </si>
  <si>
    <t>For 55 gallon HPWHs with drain pans and condensate drains. Does not include O&amp;P.</t>
  </si>
  <si>
    <t>For "add outlet, increase breaker size / sub feed"</t>
  </si>
  <si>
    <t>RS Means</t>
  </si>
  <si>
    <t>500 MBH input, 480 GPH. Does not include vent. Does not include O&amp;P or tax. Number of units served and per-unit costs are approximated based on assumed 3 MBH/residence.</t>
  </si>
  <si>
    <t>260 MBH input, 250 GPH. Does not include vent. Does not include O&amp;P or tax. Number of units served and per-unit costs are approximated based on assumed 3 MBH/residence.</t>
  </si>
  <si>
    <t>75 MBH input, 73 GPH. Does not include vent. Does not include O&amp;P or tax. Number of units served and per-unit costs are approximated based on assumed 3 MBH/residence.</t>
  </si>
  <si>
    <t>200 MBH input, 192 GPH. Does not include vent. Does not include O&amp;P or tax. Number of units served and per-unit costs are approximated based on assumed 3 MBH/residence.</t>
  </si>
  <si>
    <t>155 MBH input, 150 GPH. Does not include vent. Does not include O&amp;P or tax. Number of units served and per-unit costs are approximated based on assumed 3 MBH/residence.</t>
  </si>
  <si>
    <t>120 MBH input, 110 GPH. Does not include vent. Does not include O&amp;P or tax. Number of units served and per-unit costs are approximated based on assumed 3 MBH/residence.</t>
  </si>
  <si>
    <t>98 MBH input, 95 GPH. Does not include vent. Does not include O&amp;P or tax. Number of units served and per-unit costs are approximated based on assumed 3 MBH/residence.</t>
  </si>
  <si>
    <t>For breaker, cable, and hookup.</t>
  </si>
  <si>
    <t>13-15% margins assumed for NG boiler installations.</t>
  </si>
  <si>
    <t>Included drain pan, does not include vent. Does not include O&amp;P or tax.</t>
  </si>
  <si>
    <t>Sharc Energy Systems</t>
  </si>
  <si>
    <t>Sharc</t>
  </si>
  <si>
    <t>Pirhanna T5</t>
  </si>
  <si>
    <t>Includes assumed 5% sales tax. Additional $4k plus tax for optional Btu/power meter package.</t>
  </si>
  <si>
    <t>Pirhanna T10</t>
  </si>
  <si>
    <t>Pirhanna T15</t>
  </si>
  <si>
    <t>Silicon Valley Clean Energy</t>
  </si>
  <si>
    <t>Average based on 25 installations tracked via SVCE's permit program. Reduced by $450 to account for metering package (required for rebate) and increased cost for "smart" HPWH (heavily incentivized by rebate structure).</t>
  </si>
  <si>
    <t>Southern California Gas</t>
  </si>
  <si>
    <t>CPUC R 15-03-010: Southern California Gas Company's Natural Gas Service Extension Cost Estimates for Representative Communities</t>
  </si>
  <si>
    <t>Average quoted for a single-family home service, averaged across all service line lengths, permitting processes, and right of way issues, assuming no main extension. Doesn't incorporate a $1398 savings from utility allowance. Includes O&amp;P.</t>
  </si>
  <si>
    <t>Stone Energy Associates</t>
  </si>
  <si>
    <t>N Stone, "Accounting for Costs of Gas Infrastructure", 2017.</t>
  </si>
  <si>
    <t>North Coast CA</t>
  </si>
  <si>
    <t>$2000 quote is only for trenching and piping, and do not include main connection or meter install. Includes O&amp;P.</t>
  </si>
  <si>
    <t>Richmond, CA</t>
  </si>
  <si>
    <t xml:space="preserve">Real project quote for a single-family home. Appears to include main extension, lateral service piping, main connection, and meter. Quote was $14,769 before applying residential allowance and adv payment credit. Includes O&amp;P. </t>
  </si>
  <si>
    <t>TRC</t>
  </si>
  <si>
    <t>City of Palo Alto 2019
Title 24 Energy Reach Code Cost-effectiveness Analysis</t>
  </si>
  <si>
    <t>Palo Alto, CA</t>
  </si>
  <si>
    <t>Quoted for upgrading from standard 125A panels to 150A. No incremental cost noted for single family because baseline practice (200A panel) is sufficient. Includes O&amp;P.</t>
  </si>
  <si>
    <t>Quoted for connecting infill development to existing main. Includes plan review ($848), connection charges ($4,343), meter ($850), and street cut fee ($1000). Includes O&amp;P.</t>
  </si>
  <si>
    <t>Quoted for connecting infill development to existing main. Includes plan review ($848), connection charges ($5,250), meter and meter manifold ($10,503), and street cut fee ($1000). Includes O&amp;P.</t>
  </si>
  <si>
    <t>Includes $9600 for plan dev and design coordination, $9600 for submittals, $12838 for gen reqs, $25,227 for O&amp;P, $3819 for liability insurance, and $2902 for bond premium. Percentage inaccurate because gas lateral isn't included.</t>
  </si>
  <si>
    <t>Project required trenching under a busy street. Includes $63k for demo/trenching/excavation/plating/backfill/paving, $20k for the offsite main, $55k for the site lateral, $7.5k for the service meter, and $3k for traffic engineering. Does not include O&amp;P.</t>
  </si>
  <si>
    <t>Includes $9600 for plan dev and design coordination, $9600 for submittals, $12838 for gen reqs, $25,227 for O&amp;P, $3819 for liability insurance, and $2902 for bond premium.</t>
  </si>
  <si>
    <t>Full $370,216 quote noted as a clear example of a cost overrun-- team had never used the specified system and relied on 2012 pricing. Not included in summary tables.</t>
  </si>
  <si>
    <t>For "electrical service by utility (meter set)". Does not include O&amp;P.</t>
  </si>
  <si>
    <t>Includes $9600 for plan dev and design coordination, $9600 for submittals, $15222 for gen reqs, $29910 for O&amp;P, $4528 for liability insurance, and $3441 for bond premium.</t>
  </si>
  <si>
    <t>The table below summarizes all gas infrastructure quotes collected for this insight brief. The summary tables and figures referenced in the brief rely on the PG&amp;E methodology for estimating the price of gas connections in single-family and low-rise multifamily projects-- that methodology is largely in line with the relevant quotes here, some of which cite the PG&amp;E memo directly. For mid/high-rise multifamily projects with central DHW, we used the median of the five quotes provided here.</t>
  </si>
  <si>
    <t>Location Factor</t>
  </si>
  <si>
    <t>Plan</t>
  </si>
  <si>
    <t>Main Extension</t>
  </si>
  <si>
    <t>Main Connection</t>
  </si>
  <si>
    <t>Lateral Service Piping</t>
  </si>
  <si>
    <t>Meter</t>
  </si>
  <si>
    <t>Allowance</t>
  </si>
  <si>
    <t>Total</t>
  </si>
  <si>
    <t>Normalized w/O&amp;P</t>
  </si>
  <si>
    <t>MF/SF</t>
  </si>
  <si>
    <t>O&amp;P?</t>
  </si>
  <si>
    <t>Main included?</t>
  </si>
  <si>
    <t>Stone 2</t>
  </si>
  <si>
    <t>SF</t>
  </si>
  <si>
    <t>Frontier</t>
  </si>
  <si>
    <t>E3 2</t>
  </si>
  <si>
    <t>SoCal Gas</t>
  </si>
  <si>
    <t>TRC 1</t>
  </si>
  <si>
    <t>NEW SF AVG</t>
  </si>
  <si>
    <t>INFILL SF AVG</t>
  </si>
  <si>
    <t>TRC 2</t>
  </si>
  <si>
    <t>small MF</t>
  </si>
  <si>
    <t>E3 1</t>
  </si>
  <si>
    <t>SMALL MF AVG</t>
  </si>
  <si>
    <t>RO</t>
  </si>
  <si>
    <t>large MF</t>
  </si>
  <si>
    <t>?</t>
  </si>
  <si>
    <t>Coliseum Pl</t>
  </si>
  <si>
    <t>mid MF</t>
  </si>
  <si>
    <t>Edited to incorporate in-unit infrastructure</t>
  </si>
  <si>
    <t>Required trenching under a busy street</t>
  </si>
  <si>
    <t>LARGE MF AVG</t>
  </si>
  <si>
    <r>
      <rPr>
        <b/>
        <sz val="11"/>
        <color theme="1"/>
        <rFont val="Calibri"/>
        <family val="2"/>
        <scheme val="minor"/>
      </rPr>
      <t xml:space="preserve">Project Name: </t>
    </r>
    <r>
      <rPr>
        <sz val="11"/>
        <color theme="1"/>
        <rFont val="Calibri"/>
        <family val="2"/>
        <scheme val="minor"/>
      </rPr>
      <t>Mithun Estimate</t>
    </r>
  </si>
  <si>
    <r>
      <rPr>
        <b/>
        <sz val="11"/>
        <color theme="1"/>
        <rFont val="Calibri"/>
        <family val="2"/>
        <scheme val="minor"/>
      </rPr>
      <t>Location:</t>
    </r>
    <r>
      <rPr>
        <sz val="11"/>
        <color theme="1"/>
        <rFont val="Calibri"/>
        <family val="2"/>
        <scheme val="minor"/>
      </rPr>
      <t xml:space="preserve"> San Francisco, CA</t>
    </r>
  </si>
  <si>
    <r>
      <rPr>
        <b/>
        <sz val="11"/>
        <color theme="1"/>
        <rFont val="Calibri"/>
        <family val="2"/>
        <scheme val="minor"/>
      </rPr>
      <t xml:space="preserve">Building Type: </t>
    </r>
    <r>
      <rPr>
        <sz val="11"/>
        <color theme="1"/>
        <rFont val="Calibri"/>
        <family val="2"/>
        <scheme val="minor"/>
      </rPr>
      <t>105-unit multifamily</t>
    </r>
  </si>
  <si>
    <r>
      <rPr>
        <b/>
        <sz val="11"/>
        <color theme="1"/>
        <rFont val="Calibri"/>
        <family val="2"/>
        <scheme val="minor"/>
      </rPr>
      <t>Normalized Installed Cost:</t>
    </r>
    <r>
      <rPr>
        <sz val="11"/>
        <color theme="1"/>
        <rFont val="Calibri"/>
        <family val="2"/>
        <scheme val="minor"/>
      </rPr>
      <t xml:space="preserve"> $3,540 per residence</t>
    </r>
  </si>
  <si>
    <r>
      <rPr>
        <b/>
        <sz val="11"/>
        <color theme="1"/>
        <rFont val="Calibri"/>
        <family val="2"/>
        <scheme val="minor"/>
      </rPr>
      <t>Description:</t>
    </r>
    <r>
      <rPr>
        <sz val="11"/>
        <color theme="1"/>
        <rFont val="Calibri"/>
        <family val="2"/>
        <scheme val="minor"/>
      </rPr>
      <t xml:space="preserve"> Mithun performed a study of their six multifamily building projects being developed in the Bay Area and found that all six could be built all-electric at a lower overall cost. The tables below compare costs for heat pump and gas boiler options, with the latter including both gas infrastructure costs and a solar thermal system as required by CA Title 24 standards for code compliance in multifamily buildings. Cost estimates were provided by Mithun contractors and sub-contractors in Q2-Q3 of 2019. 
***THE NUMBERS BELOW HAVE NOT BEEN NORMALIZED AND REPRESENT SAN FRANCISCO-AREA PRICING***</t>
    </r>
  </si>
  <si>
    <t>Heat Pump Boiler Costs</t>
  </si>
  <si>
    <t>Natural Gas Boiler Costs</t>
  </si>
  <si>
    <t>Installation Item</t>
  </si>
  <si>
    <t>Per Unit Cost</t>
  </si>
  <si>
    <t xml:space="preserve">Total Cost </t>
  </si>
  <si>
    <t>Total Cost</t>
  </si>
  <si>
    <t>Colmac HPHW</t>
  </si>
  <si>
    <t>Boiler RayPack</t>
  </si>
  <si>
    <t>Tanks</t>
  </si>
  <si>
    <t>Add Labor/ HR</t>
  </si>
  <si>
    <t>insulated copper pipe to solar thermal to tanks</t>
  </si>
  <si>
    <t>Solar Hot Water</t>
  </si>
  <si>
    <t>None</t>
  </si>
  <si>
    <t>Solar Thermal Array: 40% Fraction (20%-35% is the Gas Standard)</t>
  </si>
  <si>
    <t>Recirculation</t>
  </si>
  <si>
    <t>Same as Gas</t>
  </si>
  <si>
    <t>Same As Electric</t>
  </si>
  <si>
    <t>Electric Connection</t>
  </si>
  <si>
    <t>No Addtl Cost</t>
  </si>
  <si>
    <t>Gas Connection</t>
  </si>
  <si>
    <t>Electric Trench</t>
  </si>
  <si>
    <t>Gas Trench, Backfill, Pipe, Stub Out Inside</t>
  </si>
  <si>
    <t>Electric Wiring</t>
  </si>
  <si>
    <t>Flextend Joints</t>
  </si>
  <si>
    <t>Electric Meters</t>
  </si>
  <si>
    <t>Gas Meter Room</t>
  </si>
  <si>
    <t>Electric Wiring to Heat Pump</t>
  </si>
  <si>
    <t>Gas Piping to Boiler Room</t>
  </si>
  <si>
    <t>Electric Wiring to Laundry Room</t>
  </si>
  <si>
    <t>Gas piping to Laundry Room</t>
  </si>
  <si>
    <t>Electric Ventilation</t>
  </si>
  <si>
    <t>Gas  Ventilation</t>
  </si>
  <si>
    <t xml:space="preserve">Subtotal of Gas Infrastructure Costs </t>
  </si>
  <si>
    <r>
      <rPr>
        <b/>
        <sz val="11"/>
        <color theme="1"/>
        <rFont val="Calibri"/>
        <family val="2"/>
        <scheme val="minor"/>
      </rPr>
      <t xml:space="preserve">Project Name: </t>
    </r>
    <r>
      <rPr>
        <sz val="11"/>
        <color theme="1"/>
        <rFont val="Calibri"/>
        <family val="2"/>
        <scheme val="minor"/>
      </rPr>
      <t>Onion Flats</t>
    </r>
  </si>
  <si>
    <r>
      <rPr>
        <b/>
        <sz val="11"/>
        <color theme="1"/>
        <rFont val="Calibri"/>
        <family val="2"/>
        <scheme val="minor"/>
      </rPr>
      <t>Location:</t>
    </r>
    <r>
      <rPr>
        <sz val="11"/>
        <color theme="1"/>
        <rFont val="Calibri"/>
        <family val="2"/>
        <scheme val="minor"/>
      </rPr>
      <t xml:space="preserve"> Philadelphia, PA</t>
    </r>
  </si>
  <si>
    <r>
      <rPr>
        <b/>
        <sz val="11"/>
        <color theme="1"/>
        <rFont val="Calibri"/>
        <family val="2"/>
        <scheme val="minor"/>
      </rPr>
      <t xml:space="preserve">Building Type: </t>
    </r>
    <r>
      <rPr>
        <sz val="11"/>
        <color theme="1"/>
        <rFont val="Calibri"/>
        <family val="2"/>
        <scheme val="minor"/>
      </rPr>
      <t>28-unit multifamily with retail</t>
    </r>
  </si>
  <si>
    <r>
      <rPr>
        <b/>
        <sz val="11"/>
        <color theme="1"/>
        <rFont val="Calibri"/>
        <family val="2"/>
        <scheme val="minor"/>
      </rPr>
      <t>Normalized Installed Cost:</t>
    </r>
    <r>
      <rPr>
        <sz val="11"/>
        <color theme="1"/>
        <rFont val="Calibri"/>
        <family val="2"/>
        <scheme val="minor"/>
      </rPr>
      <t xml:space="preserve"> $2,000 per residence</t>
    </r>
  </si>
  <si>
    <r>
      <rPr>
        <b/>
        <sz val="11"/>
        <color theme="1"/>
        <rFont val="Calibri"/>
        <family val="2"/>
        <scheme val="minor"/>
      </rPr>
      <t>Description:</t>
    </r>
    <r>
      <rPr>
        <sz val="11"/>
        <color theme="1"/>
        <rFont val="Calibri"/>
        <family val="2"/>
        <scheme val="minor"/>
      </rPr>
      <t xml:space="preserve"> Onion Flats utilizes a "multi-central" design with each plant using two 80 gallon hybrid heat pump tanks plumbed in series. Each plant serves a stack of 3 or 4 apartments, averaging 45 gallons of storage per apartment. The paired 80 gallon tanks are located in the basement where they will absorb heat from the warm walls and be supplied heat with inverter-controlled cold-climate heat pump HVAC, so the single-speed compressors on the 80 gallon tanks can operate at peak efficiency in a relatively warm room.</t>
    </r>
  </si>
  <si>
    <t>Exhibit 1: Plant Siting</t>
  </si>
  <si>
    <r>
      <rPr>
        <b/>
        <sz val="11"/>
        <color theme="1"/>
        <rFont val="Calibri"/>
        <family val="2"/>
        <scheme val="minor"/>
      </rPr>
      <t xml:space="preserve">Project Name: </t>
    </r>
    <r>
      <rPr>
        <sz val="11"/>
        <color theme="1"/>
        <rFont val="Calibri"/>
        <family val="2"/>
        <scheme val="minor"/>
      </rPr>
      <t>Coliseum Place</t>
    </r>
  </si>
  <si>
    <r>
      <rPr>
        <b/>
        <sz val="11"/>
        <color theme="1"/>
        <rFont val="Calibri"/>
        <family val="2"/>
        <scheme val="minor"/>
      </rPr>
      <t>Location:</t>
    </r>
    <r>
      <rPr>
        <sz val="11"/>
        <color theme="1"/>
        <rFont val="Calibri"/>
        <family val="2"/>
        <scheme val="minor"/>
      </rPr>
      <t xml:space="preserve"> Oakland, CA</t>
    </r>
  </si>
  <si>
    <r>
      <rPr>
        <b/>
        <sz val="11"/>
        <color theme="1"/>
        <rFont val="Calibri"/>
        <family val="2"/>
        <scheme val="minor"/>
      </rPr>
      <t xml:space="preserve">Building Type: </t>
    </r>
    <r>
      <rPr>
        <sz val="11"/>
        <color theme="1"/>
        <rFont val="Calibri"/>
        <family val="2"/>
        <scheme val="minor"/>
      </rPr>
      <t>59-unit multifamily</t>
    </r>
  </si>
  <si>
    <r>
      <rPr>
        <b/>
        <sz val="11"/>
        <color theme="1"/>
        <rFont val="Calibri"/>
        <family val="2"/>
        <scheme val="minor"/>
      </rPr>
      <t>Normalized Installed Cost:</t>
    </r>
    <r>
      <rPr>
        <sz val="11"/>
        <color theme="1"/>
        <rFont val="Calibri"/>
        <family val="2"/>
        <scheme val="minor"/>
      </rPr>
      <t xml:space="preserve"> N/A (full cost not provided)</t>
    </r>
  </si>
  <si>
    <r>
      <rPr>
        <b/>
        <sz val="11"/>
        <color theme="1"/>
        <rFont val="Calibri"/>
        <family val="2"/>
        <scheme val="minor"/>
      </rPr>
      <t>Description:</t>
    </r>
    <r>
      <rPr>
        <sz val="11"/>
        <color theme="1"/>
        <rFont val="Calibri"/>
        <family val="2"/>
        <scheme val="minor"/>
      </rPr>
      <t xml:space="preserve"> Coliseum Place uses a "multi-central" design with plants using individual heat pump water heaters at 2.3 apartments per plant. A manifold distributes hot water in dedicated 3/8” piping to each sink and dedicated ¾" piping for each bathtub/shower. 3/8” piping satisfies tenants with rapid delivery of hot water at sinks--the design by EDesignC Inc. achieves the Watersense standard of less than 30 seconds of wait time for hot water at the furthest sink. Each plant is vented to the outdoors through a neighboring elevator shaft.</t>
    </r>
  </si>
  <si>
    <t>Exhibit 2: Distribution Detail</t>
  </si>
  <si>
    <t>Exhibit 3: Venting Detail</t>
  </si>
  <si>
    <t>Single Family</t>
  </si>
  <si>
    <t>New Construction</t>
  </si>
  <si>
    <t>Electric Option</t>
  </si>
  <si>
    <t>Demolition</t>
  </si>
  <si>
    <t>Remove Existing Boiler</t>
  </si>
  <si>
    <t>Labor</t>
  </si>
  <si>
    <t>Not required</t>
  </si>
  <si>
    <t>Disposal</t>
  </si>
  <si>
    <t>Installation</t>
  </si>
  <si>
    <t>Water Heater</t>
  </si>
  <si>
    <t>New water heater, equipment price</t>
  </si>
  <si>
    <t>EA</t>
  </si>
  <si>
    <t>Not Available</t>
  </si>
  <si>
    <t>80gal heat pump water heater in garage 2.2 UEF</t>
  </si>
  <si>
    <t>Miscellaneous supplies</t>
  </si>
  <si>
    <t>LS</t>
  </si>
  <si>
    <t>HR</t>
  </si>
  <si>
    <t>Piping</t>
  </si>
  <si>
    <t>Materials</t>
  </si>
  <si>
    <t>Connection/modification of hot water piping, including valves</t>
  </si>
  <si>
    <t>Condensate piping</t>
  </si>
  <si>
    <t xml:space="preserve">Gas and Electrical Supply </t>
  </si>
  <si>
    <t>New electrical circuits to equipment</t>
  </si>
  <si>
    <t>Panel and main service modification</t>
  </si>
  <si>
    <t>Gas supply piping</t>
  </si>
  <si>
    <t>Subtotal</t>
  </si>
  <si>
    <t>General Conditions, Overhead and Profit</t>
  </si>
  <si>
    <t>Design and Engineering</t>
  </si>
  <si>
    <t>Permit, testing and inspection</t>
  </si>
  <si>
    <t>Contractor Profit/Market Factor</t>
  </si>
  <si>
    <t>Recommended Budget</t>
  </si>
  <si>
    <t>Low Rise Multi-Family</t>
  </si>
  <si>
    <t>50gal heat pump water heater in outdoor closet 2.2 UEF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</si>
</sst>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Zone &quot;\ #"/>
    <numFmt numFmtId="165" formatCode="_(* #,##0_);_(* \(#,##0\);_(* &quot;&quot;_);_(@_)"/>
    <numFmt numFmtId="166" formatCode="_(&quot;$&quot;* #,##0_);_(&quot;$&quot;* \(#,##0\);_(&quot;$&quot;* &quot;-&quot;??_);_(@_)"/>
    <numFmt numFmtId="167" formatCode="_([$$-409]* #,##0_);_([$$-409]* \(#,##0\);_([$$-409]* &quot;-&quot;??_);_(@_)"/>
  </numFmts>
  <fonts count="13" x14ac:knownFonts="1">
    <font>
      <sz val="11"/>
      <color theme="1"/>
      <name val="Calibri"/>
      <family val="2"/>
      <scheme val="minor"/>
    </font>
    <font>
      <sz val="12"/>
      <color theme="1"/>
      <name val="Calibri"/>
      <family val="2"/>
      <scheme val="minor"/>
    </font>
    <font>
      <sz val="12"/>
      <color theme="1"/>
      <name val="Calibri"/>
      <family val="2"/>
      <scheme val="minor"/>
    </font>
    <font>
      <i/>
      <sz val="11"/>
      <color theme="1"/>
      <name val="Calibri"/>
      <family val="2"/>
      <scheme val="minor"/>
    </font>
    <font>
      <sz val="11"/>
      <color theme="1"/>
      <name val="Calibri"/>
      <family val="2"/>
      <scheme val="minor"/>
    </font>
    <font>
      <sz val="12"/>
      <color theme="1"/>
      <name val="Calibri"/>
      <family val="2"/>
      <scheme val="minor"/>
    </font>
    <font>
      <sz val="16"/>
      <color theme="1"/>
      <name val="Calibri"/>
      <family val="2"/>
      <scheme val="minor"/>
    </font>
    <font>
      <sz val="14"/>
      <color theme="1"/>
      <name val="Calibri"/>
      <family val="2"/>
      <scheme val="minor"/>
    </font>
    <font>
      <b/>
      <sz val="11"/>
      <color theme="1"/>
      <name val="Calibri"/>
      <family val="2"/>
      <scheme val="minor"/>
    </font>
    <font>
      <strike/>
      <sz val="11"/>
      <color theme="1"/>
      <name val="Calibri"/>
      <family val="2"/>
      <scheme val="minor"/>
    </font>
    <font>
      <u/>
      <sz val="11"/>
      <color theme="10"/>
      <name val="Calibri"/>
      <family val="2"/>
      <scheme val="minor"/>
    </font>
    <font>
      <sz val="11"/>
      <name val="Calibri"/>
      <family val="2"/>
    </font>
    <font>
      <b/>
      <sz val="11"/>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44" fontId="4" fillId="0" borderId="0" applyFont="0" applyFill="0" applyBorder="0" applyAlignment="0" applyProtection="0"/>
    <xf numFmtId="0" fontId="5" fillId="0" borderId="0"/>
    <xf numFmtId="44" fontId="5"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cellStyleXfs>
  <cellXfs count="102">
    <xf numFmtId="0" fontId="0" fillId="0" borderId="0" xfId="0"/>
    <xf numFmtId="0" fontId="0" fillId="0" borderId="0" xfId="0" applyAlignment="1">
      <alignment horizontal="center"/>
    </xf>
    <xf numFmtId="4" fontId="0" fillId="0" borderId="0" xfId="0" applyNumberFormat="1"/>
    <xf numFmtId="3" fontId="0" fillId="0" borderId="0" xfId="0" applyNumberFormat="1"/>
    <xf numFmtId="3" fontId="3" fillId="0" borderId="0" xfId="0" applyNumberFormat="1" applyFont="1" applyAlignment="1">
      <alignment horizontal="right"/>
    </xf>
    <xf numFmtId="165" fontId="0" fillId="0" borderId="0" xfId="0" applyNumberFormat="1"/>
    <xf numFmtId="0" fontId="3" fillId="0" borderId="0" xfId="0" applyFont="1" applyAlignment="1">
      <alignment wrapText="1"/>
    </xf>
    <xf numFmtId="0" fontId="0" fillId="0" borderId="0" xfId="0" applyAlignment="1">
      <alignment wrapText="1"/>
    </xf>
    <xf numFmtId="0" fontId="0" fillId="0" borderId="0" xfId="0" applyAlignment="1">
      <alignment horizontal="left" wrapText="1" indent="1"/>
    </xf>
    <xf numFmtId="0" fontId="0" fillId="0" borderId="0" xfId="0" applyAlignment="1">
      <alignment horizontal="left" indent="1"/>
    </xf>
    <xf numFmtId="0" fontId="0" fillId="0" borderId="1" xfId="0" applyBorder="1"/>
    <xf numFmtId="0" fontId="0" fillId="0" borderId="1" xfId="0" applyBorder="1" applyAlignment="1">
      <alignment horizontal="center"/>
    </xf>
    <xf numFmtId="4" fontId="0" fillId="0" borderId="1" xfId="0" applyNumberFormat="1" applyBorder="1"/>
    <xf numFmtId="165" fontId="0" fillId="0" borderId="1" xfId="0" applyNumberFormat="1" applyBorder="1"/>
    <xf numFmtId="10" fontId="0" fillId="0" borderId="0" xfId="0" applyNumberFormat="1"/>
    <xf numFmtId="0" fontId="0" fillId="0" borderId="2" xfId="0" applyBorder="1"/>
    <xf numFmtId="0" fontId="0" fillId="0" borderId="2" xfId="0" applyBorder="1" applyAlignment="1">
      <alignment horizontal="center"/>
    </xf>
    <xf numFmtId="4" fontId="0" fillId="0" borderId="2" xfId="0" applyNumberFormat="1" applyBorder="1"/>
    <xf numFmtId="165" fontId="0" fillId="0" borderId="2" xfId="0" applyNumberFormat="1" applyBorder="1"/>
    <xf numFmtId="9" fontId="0" fillId="0" borderId="0" xfId="0" applyNumberFormat="1"/>
    <xf numFmtId="165" fontId="3" fillId="0" borderId="0" xfId="0" applyNumberFormat="1" applyFont="1" applyAlignment="1">
      <alignment horizontal="right"/>
    </xf>
    <xf numFmtId="0" fontId="0" fillId="0" borderId="0" xfId="0" applyBorder="1"/>
    <xf numFmtId="0" fontId="7" fillId="0" borderId="0" xfId="0" applyFont="1"/>
    <xf numFmtId="166" fontId="0" fillId="0" borderId="0" xfId="1" applyNumberFormat="1" applyFont="1"/>
    <xf numFmtId="0" fontId="6" fillId="0" borderId="0" xfId="0" applyFont="1"/>
    <xf numFmtId="166" fontId="7" fillId="0" borderId="0" xfId="1" applyNumberFormat="1" applyFont="1"/>
    <xf numFmtId="166" fontId="7" fillId="0" borderId="0" xfId="1" applyNumberFormat="1" applyFont="1" applyBorder="1"/>
    <xf numFmtId="44" fontId="7" fillId="0" borderId="0" xfId="0" applyNumberFormat="1" applyFont="1"/>
    <xf numFmtId="0" fontId="8" fillId="0" borderId="3" xfId="0" applyFont="1" applyBorder="1" applyAlignment="1">
      <alignment horizontal="center" wrapText="1"/>
    </xf>
    <xf numFmtId="0" fontId="0" fillId="0" borderId="3" xfId="0" applyBorder="1"/>
    <xf numFmtId="166" fontId="0" fillId="0" borderId="3" xfId="1" applyNumberFormat="1" applyFont="1" applyBorder="1"/>
    <xf numFmtId="0" fontId="9" fillId="0" borderId="0" xfId="0" applyFont="1"/>
    <xf numFmtId="0" fontId="0" fillId="0" borderId="0" xfId="0" applyFont="1"/>
    <xf numFmtId="166" fontId="0" fillId="0" borderId="3" xfId="1" applyNumberFormat="1" applyFont="1" applyFill="1" applyBorder="1"/>
    <xf numFmtId="0" fontId="0" fillId="0" borderId="3" xfId="0" applyBorder="1" applyAlignment="1">
      <alignment wrapText="1"/>
    </xf>
    <xf numFmtId="6" fontId="0" fillId="0" borderId="3" xfId="0" applyNumberFormat="1" applyBorder="1"/>
    <xf numFmtId="9" fontId="0" fillId="0" borderId="3" xfId="0" applyNumberFormat="1" applyBorder="1" applyAlignment="1">
      <alignment wrapText="1"/>
    </xf>
    <xf numFmtId="9" fontId="0" fillId="0" borderId="3" xfId="8" applyFont="1" applyBorder="1"/>
    <xf numFmtId="1" fontId="0" fillId="0" borderId="3" xfId="0" applyNumberFormat="1" applyBorder="1" applyAlignment="1">
      <alignment wrapText="1"/>
    </xf>
    <xf numFmtId="6" fontId="0" fillId="0" borderId="3" xfId="0" applyNumberFormat="1" applyBorder="1" applyAlignment="1">
      <alignment wrapText="1"/>
    </xf>
    <xf numFmtId="1" fontId="0" fillId="0" borderId="3" xfId="0" applyNumberFormat="1" applyBorder="1"/>
    <xf numFmtId="0" fontId="10" fillId="0" borderId="3" xfId="9" applyBorder="1"/>
    <xf numFmtId="0" fontId="0" fillId="0" borderId="3" xfId="0" applyFill="1" applyBorder="1"/>
    <xf numFmtId="1" fontId="0" fillId="0" borderId="3" xfId="0" applyNumberFormat="1" applyFill="1" applyBorder="1"/>
    <xf numFmtId="9" fontId="0" fillId="0" borderId="3" xfId="0" applyNumberFormat="1" applyFill="1" applyBorder="1" applyAlignment="1">
      <alignment wrapText="1"/>
    </xf>
    <xf numFmtId="0" fontId="0" fillId="0" borderId="3" xfId="0" applyFill="1" applyBorder="1" applyAlignment="1">
      <alignment wrapText="1"/>
    </xf>
    <xf numFmtId="1" fontId="0" fillId="0" borderId="0" xfId="0" applyNumberFormat="1"/>
    <xf numFmtId="0" fontId="0" fillId="3" borderId="3" xfId="0" applyFill="1" applyBorder="1" applyAlignment="1">
      <alignment horizontal="left"/>
    </xf>
    <xf numFmtId="0" fontId="0" fillId="3" borderId="3" xfId="0" applyFill="1" applyBorder="1"/>
    <xf numFmtId="1" fontId="0" fillId="3" borderId="3" xfId="0" applyNumberFormat="1" applyFill="1" applyBorder="1"/>
    <xf numFmtId="0" fontId="0" fillId="3" borderId="3" xfId="0" applyFill="1" applyBorder="1" applyAlignment="1">
      <alignment horizontal="center"/>
    </xf>
    <xf numFmtId="0" fontId="8" fillId="2" borderId="3" xfId="0" applyFont="1" applyFill="1" applyBorder="1" applyAlignment="1">
      <alignment horizontal="center" wrapText="1"/>
    </xf>
    <xf numFmtId="0" fontId="0" fillId="2" borderId="3" xfId="0" applyFill="1" applyBorder="1"/>
    <xf numFmtId="0" fontId="0" fillId="2" borderId="3" xfId="0" applyFill="1" applyBorder="1" applyAlignment="1">
      <alignment horizontal="center" vertical="center" wrapText="1"/>
    </xf>
    <xf numFmtId="16" fontId="0" fillId="2" borderId="3" xfId="0" applyNumberFormat="1" applyFill="1" applyBorder="1"/>
    <xf numFmtId="0" fontId="0" fillId="2" borderId="3" xfId="0" applyFont="1" applyFill="1" applyBorder="1"/>
    <xf numFmtId="0" fontId="0" fillId="2" borderId="3" xfId="0" applyNumberFormat="1" applyFill="1" applyBorder="1"/>
    <xf numFmtId="9" fontId="0" fillId="0" borderId="3" xfId="8" applyFont="1" applyFill="1" applyBorder="1"/>
    <xf numFmtId="0" fontId="0" fillId="0" borderId="0" xfId="0" applyFill="1"/>
    <xf numFmtId="166" fontId="0" fillId="0" borderId="0" xfId="0" applyNumberFormat="1"/>
    <xf numFmtId="0" fontId="10" fillId="0" borderId="3" xfId="9" applyFill="1" applyBorder="1"/>
    <xf numFmtId="166" fontId="9" fillId="0" borderId="3" xfId="1" applyNumberFormat="1" applyFont="1" applyBorder="1"/>
    <xf numFmtId="166" fontId="9" fillId="0" borderId="3" xfId="1" applyNumberFormat="1" applyFont="1" applyFill="1" applyBorder="1"/>
    <xf numFmtId="166" fontId="7" fillId="0" borderId="0" xfId="0" applyNumberFormat="1" applyFont="1"/>
    <xf numFmtId="0" fontId="8" fillId="0" borderId="3" xfId="0" applyFont="1" applyBorder="1"/>
    <xf numFmtId="0" fontId="0" fillId="0" borderId="3" xfId="0" applyFont="1" applyBorder="1"/>
    <xf numFmtId="166" fontId="0" fillId="0" borderId="0" xfId="1" applyNumberFormat="1" applyFont="1" applyBorder="1"/>
    <xf numFmtId="0" fontId="0" fillId="0" borderId="5" xfId="0" applyFill="1" applyBorder="1"/>
    <xf numFmtId="167" fontId="0" fillId="0" borderId="3" xfId="0" applyNumberFormat="1" applyBorder="1"/>
    <xf numFmtId="167" fontId="0" fillId="0" borderId="3" xfId="1" applyNumberFormat="1" applyFont="1" applyBorder="1"/>
    <xf numFmtId="167" fontId="0" fillId="0" borderId="3" xfId="0" applyNumberFormat="1" applyFill="1" applyBorder="1"/>
    <xf numFmtId="0" fontId="0" fillId="0" borderId="7" xfId="0" applyBorder="1" applyAlignment="1">
      <alignment wrapText="1"/>
    </xf>
    <xf numFmtId="0" fontId="0" fillId="0" borderId="4" xfId="0" applyBorder="1" applyAlignment="1">
      <alignment wrapText="1"/>
    </xf>
    <xf numFmtId="167" fontId="0" fillId="0" borderId="4" xfId="0" applyNumberFormat="1" applyBorder="1"/>
    <xf numFmtId="167" fontId="0" fillId="0" borderId="7" xfId="0" applyNumberFormat="1" applyBorder="1"/>
    <xf numFmtId="0" fontId="0" fillId="0" borderId="0" xfId="0" applyFill="1" applyBorder="1"/>
    <xf numFmtId="0" fontId="0" fillId="0" borderId="3" xfId="0" applyNumberFormat="1" applyBorder="1"/>
    <xf numFmtId="166" fontId="0" fillId="0" borderId="3" xfId="0" applyNumberFormat="1" applyBorder="1"/>
    <xf numFmtId="166" fontId="8" fillId="0" borderId="3" xfId="0" applyNumberFormat="1" applyFont="1" applyBorder="1"/>
    <xf numFmtId="9" fontId="0" fillId="0" borderId="0" xfId="8" applyFont="1" applyBorder="1"/>
    <xf numFmtId="44" fontId="0" fillId="0" borderId="0" xfId="1" applyNumberFormat="1" applyFont="1" applyBorder="1"/>
    <xf numFmtId="167" fontId="0" fillId="0" borderId="0" xfId="0" applyNumberFormat="1"/>
    <xf numFmtId="0" fontId="0" fillId="0" borderId="3" xfId="0" applyBorder="1" applyAlignment="1">
      <alignment horizontal="center"/>
    </xf>
    <xf numFmtId="0" fontId="8" fillId="0" borderId="3" xfId="0" applyFont="1" applyBorder="1" applyAlignment="1">
      <alignment horizontal="center"/>
    </xf>
    <xf numFmtId="167" fontId="0" fillId="0" borderId="3" xfId="1" applyNumberFormat="1" applyFont="1" applyFill="1" applyBorder="1"/>
    <xf numFmtId="0" fontId="8" fillId="0" borderId="0" xfId="0" applyFont="1"/>
    <xf numFmtId="166" fontId="0" fillId="0" borderId="3" xfId="0" applyNumberFormat="1" applyFont="1" applyBorder="1"/>
    <xf numFmtId="166" fontId="8" fillId="0" borderId="3" xfId="1" applyNumberFormat="1" applyFont="1" applyBorder="1"/>
    <xf numFmtId="166" fontId="8" fillId="0" borderId="0" xfId="1" applyNumberFormat="1" applyFont="1"/>
    <xf numFmtId="0" fontId="8" fillId="0" borderId="3" xfId="0" applyFont="1" applyFill="1" applyBorder="1"/>
    <xf numFmtId="0" fontId="11"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Font="1" applyAlignment="1">
      <alignment wrapText="1"/>
    </xf>
    <xf numFmtId="0" fontId="8" fillId="0" borderId="3" xfId="0" applyFont="1" applyBorder="1" applyAlignment="1">
      <alignment wrapText="1"/>
    </xf>
    <xf numFmtId="167" fontId="8" fillId="0" borderId="3" xfId="0" applyNumberFormat="1" applyFont="1" applyFill="1" applyBorder="1"/>
    <xf numFmtId="0" fontId="0" fillId="0" borderId="0" xfId="0" applyAlignment="1">
      <alignment horizontal="left" wrapText="1"/>
    </xf>
    <xf numFmtId="0" fontId="8" fillId="0" borderId="3" xfId="0" applyFont="1" applyFill="1" applyBorder="1" applyAlignment="1">
      <alignment horizontal="center"/>
    </xf>
    <xf numFmtId="0" fontId="0" fillId="0" borderId="3" xfId="0" applyBorder="1" applyAlignment="1">
      <alignment horizontal="center"/>
    </xf>
    <xf numFmtId="0" fontId="8" fillId="0" borderId="3" xfId="0" applyFont="1" applyBorder="1" applyAlignment="1">
      <alignment horizontal="center"/>
    </xf>
    <xf numFmtId="166" fontId="0" fillId="0" borderId="4" xfId="0" applyNumberFormat="1" applyFont="1" applyBorder="1" applyAlignment="1">
      <alignment horizontal="center"/>
    </xf>
    <xf numFmtId="166" fontId="0" fillId="0" borderId="6" xfId="0" applyNumberFormat="1" applyFont="1" applyBorder="1" applyAlignment="1">
      <alignment horizontal="center"/>
    </xf>
    <xf numFmtId="164" fontId="0" fillId="0" borderId="0" xfId="0" applyNumberFormat="1" applyAlignment="1">
      <alignment horizontal="left"/>
    </xf>
  </cellXfs>
  <cellStyles count="10">
    <cellStyle name="Currency" xfId="1" builtinId="4"/>
    <cellStyle name="Currency 2" xfId="3" xr:uid="{52E7EF80-0142-4556-8A3F-2A4B6F34EFB1}"/>
    <cellStyle name="Currency 3" xfId="6" xr:uid="{757A97F5-F2C3-3F48-9C7F-F894830F4587}"/>
    <cellStyle name="Hyperlink" xfId="9" builtinId="8"/>
    <cellStyle name="Normal" xfId="0" builtinId="0"/>
    <cellStyle name="Normal 2" xfId="2" xr:uid="{53160809-23E7-4D84-AC61-A6169CEF457D}"/>
    <cellStyle name="Normal 3" xfId="4" xr:uid="{CD646A17-FE0E-604F-8FB1-68E300740276}"/>
    <cellStyle name="Normal 4" xfId="5" xr:uid="{7109B9CA-AEB4-3B49-9A89-8FFC335C5F55}"/>
    <cellStyle name="Percent" xfId="8" builtinId="5"/>
    <cellStyle name="Percent 2" xfId="7" xr:uid="{87B62F5F-AF6C-5C45-B3A3-21DA97065A9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_xlchart.v1.4</cx:f>
      </cx:numDim>
    </cx:data>
    <cx:data id="1">
      <cx:numDim type="val">
        <cx:f>_xlchart.v1.0</cx:f>
      </cx:numDim>
    </cx:data>
    <cx:data id="2">
      <cx:numDim type="val">
        <cx:f>_xlchart.v1.1</cx:f>
      </cx:numDim>
    </cx:data>
    <cx:data id="3">
      <cx:numDim type="val">
        <cx:f>_xlchart.v1.2</cx:f>
      </cx:numDim>
    </cx:data>
    <cx:data id="4">
      <cx:numDim type="val">
        <cx:f>_xlchart.v1.3</cx:f>
      </cx:numDim>
    </cx:data>
  </cx:chartData>
  <cx:chart>
    <cx:title pos="t" align="ctr" overlay="0">
      <cx:tx>
        <cx:txData>
          <cx:v>Reported Costs (with Gas Infrastructure)</cx:v>
        </cx:txData>
      </cx:tx>
      <cx:txPr>
        <a:bodyPr spcFirstLastPara="1" vertOverflow="ellipsis" horzOverflow="overflow" wrap="square" lIns="0" tIns="0" rIns="0" bIns="0" anchor="ctr" anchorCtr="1"/>
        <a:lstStyle/>
        <a:p>
          <a:pPr algn="ctr" rtl="0">
            <a:defRPr/>
          </a:pPr>
          <a:r>
            <a:rPr lang="en-US" sz="1800" b="1" i="0" u="none" strike="noStrike" cap="all" spc="150" baseline="0">
              <a:solidFill>
                <a:sysClr val="windowText" lastClr="000000">
                  <a:lumMod val="50000"/>
                  <a:lumOff val="50000"/>
                </a:sysClr>
              </a:solidFill>
              <a:latin typeface="Calibri" panose="020F0502020204030204"/>
            </a:rPr>
            <a:t>Reported Costs (with Gas Infrastructure)</a:t>
          </a:r>
        </a:p>
      </cx:txPr>
    </cx:title>
    <cx:plotArea>
      <cx:plotAreaRegion>
        <cx:series layoutId="boxWhisker" uniqueId="{00000002-CC00-4DD8-9BE7-6A56EF35F7E6}" formatIdx="1">
          <cx:tx>
            <cx:txData>
              <cx:f/>
              <cx:v>Central HP</cx:v>
            </cx:txData>
          </cx:tx>
          <cx:dataId val="0"/>
          <cx:layoutPr>
            <cx:visibility meanLine="0" meanMarker="0" nonoutliers="0" outliers="0"/>
            <cx:statistics quartileMethod="exclusive"/>
          </cx:layoutPr>
        </cx:series>
        <cx:series layoutId="boxWhisker" uniqueId="{00000003-CC00-4DD8-9BE7-6A56EF35F7E6}" formatIdx="2">
          <cx:tx>
            <cx:txData>
              <cx:f/>
              <cx:v>Central Gas</cx:v>
            </cx:txData>
          </cx:tx>
          <cx:dataId val="1"/>
          <cx:layoutPr>
            <cx:visibility meanMarker="0" nonoutliers="0" outliers="0"/>
            <cx:statistics quartileMethod="exclusive"/>
          </cx:layoutPr>
        </cx:series>
        <cx:series layoutId="boxWhisker" uniqueId="{00000004-CC00-4DD8-9BE7-6A56EF35F7E6}" formatIdx="3">
          <cx:tx>
            <cx:txData>
              <cx:f/>
              <cx:v>Individual HP</cx:v>
            </cx:txData>
          </cx:tx>
          <cx:dataId val="2"/>
          <cx:layoutPr>
            <cx:visibility meanMarker="0" nonoutliers="0" outliers="0"/>
            <cx:statistics quartileMethod="exclusive"/>
          </cx:layoutPr>
        </cx:series>
        <cx:series layoutId="boxWhisker" uniqueId="{00000005-CC00-4DD8-9BE7-6A56EF35F7E6}" formatIdx="4">
          <cx:tx>
            <cx:txData>
              <cx:f/>
              <cx:v>Individual Gas</cx:v>
            </cx:txData>
          </cx:tx>
          <cx:spPr>
            <a:ln w="9525">
              <a:solidFill>
                <a:schemeClr val="accent1"/>
              </a:solidFill>
            </a:ln>
          </cx:spPr>
          <cx:dataId val="3"/>
          <cx:layoutPr>
            <cx:visibility meanMarker="0" nonoutliers="0" outliers="0"/>
            <cx:statistics quartileMethod="exclusive"/>
          </cx:layoutPr>
        </cx:series>
        <cx:series layoutId="boxWhisker" uniqueId="{00000006-CC00-4DD8-9BE7-6A56EF35F7E6}" formatIdx="5">
          <cx:tx>
            <cx:txData>
              <cx:f/>
              <cx:v>Multi-Central HP</cx:v>
            </cx:txData>
          </cx:tx>
          <cx:dataId val="4"/>
          <cx:layoutPr>
            <cx:visibility meanMarker="0" nonoutliers="0" outliers="0"/>
            <cx:statistics quartileMethod="exclusive"/>
          </cx:layoutPr>
        </cx:series>
      </cx:plotAreaRegion>
      <cx:axis id="0" hidden="1">
        <cx:catScaling gapWidth="0.300000012"/>
        <cx:tickLabels/>
      </cx:axis>
      <cx:axis id="1">
        <cx:valScaling/>
        <cx:title>
          <cx:tx>
            <cx:txData>
              <cx:v>Normalized $/unit Installed Cost</cx:v>
            </cx:txData>
          </cx:tx>
          <cx:txPr>
            <a:bodyPr spcFirstLastPara="1" vertOverflow="ellipsis" horzOverflow="overflow" wrap="square" lIns="0" tIns="0" rIns="0" bIns="0" anchor="ctr" anchorCtr="1"/>
            <a:lstStyle/>
            <a:p>
              <a:pPr algn="ctr" rtl="0">
                <a:defRPr/>
              </a:pPr>
              <a:r>
                <a:rPr lang="en-US" sz="900" b="1" i="0" u="none" strike="noStrike" baseline="0">
                  <a:solidFill>
                    <a:sysClr val="windowText" lastClr="000000">
                      <a:lumMod val="65000"/>
                      <a:lumOff val="35000"/>
                    </a:sysClr>
                  </a:solidFill>
                  <a:latin typeface="Calibri" panose="020F0502020204030204"/>
                </a:rPr>
                <a:t>Normalized $/unit Installed Cost</a:t>
              </a:r>
            </a:p>
          </cx:txPr>
        </cx:title>
        <cx:tickLabels/>
        <cx:numFmt formatCode="_($* #,##0_);_($* (#,##0);_($* &quot;-&quot;_);_(@_)" sourceLinked="0"/>
        <cx:txPr>
          <a:bodyPr spcFirstLastPara="1" vertOverflow="ellipsis" horzOverflow="overflow" wrap="square" lIns="0" tIns="0" rIns="0" bIns="0" anchor="ctr" anchorCtr="1"/>
          <a:lstStyle/>
          <a:p>
            <a:pPr algn="ctr" rtl="0">
              <a:defRPr sz="1000"/>
            </a:pPr>
            <a:endParaRPr lang="en-US" sz="1000" b="0" i="0" u="none" strike="noStrike" baseline="0">
              <a:solidFill>
                <a:sysClr val="windowText" lastClr="000000">
                  <a:lumMod val="65000"/>
                  <a:lumOff val="35000"/>
                </a:sysClr>
              </a:solidFill>
              <a:latin typeface="Calibri" panose="020F0502020204030204"/>
            </a:endParaRPr>
          </a:p>
        </cx:txPr>
      </cx:axis>
    </cx:plotArea>
    <cx:legend pos="r"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_xlchart.v1.9</cx:f>
      </cx:numDim>
    </cx:data>
    <cx:data id="1">
      <cx:numDim type="val">
        <cx:f>_xlchart.v1.5</cx:f>
      </cx:numDim>
    </cx:data>
    <cx:data id="2">
      <cx:numDim type="val">
        <cx:f>_xlchart.v1.6</cx:f>
      </cx:numDim>
    </cx:data>
    <cx:data id="3">
      <cx:numDim type="val">
        <cx:f>_xlchart.v1.7</cx:f>
      </cx:numDim>
    </cx:data>
    <cx:data id="4">
      <cx:numDim type="val">
        <cx:f>_xlchart.v1.8</cx:f>
      </cx:numDim>
    </cx:data>
  </cx:chartData>
  <cx:chart>
    <cx:title pos="t" align="ctr" overlay="0">
      <cx:tx>
        <cx:txData>
          <cx:v>Reported Costs (with 50% Gas Infrastructure)</cx:v>
        </cx:txData>
      </cx:tx>
      <cx:txPr>
        <a:bodyPr spcFirstLastPara="1" vertOverflow="ellipsis" horzOverflow="overflow" wrap="square" lIns="0" tIns="0" rIns="0" bIns="0" anchor="ctr" anchorCtr="1"/>
        <a:lstStyle/>
        <a:p>
          <a:pPr algn="ctr" rtl="0">
            <a:defRPr/>
          </a:pPr>
          <a:r>
            <a:rPr lang="en-US" sz="1800" b="1" i="0" u="none" strike="noStrike" cap="all" spc="150" baseline="0">
              <a:solidFill>
                <a:sysClr val="windowText" lastClr="000000">
                  <a:lumMod val="50000"/>
                  <a:lumOff val="50000"/>
                </a:sysClr>
              </a:solidFill>
              <a:latin typeface="Calibri" panose="020F0502020204030204"/>
            </a:rPr>
            <a:t>Reported Costs (with 50% Gas Infrastructure)</a:t>
          </a:r>
        </a:p>
      </cx:txPr>
    </cx:title>
    <cx:plotArea>
      <cx:plotAreaRegion>
        <cx:series layoutId="boxWhisker" uniqueId="{00000002-CC00-4DD8-9BE7-6A56EF35F7E6}" formatIdx="1">
          <cx:tx>
            <cx:txData>
              <cx:f/>
              <cx:v>Central HP</cx:v>
            </cx:txData>
          </cx:tx>
          <cx:dataId val="0"/>
          <cx:layoutPr>
            <cx:visibility meanLine="0" meanMarker="0" nonoutliers="0" outliers="0"/>
            <cx:statistics quartileMethod="exclusive"/>
          </cx:layoutPr>
        </cx:series>
        <cx:series layoutId="boxWhisker" uniqueId="{00000003-CC00-4DD8-9BE7-6A56EF35F7E6}" formatIdx="2">
          <cx:tx>
            <cx:txData>
              <cx:f/>
              <cx:v>Central Gas</cx:v>
            </cx:txData>
          </cx:tx>
          <cx:dataId val="1"/>
          <cx:layoutPr>
            <cx:visibility meanMarker="0" nonoutliers="0" outliers="0"/>
            <cx:statistics quartileMethod="exclusive"/>
          </cx:layoutPr>
        </cx:series>
        <cx:series layoutId="boxWhisker" uniqueId="{00000004-CC00-4DD8-9BE7-6A56EF35F7E6}" formatIdx="3">
          <cx:tx>
            <cx:txData>
              <cx:f/>
              <cx:v>Individual HP</cx:v>
            </cx:txData>
          </cx:tx>
          <cx:dataId val="2"/>
          <cx:layoutPr>
            <cx:visibility meanMarker="0" nonoutliers="0" outliers="0"/>
            <cx:statistics quartileMethod="exclusive"/>
          </cx:layoutPr>
        </cx:series>
        <cx:series layoutId="boxWhisker" uniqueId="{00000005-CC00-4DD8-9BE7-6A56EF35F7E6}" formatIdx="4">
          <cx:tx>
            <cx:txData>
              <cx:f/>
              <cx:v>Individual Gas</cx:v>
            </cx:txData>
          </cx:tx>
          <cx:spPr>
            <a:ln w="9525">
              <a:solidFill>
                <a:schemeClr val="accent1"/>
              </a:solidFill>
            </a:ln>
          </cx:spPr>
          <cx:dataId val="3"/>
          <cx:layoutPr>
            <cx:visibility meanMarker="0" nonoutliers="0" outliers="0"/>
            <cx:statistics quartileMethod="exclusive"/>
          </cx:layoutPr>
        </cx:series>
        <cx:series layoutId="boxWhisker" uniqueId="{00000006-CC00-4DD8-9BE7-6A56EF35F7E6}" formatIdx="5">
          <cx:tx>
            <cx:txData>
              <cx:f/>
              <cx:v>Multi-Central HP</cx:v>
            </cx:txData>
          </cx:tx>
          <cx:dataId val="4"/>
          <cx:layoutPr>
            <cx:visibility meanMarker="0" nonoutliers="0" outliers="0"/>
            <cx:statistics quartileMethod="exclusive"/>
          </cx:layoutPr>
        </cx:series>
      </cx:plotAreaRegion>
      <cx:axis id="0" hidden="1">
        <cx:catScaling gapWidth="0.300000012"/>
        <cx:tickLabels/>
      </cx:axis>
      <cx:axis id="1">
        <cx:valScaling max="6000"/>
        <cx:title>
          <cx:tx>
            <cx:txData>
              <cx:v>Normalized $/unit Installed Cost</cx:v>
            </cx:txData>
          </cx:tx>
          <cx:txPr>
            <a:bodyPr spcFirstLastPara="1" vertOverflow="ellipsis" horzOverflow="overflow" wrap="square" lIns="0" tIns="0" rIns="0" bIns="0" anchor="ctr" anchorCtr="1"/>
            <a:lstStyle/>
            <a:p>
              <a:pPr algn="ctr" rtl="0">
                <a:defRPr/>
              </a:pPr>
              <a:r>
                <a:rPr lang="en-US" sz="900" b="1" i="0" u="none" strike="noStrike" baseline="0">
                  <a:solidFill>
                    <a:sysClr val="windowText" lastClr="000000">
                      <a:lumMod val="65000"/>
                      <a:lumOff val="35000"/>
                    </a:sysClr>
                  </a:solidFill>
                  <a:latin typeface="Calibri" panose="020F0502020204030204"/>
                </a:rPr>
                <a:t>Normalized $/unit Installed Cost</a:t>
              </a:r>
            </a:p>
          </cx:txPr>
        </cx:title>
        <cx:tickLabels/>
        <cx:numFmt formatCode="_($* #,##0_);_($* (#,##0);_($* &quot;-&quot;_);_(@_)" sourceLinked="0"/>
        <cx:txPr>
          <a:bodyPr spcFirstLastPara="1" vertOverflow="ellipsis" horzOverflow="overflow" wrap="square" lIns="0" tIns="0" rIns="0" bIns="0" anchor="ctr" anchorCtr="1"/>
          <a:lstStyle/>
          <a:p>
            <a:pPr algn="ctr" rtl="0">
              <a:defRPr sz="1000"/>
            </a:pPr>
            <a:endParaRPr lang="en-US" sz="1000" b="0" i="0" u="none" strike="noStrike" baseline="0">
              <a:solidFill>
                <a:sysClr val="windowText" lastClr="000000">
                  <a:lumMod val="65000"/>
                  <a:lumOff val="35000"/>
                </a:sysClr>
              </a:solidFill>
              <a:latin typeface="Calibri" panose="020F0502020204030204"/>
            </a:endParaRPr>
          </a:p>
        </cx:txPr>
      </cx:axis>
    </cx:plotArea>
    <cx:legend pos="r"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_xlchart.v1.14</cx:f>
      </cx:numDim>
    </cx:data>
    <cx:data id="1">
      <cx:numDim type="val">
        <cx:f>_xlchart.v1.10</cx:f>
      </cx:numDim>
    </cx:data>
    <cx:data id="2">
      <cx:numDim type="val">
        <cx:f>_xlchart.v1.11</cx:f>
      </cx:numDim>
    </cx:data>
    <cx:data id="3">
      <cx:numDim type="val">
        <cx:f>_xlchart.v1.12</cx:f>
      </cx:numDim>
    </cx:data>
    <cx:data id="4">
      <cx:numDim type="val">
        <cx:f>_xlchart.v1.13</cx:f>
      </cx:numDim>
    </cx:data>
  </cx:chartData>
  <cx:chart>
    <cx:title pos="t" align="ctr" overlay="0">
      <cx:tx>
        <cx:txData>
          <cx:v>Reported Costs (Without Gas Infrastructure)</cx:v>
        </cx:txData>
      </cx:tx>
      <cx:txPr>
        <a:bodyPr spcFirstLastPara="1" vertOverflow="ellipsis" horzOverflow="overflow" wrap="square" lIns="0" tIns="0" rIns="0" bIns="0" anchor="ctr" anchorCtr="1"/>
        <a:lstStyle/>
        <a:p>
          <a:pPr algn="ctr" rtl="0">
            <a:defRPr/>
          </a:pPr>
          <a:r>
            <a:rPr lang="en-US" sz="1800" b="1" i="0" u="none" strike="noStrike" cap="all" spc="150" baseline="0">
              <a:solidFill>
                <a:sysClr val="windowText" lastClr="000000">
                  <a:lumMod val="50000"/>
                  <a:lumOff val="50000"/>
                </a:sysClr>
              </a:solidFill>
              <a:latin typeface="Calibri" panose="020F0502020204030204"/>
            </a:rPr>
            <a:t>Reported Costs (Without Gas Infrastructure)</a:t>
          </a:r>
        </a:p>
      </cx:txPr>
    </cx:title>
    <cx:plotArea>
      <cx:plotAreaRegion>
        <cx:series layoutId="boxWhisker" uniqueId="{00000002-CC00-4DD8-9BE7-6A56EF35F7E6}" formatIdx="1">
          <cx:tx>
            <cx:txData>
              <cx:f/>
              <cx:v>Central HP</cx:v>
            </cx:txData>
          </cx:tx>
          <cx:dataId val="0"/>
          <cx:layoutPr>
            <cx:visibility meanLine="0" meanMarker="0" nonoutliers="0" outliers="0"/>
            <cx:statistics quartileMethod="exclusive"/>
          </cx:layoutPr>
        </cx:series>
        <cx:series layoutId="boxWhisker" uniqueId="{00000003-CC00-4DD8-9BE7-6A56EF35F7E6}" formatIdx="2">
          <cx:tx>
            <cx:txData>
              <cx:f/>
              <cx:v>Central Gas</cx:v>
            </cx:txData>
          </cx:tx>
          <cx:dataId val="1"/>
          <cx:layoutPr>
            <cx:visibility meanMarker="0" nonoutliers="0" outliers="0"/>
            <cx:statistics quartileMethod="exclusive"/>
          </cx:layoutPr>
        </cx:series>
        <cx:series layoutId="boxWhisker" uniqueId="{00000004-CC00-4DD8-9BE7-6A56EF35F7E6}" formatIdx="3">
          <cx:tx>
            <cx:txData>
              <cx:f/>
              <cx:v>Individual HP</cx:v>
            </cx:txData>
          </cx:tx>
          <cx:dataId val="2"/>
          <cx:layoutPr>
            <cx:visibility meanMarker="0" nonoutliers="0" outliers="0"/>
            <cx:statistics quartileMethod="exclusive"/>
          </cx:layoutPr>
        </cx:series>
        <cx:series layoutId="boxWhisker" uniqueId="{00000005-CC00-4DD8-9BE7-6A56EF35F7E6}" formatIdx="4">
          <cx:tx>
            <cx:txData>
              <cx:f/>
              <cx:v>Individual Gas</cx:v>
            </cx:txData>
          </cx:tx>
          <cx:spPr>
            <a:ln w="9525">
              <a:solidFill>
                <a:schemeClr val="accent1"/>
              </a:solidFill>
            </a:ln>
          </cx:spPr>
          <cx:dataId val="3"/>
          <cx:layoutPr>
            <cx:visibility meanMarker="0" nonoutliers="0" outliers="0"/>
            <cx:statistics quartileMethod="exclusive"/>
          </cx:layoutPr>
        </cx:series>
        <cx:series layoutId="boxWhisker" uniqueId="{00000006-CC00-4DD8-9BE7-6A56EF35F7E6}" formatIdx="5">
          <cx:tx>
            <cx:txData>
              <cx:f/>
              <cx:v>Multi-Central HP</cx:v>
            </cx:txData>
          </cx:tx>
          <cx:dataId val="4"/>
          <cx:layoutPr>
            <cx:visibility meanMarker="0" nonoutliers="0" outliers="0"/>
            <cx:statistics quartileMethod="exclusive"/>
          </cx:layoutPr>
        </cx:series>
      </cx:plotAreaRegion>
      <cx:axis id="0" hidden="1">
        <cx:catScaling gapWidth="0.300000012"/>
        <cx:tickLabels/>
      </cx:axis>
      <cx:axis id="1">
        <cx:valScaling max="6000"/>
        <cx:title>
          <cx:tx>
            <cx:txData>
              <cx:v>Normalized $/unit Installed Cost</cx:v>
            </cx:txData>
          </cx:tx>
          <cx:txPr>
            <a:bodyPr spcFirstLastPara="1" vertOverflow="ellipsis" horzOverflow="overflow" wrap="square" lIns="0" tIns="0" rIns="0" bIns="0" anchor="ctr" anchorCtr="1"/>
            <a:lstStyle/>
            <a:p>
              <a:pPr algn="ctr" rtl="0">
                <a:defRPr/>
              </a:pPr>
              <a:r>
                <a:rPr lang="en-US" sz="900" b="1" i="0" u="none" strike="noStrike" baseline="0">
                  <a:solidFill>
                    <a:sysClr val="windowText" lastClr="000000">
                      <a:lumMod val="65000"/>
                      <a:lumOff val="35000"/>
                    </a:sysClr>
                  </a:solidFill>
                  <a:latin typeface="Calibri" panose="020F0502020204030204"/>
                </a:rPr>
                <a:t>Normalized $/unit Installed Cost</a:t>
              </a:r>
            </a:p>
          </cx:txPr>
        </cx:title>
        <cx:tickLabels/>
        <cx:numFmt formatCode="_($* #,##0_);_($* (#,##0);_($* &quot;-&quot;_);_(@_)" sourceLinked="0"/>
        <cx:txPr>
          <a:bodyPr spcFirstLastPara="1" vertOverflow="ellipsis" horzOverflow="overflow" wrap="square" lIns="0" tIns="0" rIns="0" bIns="0" anchor="ctr" anchorCtr="1"/>
          <a:lstStyle/>
          <a:p>
            <a:pPr algn="ctr" rtl="0">
              <a:defRPr sz="1000"/>
            </a:pPr>
            <a:endParaRPr lang="en-US" sz="1000" b="0" i="0" u="none" strike="noStrike" baseline="0">
              <a:solidFill>
                <a:sysClr val="windowText" lastClr="000000">
                  <a:lumMod val="65000"/>
                  <a:lumOff val="35000"/>
                </a:sysClr>
              </a:solidFill>
              <a:latin typeface="Calibri" panose="020F0502020204030204"/>
            </a:endParaRPr>
          </a:p>
        </cx:txPr>
      </cx:axis>
    </cx:plotArea>
    <cx:legend pos="r"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7">
  <cs:axisTitle>
    <cs:lnRef idx="0"/>
    <cs:fillRef idx="0"/>
    <cs:effectRef idx="0"/>
    <cs:fontRef idx="minor">
      <a:schemeClr val="tx1">
        <a:lumMod val="65000"/>
        <a:lumOff val="35000"/>
      </a:schemeClr>
    </cs:fontRef>
    <cs:defRPr sz="900" b="1"/>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ln>
        <a:solidFill>
          <a:schemeClr val="phClr"/>
        </a:solidFill>
      </a:ln>
    </cs:spPr>
  </cs:dataPoint>
  <cs:dataPoint3D>
    <cs:lnRef idx="0"/>
    <cs:fillRef idx="0">
      <cs:styleClr val="auto"/>
    </cs:fillRef>
    <cs:effectRef idx="0"/>
    <cs:fontRef idx="minor">
      <a:schemeClr val="dk1"/>
    </cs:fontRef>
    <cs:spPr>
      <a:solidFill>
        <a:schemeClr val="phClr"/>
      </a:solid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25000"/>
            <a:lumOff val="75000"/>
          </a:schemeClr>
        </a:solidFill>
      </a:ln>
    </cs:spPr>
    <cs:defRPr sz="9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25000"/>
            <a:lumOff val="75000"/>
          </a:schemeClr>
        </a:solidFill>
      </a:ln>
    </cs:spPr>
  </cs:gridlineMajor>
  <cs:gridlineMinor>
    <cs:lnRef idx="0"/>
    <cs:fillRef idx="0"/>
    <cs:effectRef idx="0"/>
    <cs:fontRef idx="minor">
      <a:schemeClr val="dk1"/>
    </cs:fontRef>
    <cs:spPr>
      <a:ln>
        <a:solidFill>
          <a:schemeClr val="tx1">
            <a:lumMod val="25000"/>
            <a:lumOff val="75000"/>
            <a:lumOff val="10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800" b="1" cap="all" spc="15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07">
  <cs:axisTitle>
    <cs:lnRef idx="0"/>
    <cs:fillRef idx="0"/>
    <cs:effectRef idx="0"/>
    <cs:fontRef idx="minor">
      <a:schemeClr val="tx1">
        <a:lumMod val="65000"/>
        <a:lumOff val="35000"/>
      </a:schemeClr>
    </cs:fontRef>
    <cs:defRPr sz="900" b="1"/>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ln>
        <a:solidFill>
          <a:schemeClr val="phClr"/>
        </a:solidFill>
      </a:ln>
    </cs:spPr>
  </cs:dataPoint>
  <cs:dataPoint3D>
    <cs:lnRef idx="0"/>
    <cs:fillRef idx="0">
      <cs:styleClr val="auto"/>
    </cs:fillRef>
    <cs:effectRef idx="0"/>
    <cs:fontRef idx="minor">
      <a:schemeClr val="dk1"/>
    </cs:fontRef>
    <cs:spPr>
      <a:solidFill>
        <a:schemeClr val="phClr"/>
      </a:solid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25000"/>
            <a:lumOff val="75000"/>
          </a:schemeClr>
        </a:solidFill>
      </a:ln>
    </cs:spPr>
    <cs:defRPr sz="9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25000"/>
            <a:lumOff val="75000"/>
          </a:schemeClr>
        </a:solidFill>
      </a:ln>
    </cs:spPr>
  </cs:gridlineMajor>
  <cs:gridlineMinor>
    <cs:lnRef idx="0"/>
    <cs:fillRef idx="0"/>
    <cs:effectRef idx="0"/>
    <cs:fontRef idx="minor">
      <a:schemeClr val="dk1"/>
    </cs:fontRef>
    <cs:spPr>
      <a:ln>
        <a:solidFill>
          <a:schemeClr val="tx1">
            <a:lumMod val="25000"/>
            <a:lumOff val="75000"/>
            <a:lumOff val="10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800" b="1" cap="all" spc="15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407">
  <cs:axisTitle>
    <cs:lnRef idx="0"/>
    <cs:fillRef idx="0"/>
    <cs:effectRef idx="0"/>
    <cs:fontRef idx="minor">
      <a:schemeClr val="tx1">
        <a:lumMod val="65000"/>
        <a:lumOff val="35000"/>
      </a:schemeClr>
    </cs:fontRef>
    <cs:defRPr sz="900" b="1"/>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ln>
        <a:solidFill>
          <a:schemeClr val="phClr"/>
        </a:solidFill>
      </a:ln>
    </cs:spPr>
  </cs:dataPoint>
  <cs:dataPoint3D>
    <cs:lnRef idx="0"/>
    <cs:fillRef idx="0">
      <cs:styleClr val="auto"/>
    </cs:fillRef>
    <cs:effectRef idx="0"/>
    <cs:fontRef idx="minor">
      <a:schemeClr val="dk1"/>
    </cs:fontRef>
    <cs:spPr>
      <a:solidFill>
        <a:schemeClr val="phClr"/>
      </a:solid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25000"/>
            <a:lumOff val="75000"/>
          </a:schemeClr>
        </a:solidFill>
      </a:ln>
    </cs:spPr>
    <cs:defRPr sz="9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25000"/>
            <a:lumOff val="75000"/>
          </a:schemeClr>
        </a:solidFill>
      </a:ln>
    </cs:spPr>
  </cs:gridlineMajor>
  <cs:gridlineMinor>
    <cs:lnRef idx="0"/>
    <cs:fillRef idx="0"/>
    <cs:effectRef idx="0"/>
    <cs:fontRef idx="minor">
      <a:schemeClr val="dk1"/>
    </cs:fontRef>
    <cs:spPr>
      <a:ln>
        <a:solidFill>
          <a:schemeClr val="tx1">
            <a:lumMod val="25000"/>
            <a:lumOff val="75000"/>
            <a:lumOff val="10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800" b="1" cap="all" spc="15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0</xdr:rowOff>
    </xdr:from>
    <xdr:to>
      <xdr:col>6</xdr:col>
      <xdr:colOff>1040130</xdr:colOff>
      <xdr:row>54</xdr:row>
      <xdr:rowOff>166572</xdr:rowOff>
    </xdr:to>
    <mc:AlternateContent xmlns:mc="http://schemas.openxmlformats.org/markup-compatibility/2006">
      <mc:Choice xmlns:cx1="http://schemas.microsoft.com/office/drawing/2015/9/8/chartex" Requires="cx1">
        <xdr:graphicFrame macro="">
          <xdr:nvGraphicFramePr>
            <xdr:cNvPr id="14" name="Chart 5">
              <a:extLst>
                <a:ext uri="{FF2B5EF4-FFF2-40B4-BE49-F238E27FC236}">
                  <a16:creationId xmlns:a16="http://schemas.microsoft.com/office/drawing/2014/main" id="{33564D51-D86C-44EC-AA04-802DE0F4978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17600" y="8534400"/>
              <a:ext cx="7542530" cy="340507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56</xdr:row>
      <xdr:rowOff>0</xdr:rowOff>
    </xdr:from>
    <xdr:to>
      <xdr:col>6</xdr:col>
      <xdr:colOff>1040130</xdr:colOff>
      <xdr:row>73</xdr:row>
      <xdr:rowOff>166572</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8CC7F4F8-E721-4AFE-A3C1-4049CAC089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117600" y="12153900"/>
              <a:ext cx="7542530" cy="340507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75</xdr:row>
      <xdr:rowOff>0</xdr:rowOff>
    </xdr:from>
    <xdr:to>
      <xdr:col>6</xdr:col>
      <xdr:colOff>1036613</xdr:colOff>
      <xdr:row>93</xdr:row>
      <xdr:rowOff>1269</xdr:rowOff>
    </xdr:to>
    <mc:AlternateContent xmlns:mc="http://schemas.openxmlformats.org/markup-compatibility/2006">
      <mc:Choice xmlns:cx1="http://schemas.microsoft.com/office/drawing/2015/9/8/chartex" Requires="cx1">
        <xdr:graphicFrame macro="">
          <xdr:nvGraphicFramePr>
            <xdr:cNvPr id="16" name="Chart 5">
              <a:extLst>
                <a:ext uri="{FF2B5EF4-FFF2-40B4-BE49-F238E27FC236}">
                  <a16:creationId xmlns:a16="http://schemas.microsoft.com/office/drawing/2014/main" id="{6257003D-3E6C-4B99-80B1-A1934FD76E3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117600" y="15773400"/>
              <a:ext cx="7539013" cy="343026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4</xdr:col>
      <xdr:colOff>251460</xdr:colOff>
      <xdr:row>41</xdr:row>
      <xdr:rowOff>167640</xdr:rowOff>
    </xdr:to>
    <xdr:pic>
      <xdr:nvPicPr>
        <xdr:cNvPr id="5" name="Picture 4">
          <a:extLst>
            <a:ext uri="{FF2B5EF4-FFF2-40B4-BE49-F238E27FC236}">
              <a16:creationId xmlns:a16="http://schemas.microsoft.com/office/drawing/2014/main" id="{6BF1D112-6B5D-4317-B97C-A5684CB39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11680"/>
          <a:ext cx="9753600" cy="6385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3</xdr:col>
      <xdr:colOff>716946</xdr:colOff>
      <xdr:row>34</xdr:row>
      <xdr:rowOff>38100</xdr:rowOff>
    </xdr:to>
    <xdr:pic>
      <xdr:nvPicPr>
        <xdr:cNvPr id="8" name="Picture 7">
          <a:extLst>
            <a:ext uri="{FF2B5EF4-FFF2-40B4-BE49-F238E27FC236}">
              <a16:creationId xmlns:a16="http://schemas.microsoft.com/office/drawing/2014/main" id="{A5515909-8B44-4196-9361-E2F97F215F27}"/>
            </a:ext>
          </a:extLst>
        </xdr:cNvPr>
        <xdr:cNvPicPr>
          <a:picLocks noChangeAspect="1"/>
        </xdr:cNvPicPr>
      </xdr:nvPicPr>
      <xdr:blipFill rotWithShape="1">
        <a:blip xmlns:r="http://schemas.openxmlformats.org/officeDocument/2006/relationships" r:embed="rId1"/>
        <a:srcRect t="19805"/>
        <a:stretch/>
      </xdr:blipFill>
      <xdr:spPr>
        <a:xfrm>
          <a:off x="0" y="1645920"/>
          <a:ext cx="9464706" cy="4975860"/>
        </a:xfrm>
        <a:prstGeom prst="rect">
          <a:avLst/>
        </a:prstGeom>
        <a:ln>
          <a:solidFill>
            <a:sysClr val="windowText" lastClr="000000"/>
          </a:solidFill>
        </a:ln>
      </xdr:spPr>
    </xdr:pic>
    <xdr:clientData/>
  </xdr:twoCellAnchor>
  <xdr:twoCellAnchor editAs="oneCell">
    <xdr:from>
      <xdr:col>0</xdr:col>
      <xdr:colOff>0</xdr:colOff>
      <xdr:row>37</xdr:row>
      <xdr:rowOff>0</xdr:rowOff>
    </xdr:from>
    <xdr:to>
      <xdr:col>2</xdr:col>
      <xdr:colOff>759866</xdr:colOff>
      <xdr:row>64</xdr:row>
      <xdr:rowOff>0</xdr:rowOff>
    </xdr:to>
    <xdr:pic>
      <xdr:nvPicPr>
        <xdr:cNvPr id="9" name="Picture 8" descr="Inserting image...">
          <a:extLst>
            <a:ext uri="{FF2B5EF4-FFF2-40B4-BE49-F238E27FC236}">
              <a16:creationId xmlns:a16="http://schemas.microsoft.com/office/drawing/2014/main" id="{C8EDF296-7DD7-4552-8D13-0F26802E64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32320"/>
          <a:ext cx="8741816" cy="493776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66</xdr:row>
      <xdr:rowOff>0</xdr:rowOff>
    </xdr:from>
    <xdr:to>
      <xdr:col>0</xdr:col>
      <xdr:colOff>6901493</xdr:colOff>
      <xdr:row>84</xdr:row>
      <xdr:rowOff>175260</xdr:rowOff>
    </xdr:to>
    <xdr:pic>
      <xdr:nvPicPr>
        <xdr:cNvPr id="10" name="Picture 9">
          <a:extLst>
            <a:ext uri="{FF2B5EF4-FFF2-40B4-BE49-F238E27FC236}">
              <a16:creationId xmlns:a16="http://schemas.microsoft.com/office/drawing/2014/main" id="{153A5E30-7006-46EC-904C-3E95B1A37E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12435840"/>
          <a:ext cx="6901492" cy="34671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rockmtnins.sharepoint.com/Users/aegerter/Rocky%20Mountain%20Institute/DHW%20Electrification%20Cost%20Study%20-%20Research/Residential-Building-Electrification-Capital-Costs-SF-LRMF%20(1)/Residential%20Building%20Electrification%20Water%20Heater-LRMF-r2.xlsx?46B8CDFF" TargetMode="External"/><Relationship Id="rId1" Type="http://schemas.openxmlformats.org/officeDocument/2006/relationships/externalLinkPath" Target="file:///46B8CDFF/Residential%20Building%20Electrification%20Water%20Heater-LRMF-r2.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rockmtnins.sharepoint.com/Users/aegerter/Rocky%20Mountain%20Institute/DHW%20Electrification%20Cost%20Study%20-%20Research/Residential-Building-Electrification-Capital-Costs-SF-LRMF%20(1)/Residential%20Building%20Electrification%20Water%20Heater-SF-r2.xlsx?46B8CDFF" TargetMode="External"/><Relationship Id="rId1" Type="http://schemas.openxmlformats.org/officeDocument/2006/relationships/externalLinkPath" Target="file:///46B8CDFF/Residential%20Building%20Electrification%20Water%20Heater-SF-r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ockmtnins.sharepoint.com/sites/DHWElectrificationCostStudy/Research/Residential-Building-Electrification-Capital-Costs-SF-LRMF%20(1)/Residential%20Building%20Electrification%20Water%20Heater-SF-r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ockmtnins.sharepoint.com/sites/DHWElectrificationCostStudy/Research/Residential-Building-Electrification-Capital-Costs-SF-LRMF%20(1)/Residential%20Building%20Electrification%20Water%20Heater-LRMF-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Water and Cooking"/>
      <sheetName val="LRMF NC Gas WH Z3"/>
      <sheetName val="LRMF NC Gas WH Z4"/>
      <sheetName val="LRMF NC Gas WH Z6"/>
      <sheetName val="LRMF NC Gas WH Z9"/>
      <sheetName val="LRMF NC Gas WH Z10"/>
      <sheetName val="LRMF 90 Gas WH Z3"/>
      <sheetName val="LRMF 90 Gas WH Z4"/>
      <sheetName val="LRMF 90 Gas WH Z6"/>
      <sheetName val="LRMF 90 Gas WH Z9"/>
      <sheetName val="LRMF 90 Gas WH Z10"/>
      <sheetName val="LRMF 90 Gas WH Z12"/>
      <sheetName val="LRMF 78 Gas WH Z3"/>
      <sheetName val="LRMF 78 Gas WH Z4"/>
      <sheetName val="LRMF 78 Gas WH Z6"/>
      <sheetName val="LRMF 78 Gas WH Z9"/>
      <sheetName val="LRMF 78 Gas WH Z10"/>
      <sheetName val="LRMF 78 Gas WH Z12"/>
      <sheetName val="LRMF NC Electric WH Z3 S"/>
      <sheetName val="LRMF NC Electric WH Z4 S"/>
      <sheetName val="LRMF NC Electric WH Z6 S"/>
      <sheetName val="LRMF NC Electric WH Z9 S"/>
      <sheetName val="LRMF NC Electric WH Z10 S"/>
      <sheetName val="LRMF NC Electric WH Z12 S"/>
      <sheetName val="LRMF NC Electric WH Z3 O1"/>
      <sheetName val="LRMF NC Electric WH Z4 O1"/>
      <sheetName val="LRMF NC Electric WH Z6 O1"/>
      <sheetName val="LRMF NC Electric WH Z9 O1"/>
      <sheetName val="LRMF NC Electric WH Z10 O1"/>
      <sheetName val="LRMF NC Electric WH Z12 O1"/>
      <sheetName val="LRMF NC Electric WH Z3 O2"/>
      <sheetName val="LRMF NC Electric WH Z4 O2"/>
      <sheetName val="LRMF NC Electric WH Z6 O2"/>
      <sheetName val="LRMF NC Electric WH Z9 O2"/>
      <sheetName val="LRMF NC Electric WH Z10 O2"/>
      <sheetName val="LRMF NC Electric WH Z12 O2"/>
      <sheetName val="LRMF 90 Electric WH Z3 S"/>
      <sheetName val="LRMF 90 Electric WH Z4 S"/>
      <sheetName val="LRMF 90 Electric WH Z6 S"/>
      <sheetName val="LRMF 90 Electric WH Z9 S"/>
      <sheetName val="LRMF 90 Electric WH Z10 S"/>
      <sheetName val="LRMF 90 Electric WH Z12 S"/>
      <sheetName val="LRMF 90 Electric WH Z3 O1"/>
      <sheetName val="LRMF 90 Electric WH Z4 O1"/>
      <sheetName val="LRMF 90 Electric WH Z6 O1"/>
      <sheetName val="LRMF 90 Electric WH Z9 O1"/>
      <sheetName val="LRMF 90 Electric WH Z10 O1"/>
      <sheetName val="LRMF 90 Electric WH Z12 O1"/>
      <sheetName val="LRMF 90 Electric WH Z3 O2"/>
      <sheetName val="LRMF 90 Electric WH Z4 O2"/>
      <sheetName val="LRMF 90 Electric WH Z6 O2"/>
      <sheetName val="LRMF 90 Electric WH Z9 O2"/>
      <sheetName val="LRMF 90 Electric WH Z10 O2"/>
      <sheetName val="LRMF 90 Electric WH Z12 O2"/>
      <sheetName val="LRMF 78 Electric WH Z3 S"/>
      <sheetName val="LRMF 78 Electric WH Z4 S"/>
      <sheetName val="LRMF 78 Electric WH Z6 S"/>
      <sheetName val="LRMF 78 Electric WH Z9 S"/>
      <sheetName val="LRMF 78 Electric WH Z10 S"/>
      <sheetName val="LRMF 78 Electric WH Z12 S"/>
      <sheetName val="LRMF 78 Electric WH Z3 O1"/>
      <sheetName val="LRMF 78 Electric WH Z4 O1"/>
      <sheetName val="LRMF 78 Electric WH Z6 O1"/>
      <sheetName val="LRMF 78 Electric WH Z9 O1"/>
      <sheetName val="LRMF 78 Electric WH Z10 O1"/>
      <sheetName val="LRMF 78 Electric WH Z12 O1"/>
      <sheetName val="LRMF 78 Electric WH Z3 O2"/>
      <sheetName val="LRMF 78 Electric WH Z4 O2"/>
      <sheetName val="LRMF 78 Electric WH Z6 O2"/>
      <sheetName val="LRMF 78 Electric WH Z9 O2"/>
      <sheetName val="LRMF 78 Electric WH Z10 O2"/>
      <sheetName val="LRMF 78 Electric WH Z12 O2"/>
    </sheetNames>
    <sheetDataSet>
      <sheetData sheetId="0"/>
      <sheetData sheetId="1">
        <row r="4">
          <cell r="B4">
            <v>3</v>
          </cell>
          <cell r="C4" t="str">
            <v>San Francisco</v>
          </cell>
          <cell r="E4">
            <v>95</v>
          </cell>
          <cell r="F4">
            <v>0.2</v>
          </cell>
          <cell r="G4">
            <v>0.1</v>
          </cell>
          <cell r="H4">
            <v>1.2500000000000001E-2</v>
          </cell>
          <cell r="I4">
            <v>0.08</v>
          </cell>
          <cell r="J4">
            <v>0.18</v>
          </cell>
        </row>
        <row r="5">
          <cell r="B5">
            <v>4</v>
          </cell>
          <cell r="C5" t="str">
            <v>San Jose</v>
          </cell>
          <cell r="E5">
            <v>95</v>
          </cell>
          <cell r="F5">
            <v>0.18</v>
          </cell>
          <cell r="G5">
            <v>0.1</v>
          </cell>
          <cell r="H5">
            <v>1.2500000000000001E-2</v>
          </cell>
          <cell r="I5">
            <v>0.05</v>
          </cell>
          <cell r="J5">
            <v>0.18</v>
          </cell>
        </row>
        <row r="6">
          <cell r="B6">
            <v>6</v>
          </cell>
          <cell r="C6" t="str">
            <v>Santa Barbara / Santa Monica / Long Beach</v>
          </cell>
          <cell r="E6">
            <v>85</v>
          </cell>
          <cell r="F6">
            <v>0.15</v>
          </cell>
          <cell r="G6">
            <v>0.1</v>
          </cell>
          <cell r="H6">
            <v>1.2500000000000001E-2</v>
          </cell>
          <cell r="I6">
            <v>0.02</v>
          </cell>
          <cell r="J6">
            <v>0.18</v>
          </cell>
        </row>
        <row r="7">
          <cell r="B7">
            <v>9</v>
          </cell>
          <cell r="C7" t="str">
            <v>Pasadena / Burbank / Pomona</v>
          </cell>
          <cell r="E7">
            <v>85</v>
          </cell>
          <cell r="F7">
            <v>0.15</v>
          </cell>
          <cell r="G7">
            <v>0.1</v>
          </cell>
          <cell r="H7">
            <v>1.2500000000000001E-2</v>
          </cell>
          <cell r="I7">
            <v>0.02</v>
          </cell>
          <cell r="J7">
            <v>0.18</v>
          </cell>
        </row>
        <row r="8">
          <cell r="B8">
            <v>10</v>
          </cell>
          <cell r="C8" t="str">
            <v>Riverside / San Bernadino</v>
          </cell>
          <cell r="E8">
            <v>70</v>
          </cell>
          <cell r="F8">
            <v>0.15</v>
          </cell>
          <cell r="G8">
            <v>0.1</v>
          </cell>
          <cell r="H8">
            <v>1.2500000000000001E-2</v>
          </cell>
          <cell r="I8">
            <v>0</v>
          </cell>
          <cell r="J8">
            <v>0.18</v>
          </cell>
        </row>
        <row r="9">
          <cell r="B9">
            <v>12</v>
          </cell>
          <cell r="C9" t="str">
            <v>Sacramento</v>
          </cell>
          <cell r="E9">
            <v>65</v>
          </cell>
          <cell r="F9">
            <v>0.15</v>
          </cell>
          <cell r="G9">
            <v>0.1</v>
          </cell>
          <cell r="H9">
            <v>1.2500000000000001E-2</v>
          </cell>
          <cell r="I9">
            <v>0</v>
          </cell>
          <cell r="J9">
            <v>0.18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Water and Cooking"/>
      <sheetName val="SF NC Gas WH Z3"/>
      <sheetName val="SF NC Electric WH Z3 S"/>
      <sheetName val="SF NC Electric WH Z3 O1"/>
      <sheetName val="SF NC Electric WH Z3 O2"/>
      <sheetName val="SF 90 Gas WH Z3"/>
      <sheetName val="SF 90 Electric WH Z3 S"/>
      <sheetName val="SF 90 Electric WH Z3 O1"/>
      <sheetName val="SF 90 Electric WH Z3 O2"/>
      <sheetName val="SF 78 Gas WH Z3"/>
      <sheetName val="SF 78 Electric WH Z3 S"/>
      <sheetName val="SF 78 Electric WH Z3 O1"/>
      <sheetName val="SF 78 Electric WH Z3 O2"/>
      <sheetName val="SF NC Gas WH Z4"/>
      <sheetName val="SF NC Electric WH Z4 S"/>
      <sheetName val="SF NC Electric WH Z4 O1"/>
      <sheetName val="SF NC Electric WH Z4 O2"/>
      <sheetName val="SF 90 Gas WH Z4"/>
      <sheetName val="SF 90 Electric WH Z4 S"/>
      <sheetName val="SF 90 Electric WH Z4 O1"/>
      <sheetName val="SF 90 Electric WH Z4 O2"/>
      <sheetName val="SF 78 Gas WH Z4"/>
      <sheetName val="SF 78 Electric WH Z4 S"/>
      <sheetName val="SF 78 Electric WH Z4 O1"/>
      <sheetName val="SF 78 Electric WH Z4 O2"/>
      <sheetName val="SF NC Gas WH Z6"/>
      <sheetName val="SF NC Electric WH Z6 S"/>
      <sheetName val="SF NC Electric WH Z6 O1"/>
      <sheetName val="SF NC Electric WH Z6 O2"/>
      <sheetName val="SF 90 Gas WH Z6"/>
      <sheetName val="SF 90 Electric WH Z6 S"/>
      <sheetName val="SF 90 Electric WH Z6 O1"/>
      <sheetName val="SF 90 Electric WH Z6 O2"/>
      <sheetName val="SF 78 Gas WH Z6"/>
      <sheetName val="SF 78 Electric WH Z6 S"/>
      <sheetName val="SF 78 Electric WH Z6 O1"/>
      <sheetName val="SF 78 Electric WH Z6 O2"/>
      <sheetName val="SF NC Gas WH Z9"/>
      <sheetName val="SF NC Electric WH Z9 S"/>
      <sheetName val="SF NC Electric WH Z9 O1"/>
      <sheetName val="SF NC Electric WH Z9 O2"/>
      <sheetName val="SF 90 Gas WH Z9"/>
      <sheetName val="SF 90 Electric WH Z9 S"/>
      <sheetName val="SF 90 Electric WH Z9 O1"/>
      <sheetName val="SF 90 Electric WH Z9 O2"/>
      <sheetName val="SF 78 Gas WH Z9"/>
      <sheetName val="SF 78 Electric WH Z9 S"/>
      <sheetName val="SF 78 Electric WH Z9 O1"/>
      <sheetName val="SF 78 Electric WH Z9 O2"/>
      <sheetName val="SF NC Gas WH Z10"/>
      <sheetName val="SF NC Electric WH Z10 S"/>
      <sheetName val="SF NC Electric WH Z10 O1"/>
      <sheetName val="SF NC Electric WH Z10 O2"/>
      <sheetName val="SF 90 Gas WH Z10"/>
      <sheetName val="SF 90 Electric WH Z10 S"/>
      <sheetName val="SF 90 Electric WH Z10 O1"/>
      <sheetName val="SF 90 Electric WH Z10 O2"/>
      <sheetName val="SF 78 Gas WH Z10"/>
      <sheetName val="SF 78 Electric WH Z10 S"/>
      <sheetName val="SF 78 Electric WH Z10 O1"/>
      <sheetName val="SF 78 Electric WH Z10 O2"/>
      <sheetName val="SF NC Gas WH Z12"/>
      <sheetName val="SF NC Electric WH Z12 S"/>
      <sheetName val="SF NC Electric WH Z12 O1"/>
      <sheetName val="SF NC Electric WH Z12 O2"/>
      <sheetName val="SF 90 Gas WH Z12"/>
      <sheetName val="SF 90 Electric WH Z12 S"/>
      <sheetName val="SF 90 Electric WH Z12 O1"/>
      <sheetName val="SF 90 Electric WH Z12 O2"/>
      <sheetName val="SF 78 Gas WH Z12"/>
      <sheetName val="SF 78 Electric WH Z12 S"/>
      <sheetName val="SF 78 Electric WH Z12 O1"/>
      <sheetName val="SF 78 Electric WH Z12 O2"/>
      <sheetName val="LRMF NC Gas"/>
      <sheetName val="LRMF NC Electric S"/>
      <sheetName val="LRMF NC Electric O1"/>
      <sheetName val="LRMF NC Electric O2"/>
      <sheetName val="LRMF 90 Gas"/>
      <sheetName val="LRMF 90 Electric S"/>
      <sheetName val="LRMF 90 Electric O1"/>
      <sheetName val="LRMF 90 Electric O2"/>
      <sheetName val="LRMF 78 Gas"/>
      <sheetName val="LRMF 78 Electric S"/>
    </sheetNames>
    <sheetDataSet>
      <sheetData sheetId="0"/>
      <sheetData sheetId="1">
        <row r="4">
          <cell r="B4">
            <v>3</v>
          </cell>
          <cell r="C4" t="str">
            <v>San Francisco</v>
          </cell>
          <cell r="E4">
            <v>95</v>
          </cell>
          <cell r="F4">
            <v>0.2</v>
          </cell>
          <cell r="G4">
            <v>0.1</v>
          </cell>
          <cell r="H4">
            <v>1.2500000000000001E-2</v>
          </cell>
          <cell r="I4">
            <v>0.08</v>
          </cell>
          <cell r="J4">
            <v>0.18</v>
          </cell>
        </row>
        <row r="5">
          <cell r="B5">
            <v>4</v>
          </cell>
          <cell r="C5" t="str">
            <v>San Jose</v>
          </cell>
          <cell r="E5">
            <v>95</v>
          </cell>
          <cell r="F5">
            <v>0.18</v>
          </cell>
          <cell r="G5">
            <v>0.1</v>
          </cell>
          <cell r="H5">
            <v>1.2500000000000001E-2</v>
          </cell>
          <cell r="I5">
            <v>0.05</v>
          </cell>
          <cell r="J5">
            <v>0.18</v>
          </cell>
        </row>
        <row r="6">
          <cell r="B6">
            <v>6</v>
          </cell>
          <cell r="C6" t="str">
            <v>Santa Barbara / Santa Monica / Long Beach</v>
          </cell>
          <cell r="E6">
            <v>85</v>
          </cell>
          <cell r="F6">
            <v>0.15</v>
          </cell>
          <cell r="G6">
            <v>0.1</v>
          </cell>
          <cell r="H6">
            <v>1.2500000000000001E-2</v>
          </cell>
          <cell r="I6">
            <v>0.02</v>
          </cell>
          <cell r="J6">
            <v>0.18</v>
          </cell>
        </row>
        <row r="7">
          <cell r="B7">
            <v>9</v>
          </cell>
          <cell r="C7" t="str">
            <v>Pasadena / Burbank / Pomona</v>
          </cell>
          <cell r="E7">
            <v>85</v>
          </cell>
          <cell r="F7">
            <v>0.15</v>
          </cell>
          <cell r="G7">
            <v>0.1</v>
          </cell>
          <cell r="H7">
            <v>1.2500000000000001E-2</v>
          </cell>
          <cell r="I7">
            <v>0.02</v>
          </cell>
          <cell r="J7">
            <v>0.18</v>
          </cell>
        </row>
        <row r="8">
          <cell r="B8">
            <v>10</v>
          </cell>
          <cell r="C8" t="str">
            <v>Riverside / San Bernadino</v>
          </cell>
          <cell r="E8">
            <v>70</v>
          </cell>
          <cell r="F8">
            <v>0.15</v>
          </cell>
          <cell r="G8">
            <v>0.1</v>
          </cell>
          <cell r="H8">
            <v>1.2500000000000001E-2</v>
          </cell>
          <cell r="I8">
            <v>0</v>
          </cell>
          <cell r="J8">
            <v>0.18</v>
          </cell>
        </row>
        <row r="9">
          <cell r="B9">
            <v>12</v>
          </cell>
          <cell r="C9" t="str">
            <v>Sacramento</v>
          </cell>
          <cell r="E9">
            <v>65</v>
          </cell>
          <cell r="F9">
            <v>0.15</v>
          </cell>
          <cell r="G9">
            <v>0.1</v>
          </cell>
          <cell r="H9">
            <v>1.2500000000000001E-2</v>
          </cell>
          <cell r="I9">
            <v>0</v>
          </cell>
          <cell r="J9">
            <v>0.18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Water and Cooking"/>
      <sheetName val="SF NC Gas WH Z3"/>
      <sheetName val="SF NC Electric WH Z3 S"/>
      <sheetName val="SF NC Electric WH Z3 O1"/>
      <sheetName val="SF NC Electric WH Z3 O2"/>
      <sheetName val="SF 90 Gas WH Z3"/>
      <sheetName val="SF 90 Electric WH Z3 S"/>
      <sheetName val="SF 90 Electric WH Z3 O1"/>
      <sheetName val="SF 90 Electric WH Z3 O2"/>
      <sheetName val="SF 78 Gas WH Z3"/>
      <sheetName val="SF 78 Electric WH Z3 S"/>
      <sheetName val="SF 78 Electric WH Z3 O1"/>
      <sheetName val="SF 78 Electric WH Z3 O2"/>
      <sheetName val="SF NC Gas WH Z4"/>
      <sheetName val="SF NC Electric WH Z4 S"/>
      <sheetName val="SF NC Electric WH Z4 O1"/>
      <sheetName val="SF NC Electric WH Z4 O2"/>
      <sheetName val="SF 90 Gas WH Z4"/>
      <sheetName val="SF 90 Electric WH Z4 S"/>
      <sheetName val="SF 90 Electric WH Z4 O1"/>
      <sheetName val="SF 90 Electric WH Z4 O2"/>
      <sheetName val="SF 78 Gas WH Z4"/>
      <sheetName val="SF 78 Electric WH Z4 S"/>
      <sheetName val="SF 78 Electric WH Z4 O1"/>
      <sheetName val="SF 78 Electric WH Z4 O2"/>
      <sheetName val="SF NC Gas WH Z6"/>
      <sheetName val="SF NC Electric WH Z6 S"/>
      <sheetName val="SF NC Electric WH Z6 O1"/>
      <sheetName val="SF NC Electric WH Z6 O2"/>
      <sheetName val="SF 90 Gas WH Z6"/>
      <sheetName val="SF 90 Electric WH Z6 S"/>
      <sheetName val="SF 90 Electric WH Z6 O1"/>
      <sheetName val="SF 90 Electric WH Z6 O2"/>
      <sheetName val="SF 78 Gas WH Z6"/>
      <sheetName val="SF 78 Electric WH Z6 S"/>
      <sheetName val="SF 78 Electric WH Z6 O1"/>
      <sheetName val="SF 78 Electric WH Z6 O2"/>
      <sheetName val="SF NC Gas WH Z9"/>
      <sheetName val="SF NC Electric WH Z9 S"/>
      <sheetName val="SF NC Electric WH Z9 O1"/>
      <sheetName val="SF NC Electric WH Z9 O2"/>
      <sheetName val="SF 90 Gas WH Z9"/>
      <sheetName val="SF 90 Electric WH Z9 S"/>
      <sheetName val="SF 90 Electric WH Z9 O1"/>
      <sheetName val="SF 90 Electric WH Z9 O2"/>
      <sheetName val="SF 78 Gas WH Z9"/>
      <sheetName val="SF 78 Electric WH Z9 S"/>
      <sheetName val="SF 78 Electric WH Z9 O1"/>
      <sheetName val="SF 78 Electric WH Z9 O2"/>
      <sheetName val="SF NC Gas WH Z10"/>
      <sheetName val="SF NC Electric WH Z10 S"/>
      <sheetName val="SF NC Electric WH Z10 O1"/>
      <sheetName val="SF NC Electric WH Z10 O2"/>
      <sheetName val="SF 90 Gas WH Z10"/>
      <sheetName val="SF 90 Electric WH Z10 S"/>
      <sheetName val="SF 90 Electric WH Z10 O1"/>
      <sheetName val="SF 90 Electric WH Z10 O2"/>
      <sheetName val="SF 78 Gas WH Z10"/>
      <sheetName val="SF 78 Electric WH Z10 S"/>
      <sheetName val="SF 78 Electric WH Z10 O1"/>
      <sheetName val="SF 78 Electric WH Z10 O2"/>
      <sheetName val="SF NC Gas WH Z12"/>
      <sheetName val="SF NC Electric WH Z12 S"/>
      <sheetName val="SF NC Electric WH Z12 O1"/>
      <sheetName val="SF NC Electric WH Z12 O2"/>
      <sheetName val="SF 90 Gas WH Z12"/>
      <sheetName val="SF 90 Electric WH Z12 S"/>
      <sheetName val="SF 90 Electric WH Z12 O1"/>
      <sheetName val="SF 90 Electric WH Z12 O2"/>
      <sheetName val="SF 78 Gas WH Z12"/>
      <sheetName val="SF 78 Electric WH Z12 S"/>
      <sheetName val="SF 78 Electric WH Z12 O1"/>
      <sheetName val="SF 78 Electric WH Z12 O2"/>
      <sheetName val="LRMF NC Gas"/>
      <sheetName val="LRMF NC Electric S"/>
      <sheetName val="LRMF NC Electric O1"/>
      <sheetName val="LRMF NC Electric O2"/>
      <sheetName val="LRMF 90 Gas"/>
      <sheetName val="LRMF 90 Electric S"/>
      <sheetName val="LRMF 90 Electric O1"/>
      <sheetName val="LRMF 90 Electric O2"/>
      <sheetName val="LRMF 78 Gas"/>
      <sheetName val="LRMF 78 Electric S"/>
    </sheetNames>
    <sheetDataSet>
      <sheetData sheetId="0"/>
      <sheetData sheetId="1">
        <row r="4">
          <cell r="B4">
            <v>3</v>
          </cell>
          <cell r="C4" t="str">
            <v>San Francisco</v>
          </cell>
          <cell r="E4">
            <v>95</v>
          </cell>
          <cell r="F4">
            <v>0.2</v>
          </cell>
          <cell r="G4">
            <v>0.1</v>
          </cell>
          <cell r="H4">
            <v>1.2500000000000001E-2</v>
          </cell>
          <cell r="I4">
            <v>0.08</v>
          </cell>
          <cell r="J4">
            <v>0.18</v>
          </cell>
        </row>
        <row r="5">
          <cell r="B5">
            <v>4</v>
          </cell>
          <cell r="C5" t="str">
            <v>San Jose</v>
          </cell>
          <cell r="E5">
            <v>95</v>
          </cell>
          <cell r="F5">
            <v>0.18</v>
          </cell>
          <cell r="G5">
            <v>0.1</v>
          </cell>
          <cell r="H5">
            <v>1.2500000000000001E-2</v>
          </cell>
          <cell r="I5">
            <v>0.05</v>
          </cell>
          <cell r="J5">
            <v>0.18</v>
          </cell>
        </row>
        <row r="6">
          <cell r="B6">
            <v>6</v>
          </cell>
          <cell r="C6" t="str">
            <v>Santa Barbara / Santa Monica / Long Beach</v>
          </cell>
          <cell r="E6">
            <v>85</v>
          </cell>
          <cell r="F6">
            <v>0.15</v>
          </cell>
          <cell r="G6">
            <v>0.1</v>
          </cell>
          <cell r="H6">
            <v>1.2500000000000001E-2</v>
          </cell>
          <cell r="I6">
            <v>0.02</v>
          </cell>
          <cell r="J6">
            <v>0.18</v>
          </cell>
        </row>
        <row r="7">
          <cell r="B7">
            <v>9</v>
          </cell>
          <cell r="C7" t="str">
            <v>Pasadena / Burbank / Pomona</v>
          </cell>
          <cell r="E7">
            <v>85</v>
          </cell>
          <cell r="F7">
            <v>0.15</v>
          </cell>
          <cell r="G7">
            <v>0.1</v>
          </cell>
          <cell r="H7">
            <v>1.2500000000000001E-2</v>
          </cell>
          <cell r="I7">
            <v>0.02</v>
          </cell>
          <cell r="J7">
            <v>0.18</v>
          </cell>
        </row>
        <row r="8">
          <cell r="B8">
            <v>10</v>
          </cell>
          <cell r="C8" t="str">
            <v>Riverside / San Bernadino</v>
          </cell>
          <cell r="E8">
            <v>70</v>
          </cell>
          <cell r="F8">
            <v>0.15</v>
          </cell>
          <cell r="G8">
            <v>0.1</v>
          </cell>
          <cell r="H8">
            <v>1.2500000000000001E-2</v>
          </cell>
          <cell r="I8">
            <v>0</v>
          </cell>
          <cell r="J8">
            <v>0.18</v>
          </cell>
        </row>
        <row r="9">
          <cell r="B9">
            <v>12</v>
          </cell>
          <cell r="C9" t="str">
            <v>Sacramento</v>
          </cell>
          <cell r="E9">
            <v>65</v>
          </cell>
          <cell r="F9">
            <v>0.15</v>
          </cell>
          <cell r="G9">
            <v>0.1</v>
          </cell>
          <cell r="H9">
            <v>1.2500000000000001E-2</v>
          </cell>
          <cell r="I9">
            <v>0</v>
          </cell>
          <cell r="J9">
            <v>0.18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Water and Cooking"/>
      <sheetName val="LRMF NC Gas WH Z3"/>
      <sheetName val="LRMF NC Gas WH Z4"/>
      <sheetName val="LRMF NC Gas WH Z6"/>
      <sheetName val="LRMF NC Gas WH Z9"/>
      <sheetName val="LRMF NC Gas WH Z10"/>
      <sheetName val="LRMF 90 Gas WH Z3"/>
      <sheetName val="LRMF 90 Gas WH Z4"/>
      <sheetName val="LRMF 90 Gas WH Z6"/>
      <sheetName val="LRMF 90 Gas WH Z9"/>
      <sheetName val="LRMF 90 Gas WH Z10"/>
      <sheetName val="LRMF 90 Gas WH Z12"/>
      <sheetName val="LRMF 78 Gas WH Z3"/>
      <sheetName val="LRMF 78 Gas WH Z4"/>
      <sheetName val="LRMF 78 Gas WH Z6"/>
      <sheetName val="LRMF 78 Gas WH Z9"/>
      <sheetName val="LRMF 78 Gas WH Z10"/>
      <sheetName val="LRMF 78 Gas WH Z12"/>
      <sheetName val="LRMF NC Electric WH Z3 S"/>
      <sheetName val="LRMF NC Electric WH Z4 S"/>
      <sheetName val="LRMF NC Electric WH Z6 S"/>
      <sheetName val="LRMF NC Electric WH Z9 S"/>
      <sheetName val="LRMF NC Electric WH Z10 S"/>
      <sheetName val="LRMF NC Electric WH Z12 S"/>
      <sheetName val="LRMF NC Electric WH Z3 O1"/>
      <sheetName val="LRMF NC Electric WH Z4 O1"/>
      <sheetName val="LRMF NC Electric WH Z6 O1"/>
      <sheetName val="LRMF NC Electric WH Z9 O1"/>
      <sheetName val="LRMF NC Electric WH Z10 O1"/>
      <sheetName val="LRMF NC Electric WH Z12 O1"/>
      <sheetName val="LRMF NC Electric WH Z3 O2"/>
      <sheetName val="LRMF NC Electric WH Z4 O2"/>
      <sheetName val="LRMF NC Electric WH Z6 O2"/>
      <sheetName val="LRMF NC Electric WH Z9 O2"/>
      <sheetName val="LRMF NC Electric WH Z10 O2"/>
      <sheetName val="LRMF NC Electric WH Z12 O2"/>
      <sheetName val="LRMF 90 Electric WH Z3 S"/>
      <sheetName val="LRMF 90 Electric WH Z4 S"/>
      <sheetName val="LRMF 90 Electric WH Z6 S"/>
      <sheetName val="LRMF 90 Electric WH Z9 S"/>
      <sheetName val="LRMF 90 Electric WH Z10 S"/>
      <sheetName val="LRMF 90 Electric WH Z12 S"/>
      <sheetName val="LRMF 90 Electric WH Z3 O1"/>
      <sheetName val="LRMF 90 Electric WH Z4 O1"/>
      <sheetName val="LRMF 90 Electric WH Z6 O1"/>
      <sheetName val="LRMF 90 Electric WH Z9 O1"/>
      <sheetName val="LRMF 90 Electric WH Z10 O1"/>
      <sheetName val="LRMF 90 Electric WH Z12 O1"/>
      <sheetName val="LRMF 90 Electric WH Z3 O2"/>
      <sheetName val="LRMF 90 Electric WH Z4 O2"/>
      <sheetName val="LRMF 90 Electric WH Z6 O2"/>
      <sheetName val="LRMF 90 Electric WH Z9 O2"/>
      <sheetName val="LRMF 90 Electric WH Z10 O2"/>
      <sheetName val="LRMF 90 Electric WH Z12 O2"/>
      <sheetName val="LRMF 78 Electric WH Z3 S"/>
      <sheetName val="LRMF 78 Electric WH Z4 S"/>
      <sheetName val="LRMF 78 Electric WH Z6 S"/>
      <sheetName val="LRMF 78 Electric WH Z9 S"/>
      <sheetName val="LRMF 78 Electric WH Z10 S"/>
      <sheetName val="LRMF 78 Electric WH Z12 S"/>
      <sheetName val="LRMF 78 Electric WH Z3 O1"/>
      <sheetName val="LRMF 78 Electric WH Z4 O1"/>
      <sheetName val="LRMF 78 Electric WH Z6 O1"/>
      <sheetName val="LRMF 78 Electric WH Z9 O1"/>
      <sheetName val="LRMF 78 Electric WH Z10 O1"/>
      <sheetName val="LRMF 78 Electric WH Z12 O1"/>
      <sheetName val="LRMF 78 Electric WH Z3 O2"/>
      <sheetName val="LRMF 78 Electric WH Z4 O2"/>
      <sheetName val="LRMF 78 Electric WH Z6 O2"/>
      <sheetName val="LRMF 78 Electric WH Z9 O2"/>
      <sheetName val="LRMF 78 Electric WH Z10 O2"/>
      <sheetName val="LRMF 78 Electric WH Z12 O2"/>
      <sheetName val="LRMF NC Gas WH Z12"/>
    </sheetNames>
    <sheetDataSet>
      <sheetData sheetId="0"/>
      <sheetData sheetId="1">
        <row r="4">
          <cell r="B4">
            <v>3</v>
          </cell>
          <cell r="C4" t="str">
            <v>San Francisco</v>
          </cell>
          <cell r="E4">
            <v>95</v>
          </cell>
          <cell r="F4">
            <v>0.2</v>
          </cell>
          <cell r="G4">
            <v>0.1</v>
          </cell>
          <cell r="H4">
            <v>1.2500000000000001E-2</v>
          </cell>
          <cell r="I4">
            <v>0.08</v>
          </cell>
          <cell r="J4">
            <v>0.18</v>
          </cell>
        </row>
        <row r="5">
          <cell r="B5">
            <v>4</v>
          </cell>
          <cell r="C5" t="str">
            <v>San Jose</v>
          </cell>
          <cell r="E5">
            <v>95</v>
          </cell>
          <cell r="F5">
            <v>0.18</v>
          </cell>
          <cell r="G5">
            <v>0.1</v>
          </cell>
          <cell r="H5">
            <v>1.2500000000000001E-2</v>
          </cell>
          <cell r="I5">
            <v>0.05</v>
          </cell>
          <cell r="J5">
            <v>0.18</v>
          </cell>
        </row>
        <row r="6">
          <cell r="B6">
            <v>6</v>
          </cell>
          <cell r="C6" t="str">
            <v>Santa Barbara / Santa Monica / Long Beach</v>
          </cell>
          <cell r="E6">
            <v>85</v>
          </cell>
          <cell r="F6">
            <v>0.15</v>
          </cell>
          <cell r="G6">
            <v>0.1</v>
          </cell>
          <cell r="H6">
            <v>1.2500000000000001E-2</v>
          </cell>
          <cell r="I6">
            <v>0.02</v>
          </cell>
          <cell r="J6">
            <v>0.18</v>
          </cell>
        </row>
        <row r="7">
          <cell r="B7">
            <v>9</v>
          </cell>
          <cell r="C7" t="str">
            <v>Pasadena / Burbank / Pomona</v>
          </cell>
          <cell r="E7">
            <v>85</v>
          </cell>
          <cell r="F7">
            <v>0.15</v>
          </cell>
          <cell r="G7">
            <v>0.1</v>
          </cell>
          <cell r="H7">
            <v>1.2500000000000001E-2</v>
          </cell>
          <cell r="I7">
            <v>0.02</v>
          </cell>
          <cell r="J7">
            <v>0.18</v>
          </cell>
        </row>
        <row r="8">
          <cell r="B8">
            <v>10</v>
          </cell>
          <cell r="C8" t="str">
            <v>Riverside / San Bernadino</v>
          </cell>
          <cell r="E8">
            <v>70</v>
          </cell>
          <cell r="F8">
            <v>0.15</v>
          </cell>
          <cell r="G8">
            <v>0.1</v>
          </cell>
          <cell r="H8">
            <v>1.2500000000000001E-2</v>
          </cell>
          <cell r="I8">
            <v>0</v>
          </cell>
          <cell r="J8">
            <v>0.18</v>
          </cell>
        </row>
        <row r="9">
          <cell r="B9">
            <v>12</v>
          </cell>
          <cell r="C9" t="str">
            <v>Sacramento</v>
          </cell>
          <cell r="E9">
            <v>65</v>
          </cell>
          <cell r="F9">
            <v>0.15</v>
          </cell>
          <cell r="G9">
            <v>0.1</v>
          </cell>
          <cell r="H9">
            <v>1.2500000000000001E-2</v>
          </cell>
          <cell r="I9">
            <v>0</v>
          </cell>
          <cell r="J9">
            <v>0.18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persons/person.xml><?xml version="1.0" encoding="utf-8"?>
<personList xmlns="http://schemas.microsoft.com/office/spreadsheetml/2018/threadedcomments" xmlns:x="http://schemas.openxmlformats.org/spreadsheetml/2006/main">
  <person displayName="Michael Gartman" id="{15EB088A-DD76-4D2B-9572-57FBEA61AEA9}" userId="S::mgartman@RMI.org::6a2bb5d2-06dc-4b6d-bf9e-5a0d8b0e95b7" providerId="AD"/>
  <person displayName="Michael Gartman" id="{405B1B7F-AFE5-4EE3-ADBB-65543BA033C6}" userId="S::mgartman@rmi.org::6a2bb5d2-06dc-4b6d-bf9e-5a0d8b0e95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 dT="2020-03-25T22:31:35.38" personId="{405B1B7F-AFE5-4EE3-ADBB-65543BA033C6}" id="{B18FE68C-A66E-45B5-AE24-D7F2B77F55FD}">
    <text>Uses rule-of-thumb costs provided by Ecotope (for mid/high-rise buildings in urban markets) and BLH (for low-rise buildings in smaller markets).</text>
  </threadedComment>
  <threadedComment ref="O3" dT="2020-07-17T14:24:48.61" personId="{15EB088A-DD76-4D2B-9572-57FBEA61AEA9}" id="{85A06CC6-9D99-4396-B7B9-44402C25007D}">
    <text>Assumptions based on PG&amp;E memo</text>
  </threadedComment>
  <threadedComment ref="H13" dT="2020-07-09T23:29:38.21" personId="{405B1B7F-AFE5-4EE3-ADBB-65543BA033C6}" id="{2CDD0475-ED8F-4446-BE9C-18FE7EE0385B}">
    <text>Added $25k after follow up, see 3/29 email</text>
  </threadedComment>
  <threadedComment ref="O15" dT="2020-03-11T01:29:54.09" personId="{405B1B7F-AFE5-4EE3-ADBB-65543BA033C6}" id="{3EB97558-E1D9-484F-B907-28CC50903A10}">
    <text xml:space="preserve">Based on the median of the four non-outlier gas infrastructure quotes we got from large MF projects
</text>
  </threadedComment>
  <threadedComment ref="O24" dT="2020-03-11T15:25:24.65" personId="{405B1B7F-AFE5-4EE3-ADBB-65543BA033C6}" id="{3C8FD85B-E3ED-41D1-AFE3-1460DF4FE1A5}">
    <text xml:space="preserve">Exact assumed cost was unclear, this number mirrors PGE recommendations 
</text>
  </threadedComment>
  <threadedComment ref="O25" dT="2020-03-11T15:25:10.47" personId="{405B1B7F-AFE5-4EE3-ADBB-65543BA033C6}" id="{1382DED7-407F-429C-A343-C661289B1217}">
    <text>Exact assumed cost was unclear, this number mirrors PGE recommendations and adjusts for discrepancies in E3 assumptions (using $300/meter instead of $600/meter)</text>
  </threadedComment>
</ThreadedComments>
</file>

<file path=xl/threadedComments/threadedComment2.xml><?xml version="1.0" encoding="utf-8"?>
<ThreadedComments xmlns="http://schemas.microsoft.com/office/spreadsheetml/2018/threadedcomments" xmlns:x="http://schemas.openxmlformats.org/spreadsheetml/2006/main">
  <threadedComment ref="H1" dT="2019-11-10T16:55:24.73" personId="{15EB088A-DD76-4D2B-9572-57FBEA61AEA9}" id="{D4C3976B-DD60-4E4D-9226-928A7128CD1B}">
    <text>RSMeans 2020 City Cost Index, Assemblies &gt; Mechanical &gt; Total</text>
  </threadedComment>
  <threadedComment ref="H6" dT="2019-11-16T20:26:10.84" personId="{15EB088A-DD76-4D2B-9572-57FBEA61AEA9}" id="{07811638-3BBB-4C74-89A9-44A6AC3FF131}">
    <text>Avg of Fresno, Sacramento, and SLO-- unsure which BLH project was where, but all factors were within +/-1% of each other.</text>
  </threadedComment>
  <threadedComment ref="H29" dT="2019-11-18T23:39:39.81" personId="{15EB088A-DD76-4D2B-9572-57FBEA61AEA9}" id="{67AA28FE-A3FB-49D2-9838-592D2BA6D459}">
    <text>Estimated based roughly on scaling factor for Sacramento.</text>
  </threadedComment>
  <threadedComment ref="H49" dT="2019-11-18T23:39:39.81" personId="{15EB088A-DD76-4D2B-9572-57FBEA61AEA9}" id="{F068C691-BD52-4624-8AE8-8308BB40834F}">
    <text>Estimated based roughly on scaling factor for Sacramento.</text>
  </threadedComment>
  <threadedComment ref="H50" dT="2019-11-18T23:39:39.81" personId="{15EB088A-DD76-4D2B-9572-57FBEA61AEA9}" id="{F4DC0BB8-1602-4C29-A8C9-16C35A6AA824}">
    <text>Estimated based roughly on scaling factor for Sacramento.</text>
  </threadedComment>
  <threadedComment ref="H72" dT="2019-11-19T00:42:09.29" personId="{15EB088A-DD76-4D2B-9572-57FBEA61AEA9}" id="{C5672887-DE3B-4BE6-8CE0-6FFCB40F1416}">
    <text>Estimate based on overall CA costs.</text>
  </threadedComment>
</ThreadedComments>
</file>

<file path=xl/threadedComments/threadedComment3.xml><?xml version="1.0" encoding="utf-8"?>
<ThreadedComments xmlns="http://schemas.microsoft.com/office/spreadsheetml/2018/threadedcomments" xmlns:x="http://schemas.openxmlformats.org/spreadsheetml/2006/main">
  <threadedComment ref="C5" dT="2019-11-18T23:39:39.81" personId="{15EB088A-DD76-4D2B-9572-57FBEA61AEA9}" id="{8EF766B7-7B5F-4261-8A0A-18F27E26578F}">
    <text>Estimated based roughly on scaling factor for Sacramento.</text>
  </threadedComment>
  <threadedComment ref="C6" dT="2019-11-18T23:39:39.81" personId="{15EB088A-DD76-4D2B-9572-57FBEA61AEA9}" id="{C6627453-9CCA-4D0D-9BC7-E84212A56437}">
    <text>Estimated based roughly on scaling factor for Sacramento.</text>
  </threadedComment>
  <threadedComment ref="C10" dT="2019-11-18T23:39:39.81" personId="{15EB088A-DD76-4D2B-9572-57FBEA61AEA9}" id="{E980C973-91F5-436E-B21C-73A5BA9A81F2}">
    <text>Estimated based roughly on scaling factor for Sacramento.</text>
  </threadedComment>
  <threadedComment ref="C15" dT="2019-11-18T23:39:39.81" personId="{15EB088A-DD76-4D2B-9572-57FBEA61AEA9}" id="{9C147EBA-FB59-4986-B7D2-2A8607064223}">
    <text>Estimated based roughly on scaling factor for Sacramento.</text>
  </threadedComment>
</ThreadedComments>
</file>

<file path=xl/threadedComments/threadedComment4.xml><?xml version="1.0" encoding="utf-8"?>
<ThreadedComments xmlns="http://schemas.microsoft.com/office/spreadsheetml/2018/threadedcomments" xmlns:x="http://schemas.openxmlformats.org/spreadsheetml/2006/main">
  <threadedComment ref="F59" dT="2019-11-05T02:54:01.08" personId="{405B1B7F-AFE5-4EE3-ADBB-65543BA033C6}" id="{23B744FB-2822-4057-B0E8-F3769B5DF606}">
    <text xml:space="preserve">Why is this implying that the gas EQUIPMENT is more expensive? Is that really true?
</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cityofpaloalto.org/civicax/filebank/documents/66742" TargetMode="External"/><Relationship Id="rId7" Type="http://schemas.openxmlformats.org/officeDocument/2006/relationships/printerSettings" Target="../printerSettings/printerSettings2.bin"/><Relationship Id="rId2" Type="http://schemas.openxmlformats.org/officeDocument/2006/relationships/hyperlink" Target="https://cityofpaloalto.org/civicax/filebank/documents/66742" TargetMode="External"/><Relationship Id="rId1" Type="http://schemas.openxmlformats.org/officeDocument/2006/relationships/hyperlink" Target="http://www.sanjoseca.gov/DocumentCenter/View/86557" TargetMode="External"/><Relationship Id="rId6" Type="http://schemas.openxmlformats.org/officeDocument/2006/relationships/hyperlink" Target="https://cityofpaloalto.org/civicax/filebank/documents/66742" TargetMode="External"/><Relationship Id="rId5" Type="http://schemas.openxmlformats.org/officeDocument/2006/relationships/hyperlink" Target="https://efiling.energy.ca.gov/GetDocument.aspx?tn=217420" TargetMode="External"/><Relationship Id="rId10" Type="http://schemas.microsoft.com/office/2017/10/relationships/threadedComment" Target="../threadedComments/threadedComment2.xml"/><Relationship Id="rId4" Type="http://schemas.openxmlformats.org/officeDocument/2006/relationships/hyperlink" Target="https://efiling.energy.ca.gov/GetDocument.aspx?tn=217420" TargetMode="Externa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A686-B511-4316-A65C-F3181D8DA18D}">
  <dimension ref="A1:A8"/>
  <sheetViews>
    <sheetView tabSelected="1" workbookViewId="0">
      <selection activeCell="A10" sqref="A10"/>
    </sheetView>
  </sheetViews>
  <sheetFormatPr baseColWidth="10" defaultColWidth="8.83203125" defaultRowHeight="15" x14ac:dyDescent="0.2"/>
  <cols>
    <col min="1" max="1" width="158.33203125" customWidth="1"/>
  </cols>
  <sheetData>
    <row r="1" spans="1:1" x14ac:dyDescent="0.2">
      <c r="A1" s="85" t="s">
        <v>0</v>
      </c>
    </row>
    <row r="2" spans="1:1" x14ac:dyDescent="0.2">
      <c r="A2" s="85"/>
    </row>
    <row r="3" spans="1:1" ht="32" x14ac:dyDescent="0.2">
      <c r="A3" s="90" t="s">
        <v>1</v>
      </c>
    </row>
    <row r="4" spans="1:1" ht="32" x14ac:dyDescent="0.2">
      <c r="A4" s="91" t="s">
        <v>2</v>
      </c>
    </row>
    <row r="5" spans="1:1" ht="48" x14ac:dyDescent="0.2">
      <c r="A5" s="91" t="s">
        <v>3</v>
      </c>
    </row>
    <row r="6" spans="1:1" ht="48" x14ac:dyDescent="0.2">
      <c r="A6" s="91" t="s">
        <v>4</v>
      </c>
    </row>
    <row r="7" spans="1:1" x14ac:dyDescent="0.2">
      <c r="A7" s="90"/>
    </row>
    <row r="8" spans="1:1" ht="32" x14ac:dyDescent="0.2">
      <c r="A8" s="92" t="s">
        <v>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5E66-121A-40BA-9759-232E0B3983DB}">
  <dimension ref="A1:O46"/>
  <sheetViews>
    <sheetView workbookViewId="0"/>
  </sheetViews>
  <sheetFormatPr baseColWidth="10" defaultColWidth="9.1640625" defaultRowHeight="15" x14ac:dyDescent="0.2"/>
  <cols>
    <col min="1" max="3" width="3.6640625" customWidth="1"/>
    <col min="4" max="4" width="34.33203125" bestFit="1" customWidth="1"/>
    <col min="5" max="5" width="9" customWidth="1"/>
    <col min="6" max="6" width="6.6640625" customWidth="1"/>
    <col min="8" max="8" width="9.1640625" bestFit="1" customWidth="1"/>
  </cols>
  <sheetData>
    <row r="1" spans="1:15" x14ac:dyDescent="0.2">
      <c r="A1" t="s">
        <v>365</v>
      </c>
      <c r="O1" t="str">
        <f>A1&amp;": "&amp;A2</f>
        <v>Single Family: New Construction</v>
      </c>
    </row>
    <row r="2" spans="1:15" x14ac:dyDescent="0.2">
      <c r="A2" t="s">
        <v>366</v>
      </c>
    </row>
    <row r="3" spans="1:15" x14ac:dyDescent="0.2">
      <c r="A3" t="s">
        <v>367</v>
      </c>
    </row>
    <row r="4" spans="1:15" x14ac:dyDescent="0.2">
      <c r="A4" s="101">
        <v>12</v>
      </c>
      <c r="B4" s="101"/>
      <c r="C4" s="101"/>
    </row>
    <row r="5" spans="1:15" x14ac:dyDescent="0.2">
      <c r="F5" s="1"/>
      <c r="G5" s="2"/>
      <c r="H5" s="3"/>
    </row>
    <row r="6" spans="1:15" x14ac:dyDescent="0.2">
      <c r="B6" t="s">
        <v>368</v>
      </c>
      <c r="F6" s="1"/>
      <c r="G6" s="2"/>
      <c r="H6" s="3"/>
    </row>
    <row r="7" spans="1:15" x14ac:dyDescent="0.2">
      <c r="C7" t="s">
        <v>369</v>
      </c>
      <c r="F7" s="1"/>
      <c r="G7" s="2"/>
      <c r="H7" s="4" t="s">
        <v>371</v>
      </c>
    </row>
    <row r="8" spans="1:15" x14ac:dyDescent="0.2">
      <c r="D8" t="s">
        <v>370</v>
      </c>
      <c r="F8" s="1"/>
      <c r="G8" s="2"/>
      <c r="H8" s="5"/>
    </row>
    <row r="9" spans="1:15" x14ac:dyDescent="0.2">
      <c r="D9" t="s">
        <v>372</v>
      </c>
      <c r="F9" s="1"/>
      <c r="G9" s="5"/>
      <c r="H9" s="5"/>
    </row>
    <row r="10" spans="1:15" x14ac:dyDescent="0.2">
      <c r="E10" s="10"/>
      <c r="F10" s="11"/>
      <c r="G10" s="12"/>
      <c r="H10" s="13">
        <f>SUBTOTAL(9,H6:H9)</f>
        <v>0</v>
      </c>
    </row>
    <row r="11" spans="1:15" x14ac:dyDescent="0.2">
      <c r="F11" s="1"/>
      <c r="G11" s="2"/>
      <c r="H11" s="5">
        <f t="shared" ref="H11:H31" si="0">E11*G11</f>
        <v>0</v>
      </c>
    </row>
    <row r="12" spans="1:15" x14ac:dyDescent="0.2">
      <c r="B12" t="s">
        <v>373</v>
      </c>
      <c r="F12" s="1"/>
      <c r="G12" s="2"/>
      <c r="H12" s="5">
        <f t="shared" si="0"/>
        <v>0</v>
      </c>
    </row>
    <row r="13" spans="1:15" x14ac:dyDescent="0.2">
      <c r="C13" t="s">
        <v>374</v>
      </c>
      <c r="F13" s="1"/>
      <c r="G13" s="2"/>
      <c r="H13" s="5">
        <f t="shared" si="0"/>
        <v>0</v>
      </c>
    </row>
    <row r="14" spans="1:15" x14ac:dyDescent="0.2">
      <c r="D14" t="s">
        <v>375</v>
      </c>
      <c r="E14">
        <v>1</v>
      </c>
      <c r="F14" s="1" t="s">
        <v>376</v>
      </c>
      <c r="G14" s="2"/>
      <c r="H14" s="20" t="s">
        <v>377</v>
      </c>
    </row>
    <row r="15" spans="1:15" ht="32" x14ac:dyDescent="0.2">
      <c r="D15" s="6" t="s">
        <v>378</v>
      </c>
      <c r="F15" s="1"/>
      <c r="G15" s="2"/>
      <c r="H15" s="5">
        <f t="shared" si="0"/>
        <v>0</v>
      </c>
    </row>
    <row r="16" spans="1:15" ht="16" x14ac:dyDescent="0.2">
      <c r="D16" s="7" t="s">
        <v>379</v>
      </c>
      <c r="E16">
        <v>1</v>
      </c>
      <c r="F16" s="1" t="s">
        <v>380</v>
      </c>
      <c r="G16" s="2">
        <v>50</v>
      </c>
      <c r="H16" s="5">
        <f t="shared" si="0"/>
        <v>50</v>
      </c>
    </row>
    <row r="17" spans="2:8" x14ac:dyDescent="0.2">
      <c r="D17" t="s">
        <v>370</v>
      </c>
      <c r="E17">
        <v>6</v>
      </c>
      <c r="F17" s="1" t="s">
        <v>381</v>
      </c>
      <c r="G17" s="2">
        <f>VLOOKUP($A$4,zone_lu,4)</f>
        <v>65</v>
      </c>
      <c r="H17" s="5">
        <f t="shared" si="0"/>
        <v>390</v>
      </c>
    </row>
    <row r="18" spans="2:8" x14ac:dyDescent="0.2">
      <c r="C18" t="s">
        <v>382</v>
      </c>
      <c r="F18" s="1"/>
      <c r="G18" s="2"/>
      <c r="H18" s="5">
        <f t="shared" si="0"/>
        <v>0</v>
      </c>
    </row>
    <row r="19" spans="2:8" x14ac:dyDescent="0.2">
      <c r="D19" t="s">
        <v>383</v>
      </c>
      <c r="F19" s="1"/>
      <c r="G19" s="2"/>
      <c r="H19" s="5"/>
    </row>
    <row r="20" spans="2:8" ht="32" x14ac:dyDescent="0.2">
      <c r="D20" s="8" t="s">
        <v>384</v>
      </c>
      <c r="E20">
        <v>1</v>
      </c>
      <c r="F20" s="1" t="s">
        <v>380</v>
      </c>
      <c r="G20" s="2">
        <v>400</v>
      </c>
      <c r="H20" s="5">
        <f t="shared" si="0"/>
        <v>400</v>
      </c>
    </row>
    <row r="21" spans="2:8" x14ac:dyDescent="0.2">
      <c r="D21" s="9" t="s">
        <v>385</v>
      </c>
      <c r="E21">
        <v>1</v>
      </c>
      <c r="F21" s="1" t="s">
        <v>380</v>
      </c>
      <c r="G21" s="2">
        <v>100</v>
      </c>
      <c r="H21" s="5">
        <f t="shared" si="0"/>
        <v>100</v>
      </c>
    </row>
    <row r="22" spans="2:8" x14ac:dyDescent="0.2">
      <c r="D22" t="s">
        <v>370</v>
      </c>
      <c r="E22">
        <v>2</v>
      </c>
      <c r="F22" s="1" t="s">
        <v>381</v>
      </c>
      <c r="G22" s="2">
        <f>VLOOKUP($A$4,zone_lu,4)</f>
        <v>65</v>
      </c>
      <c r="H22" s="5">
        <f t="shared" si="0"/>
        <v>130</v>
      </c>
    </row>
    <row r="23" spans="2:8" x14ac:dyDescent="0.2">
      <c r="C23" t="s">
        <v>386</v>
      </c>
      <c r="F23" s="1"/>
      <c r="G23" s="2"/>
      <c r="H23" s="5"/>
    </row>
    <row r="24" spans="2:8" x14ac:dyDescent="0.2">
      <c r="D24" t="s">
        <v>387</v>
      </c>
      <c r="E24">
        <v>1</v>
      </c>
      <c r="F24" s="1" t="s">
        <v>376</v>
      </c>
      <c r="G24" s="2">
        <v>125</v>
      </c>
      <c r="H24" s="5">
        <f t="shared" ref="H24:H27" si="1">E24*G24</f>
        <v>125</v>
      </c>
    </row>
    <row r="25" spans="2:8" x14ac:dyDescent="0.2">
      <c r="D25" t="s">
        <v>388</v>
      </c>
      <c r="F25" s="1"/>
      <c r="G25" s="2"/>
      <c r="H25" s="4" t="s">
        <v>371</v>
      </c>
    </row>
    <row r="26" spans="2:8" x14ac:dyDescent="0.2">
      <c r="D26" t="s">
        <v>389</v>
      </c>
      <c r="F26" s="1"/>
      <c r="G26" s="2"/>
      <c r="H26" s="4" t="s">
        <v>371</v>
      </c>
    </row>
    <row r="27" spans="2:8" x14ac:dyDescent="0.2">
      <c r="D27" t="s">
        <v>370</v>
      </c>
      <c r="E27">
        <v>8</v>
      </c>
      <c r="F27" s="1" t="s">
        <v>381</v>
      </c>
      <c r="G27" s="2">
        <f>VLOOKUP($A$4,zone_lu,4)</f>
        <v>65</v>
      </c>
      <c r="H27" s="5">
        <f t="shared" si="1"/>
        <v>520</v>
      </c>
    </row>
    <row r="28" spans="2:8" x14ac:dyDescent="0.2">
      <c r="E28" s="10"/>
      <c r="F28" s="11"/>
      <c r="G28" s="12"/>
      <c r="H28" s="13">
        <f>SUBTOTAL(9,H12:H27)</f>
        <v>1715</v>
      </c>
    </row>
    <row r="29" spans="2:8" x14ac:dyDescent="0.2">
      <c r="F29" s="1"/>
      <c r="G29" s="2"/>
      <c r="H29" s="5"/>
    </row>
    <row r="30" spans="2:8" x14ac:dyDescent="0.2">
      <c r="C30" t="s">
        <v>390</v>
      </c>
      <c r="F30" s="1"/>
      <c r="G30" s="2"/>
      <c r="H30" s="5">
        <f>SUBTOTAL(9,H6:H29)</f>
        <v>1715</v>
      </c>
    </row>
    <row r="31" spans="2:8" x14ac:dyDescent="0.2">
      <c r="F31" s="1"/>
      <c r="G31" s="2"/>
      <c r="H31" s="5">
        <f t="shared" si="0"/>
        <v>0</v>
      </c>
    </row>
    <row r="32" spans="2:8" x14ac:dyDescent="0.2">
      <c r="B32" t="s">
        <v>391</v>
      </c>
      <c r="E32" s="14">
        <f>ROUND(VLOOKUP($A$4,zone_lu,5)*0.6,2)</f>
        <v>0.09</v>
      </c>
      <c r="F32" s="1"/>
      <c r="G32" s="2"/>
      <c r="H32" s="5">
        <f>ROUND(H30*E32,0)</f>
        <v>154</v>
      </c>
    </row>
    <row r="33" spans="2:8" x14ac:dyDescent="0.2">
      <c r="E33" s="14"/>
      <c r="F33" s="1"/>
      <c r="G33" s="2"/>
      <c r="H33" s="5"/>
    </row>
    <row r="34" spans="2:8" x14ac:dyDescent="0.2">
      <c r="B34" t="s">
        <v>392</v>
      </c>
      <c r="E34" s="14">
        <f>ROUND(VLOOKUP($A$4,zone_lu,6)*0.4,2)</f>
        <v>0.04</v>
      </c>
      <c r="F34" s="1"/>
      <c r="G34" s="2"/>
      <c r="H34" s="5">
        <f>ROUND(SUM(H30:H33)*E34,0)</f>
        <v>75</v>
      </c>
    </row>
    <row r="35" spans="2:8" x14ac:dyDescent="0.2">
      <c r="E35" s="14"/>
      <c r="F35" s="1"/>
      <c r="G35" s="2"/>
      <c r="H35" s="5"/>
    </row>
    <row r="36" spans="2:8" x14ac:dyDescent="0.2">
      <c r="B36" t="s">
        <v>393</v>
      </c>
      <c r="E36" s="14">
        <f>VLOOKUP($A$4,zone_lu,7)</f>
        <v>1.2500000000000001E-2</v>
      </c>
      <c r="F36" s="1"/>
      <c r="G36" s="2"/>
      <c r="H36" s="5">
        <f>ROUND(SUM(H30:H35)*E36,0)</f>
        <v>24</v>
      </c>
    </row>
    <row r="37" spans="2:8" x14ac:dyDescent="0.2">
      <c r="E37" s="14"/>
      <c r="F37" s="1"/>
      <c r="G37" s="2"/>
      <c r="H37" s="5"/>
    </row>
    <row r="38" spans="2:8" x14ac:dyDescent="0.2">
      <c r="B38" t="s">
        <v>394</v>
      </c>
      <c r="E38" s="14"/>
      <c r="F38" s="1"/>
      <c r="G38" s="2"/>
      <c r="H38" s="5">
        <f>ROUND(SUM(H30:H37)*E38,0)</f>
        <v>0</v>
      </c>
    </row>
    <row r="39" spans="2:8" x14ac:dyDescent="0.2">
      <c r="F39" s="1"/>
      <c r="G39" s="2"/>
      <c r="H39" s="5">
        <f t="shared" ref="H39:H41" si="2">E39*G39</f>
        <v>0</v>
      </c>
    </row>
    <row r="40" spans="2:8" ht="16" thickBot="1" x14ac:dyDescent="0.25">
      <c r="B40" s="15" t="s">
        <v>395</v>
      </c>
      <c r="C40" s="15"/>
      <c r="D40" s="15"/>
      <c r="E40" s="15"/>
      <c r="F40" s="16"/>
      <c r="G40" s="17"/>
      <c r="H40" s="18"/>
    </row>
    <row r="41" spans="2:8" ht="16" thickTop="1" x14ac:dyDescent="0.2">
      <c r="E41" s="19"/>
      <c r="F41" s="1"/>
      <c r="G41" s="2"/>
      <c r="H41" s="5">
        <f t="shared" si="2"/>
        <v>0</v>
      </c>
    </row>
    <row r="42" spans="2:8" x14ac:dyDescent="0.2">
      <c r="E42" s="19"/>
      <c r="F42" s="1"/>
      <c r="G42" s="2"/>
      <c r="H42" s="5"/>
    </row>
    <row r="43" spans="2:8" x14ac:dyDescent="0.2">
      <c r="E43" s="19"/>
      <c r="F43" s="1"/>
      <c r="G43" s="2"/>
      <c r="H43" s="5"/>
    </row>
    <row r="44" spans="2:8" x14ac:dyDescent="0.2">
      <c r="E44" s="19"/>
      <c r="F44" s="1"/>
      <c r="G44" s="2"/>
      <c r="H44" s="5"/>
    </row>
    <row r="46" spans="2:8" x14ac:dyDescent="0.2">
      <c r="H46" s="5"/>
    </row>
  </sheetData>
  <mergeCells count="1">
    <mergeCell ref="A4:C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A159-5409-475D-A1D0-824D097983BA}">
  <dimension ref="A1:O46"/>
  <sheetViews>
    <sheetView workbookViewId="0"/>
  </sheetViews>
  <sheetFormatPr baseColWidth="10" defaultColWidth="9.1640625" defaultRowHeight="15" x14ac:dyDescent="0.2"/>
  <cols>
    <col min="1" max="3" width="3.6640625" customWidth="1"/>
    <col min="4" max="4" width="34.33203125" bestFit="1" customWidth="1"/>
    <col min="5" max="5" width="9" customWidth="1"/>
    <col min="6" max="6" width="6.6640625" customWidth="1"/>
    <col min="8" max="8" width="9.1640625" bestFit="1" customWidth="1"/>
  </cols>
  <sheetData>
    <row r="1" spans="1:15" x14ac:dyDescent="0.2">
      <c r="A1" t="s">
        <v>396</v>
      </c>
      <c r="O1" t="str">
        <f>A1&amp;": "&amp;A2</f>
        <v>Low Rise Multi-Family: New Construction</v>
      </c>
    </row>
    <row r="2" spans="1:15" x14ac:dyDescent="0.2">
      <c r="A2" t="s">
        <v>366</v>
      </c>
    </row>
    <row r="3" spans="1:15" x14ac:dyDescent="0.2">
      <c r="A3" t="s">
        <v>367</v>
      </c>
    </row>
    <row r="4" spans="1:15" x14ac:dyDescent="0.2">
      <c r="A4" s="101">
        <v>3</v>
      </c>
      <c r="B4" s="101"/>
      <c r="C4" s="101"/>
    </row>
    <row r="5" spans="1:15" x14ac:dyDescent="0.2">
      <c r="F5" s="1"/>
      <c r="G5" s="2"/>
      <c r="H5" s="3"/>
    </row>
    <row r="6" spans="1:15" x14ac:dyDescent="0.2">
      <c r="B6" t="s">
        <v>368</v>
      </c>
      <c r="F6" s="1"/>
      <c r="G6" s="2"/>
      <c r="H6" s="3"/>
    </row>
    <row r="7" spans="1:15" x14ac:dyDescent="0.2">
      <c r="C7" t="s">
        <v>369</v>
      </c>
      <c r="F7" s="1"/>
      <c r="G7" s="2"/>
      <c r="H7" s="3"/>
    </row>
    <row r="8" spans="1:15" x14ac:dyDescent="0.2">
      <c r="D8" t="s">
        <v>370</v>
      </c>
      <c r="F8" s="1"/>
      <c r="G8" s="2"/>
      <c r="H8" s="4" t="s">
        <v>371</v>
      </c>
    </row>
    <row r="9" spans="1:15" x14ac:dyDescent="0.2">
      <c r="D9" t="s">
        <v>372</v>
      </c>
      <c r="F9" s="1"/>
      <c r="G9" s="2"/>
      <c r="H9" s="5"/>
    </row>
    <row r="10" spans="1:15" x14ac:dyDescent="0.2">
      <c r="F10" s="1"/>
      <c r="G10" s="5"/>
      <c r="H10" s="5"/>
    </row>
    <row r="11" spans="1:15" x14ac:dyDescent="0.2">
      <c r="F11" s="1"/>
      <c r="G11" s="2"/>
      <c r="H11" s="5">
        <f t="shared" ref="H11:H31" si="0">E11*G11</f>
        <v>0</v>
      </c>
    </row>
    <row r="12" spans="1:15" x14ac:dyDescent="0.2">
      <c r="B12" t="s">
        <v>373</v>
      </c>
      <c r="F12" s="1"/>
      <c r="G12" s="2"/>
      <c r="H12" s="5">
        <f t="shared" si="0"/>
        <v>0</v>
      </c>
    </row>
    <row r="13" spans="1:15" x14ac:dyDescent="0.2">
      <c r="C13" t="s">
        <v>374</v>
      </c>
      <c r="F13" s="1"/>
      <c r="G13" s="2"/>
      <c r="H13" s="5">
        <f t="shared" si="0"/>
        <v>0</v>
      </c>
    </row>
    <row r="14" spans="1:15" x14ac:dyDescent="0.2">
      <c r="D14" t="s">
        <v>375</v>
      </c>
      <c r="E14">
        <v>8</v>
      </c>
      <c r="F14" s="1" t="s">
        <v>376</v>
      </c>
      <c r="G14" s="2"/>
      <c r="H14" s="20" t="s">
        <v>377</v>
      </c>
    </row>
    <row r="15" spans="1:15" ht="32" x14ac:dyDescent="0.2">
      <c r="D15" s="6" t="s">
        <v>397</v>
      </c>
      <c r="F15" s="1"/>
      <c r="G15" s="2"/>
      <c r="H15" s="5">
        <f t="shared" si="0"/>
        <v>0</v>
      </c>
    </row>
    <row r="16" spans="1:15" ht="16" x14ac:dyDescent="0.2">
      <c r="D16" s="7" t="s">
        <v>379</v>
      </c>
      <c r="E16">
        <v>8</v>
      </c>
      <c r="F16" s="1" t="s">
        <v>380</v>
      </c>
      <c r="G16" s="2">
        <v>50</v>
      </c>
      <c r="H16" s="5">
        <f t="shared" si="0"/>
        <v>400</v>
      </c>
    </row>
    <row r="17" spans="2:8" x14ac:dyDescent="0.2">
      <c r="D17" t="s">
        <v>370</v>
      </c>
      <c r="E17">
        <v>36</v>
      </c>
      <c r="F17" s="1" t="s">
        <v>381</v>
      </c>
      <c r="G17" s="2">
        <f>VLOOKUP($A$4,zone_lu,4)</f>
        <v>95</v>
      </c>
      <c r="H17" s="5">
        <f t="shared" si="0"/>
        <v>3420</v>
      </c>
    </row>
    <row r="18" spans="2:8" x14ac:dyDescent="0.2">
      <c r="C18" t="s">
        <v>382</v>
      </c>
      <c r="F18" s="1"/>
      <c r="G18" s="2"/>
      <c r="H18" s="5">
        <f t="shared" si="0"/>
        <v>0</v>
      </c>
    </row>
    <row r="19" spans="2:8" x14ac:dyDescent="0.2">
      <c r="D19" t="s">
        <v>383</v>
      </c>
      <c r="F19" s="1"/>
      <c r="G19" s="2"/>
      <c r="H19" s="5"/>
    </row>
    <row r="20" spans="2:8" ht="32" x14ac:dyDescent="0.2">
      <c r="D20" s="8" t="s">
        <v>384</v>
      </c>
      <c r="E20">
        <v>8</v>
      </c>
      <c r="F20" s="1" t="s">
        <v>380</v>
      </c>
      <c r="G20" s="2">
        <v>125</v>
      </c>
      <c r="H20" s="5">
        <f t="shared" si="0"/>
        <v>1000</v>
      </c>
    </row>
    <row r="21" spans="2:8" x14ac:dyDescent="0.2">
      <c r="D21" s="9" t="s">
        <v>385</v>
      </c>
      <c r="E21">
        <v>8</v>
      </c>
      <c r="F21" s="1" t="s">
        <v>380</v>
      </c>
      <c r="G21" s="2">
        <v>100</v>
      </c>
      <c r="H21" s="5">
        <f t="shared" si="0"/>
        <v>800</v>
      </c>
    </row>
    <row r="22" spans="2:8" x14ac:dyDescent="0.2">
      <c r="D22" t="s">
        <v>370</v>
      </c>
      <c r="E22">
        <v>16</v>
      </c>
      <c r="F22" s="1" t="s">
        <v>381</v>
      </c>
      <c r="G22" s="2">
        <f>VLOOKUP($A$4,zone_lu,4)</f>
        <v>95</v>
      </c>
      <c r="H22" s="5">
        <f t="shared" si="0"/>
        <v>1520</v>
      </c>
    </row>
    <row r="23" spans="2:8" x14ac:dyDescent="0.2">
      <c r="C23" t="s">
        <v>386</v>
      </c>
      <c r="F23" s="1"/>
      <c r="G23" s="2"/>
      <c r="H23" s="5"/>
    </row>
    <row r="24" spans="2:8" x14ac:dyDescent="0.2">
      <c r="D24" t="s">
        <v>387</v>
      </c>
      <c r="E24">
        <v>8</v>
      </c>
      <c r="F24" s="1" t="s">
        <v>376</v>
      </c>
      <c r="G24" s="2">
        <v>125</v>
      </c>
      <c r="H24" s="5">
        <f t="shared" ref="H24:H27" si="1">E24*G24</f>
        <v>1000</v>
      </c>
    </row>
    <row r="25" spans="2:8" x14ac:dyDescent="0.2">
      <c r="D25" t="s">
        <v>388</v>
      </c>
      <c r="F25" s="1"/>
      <c r="G25" s="2"/>
      <c r="H25" s="4" t="s">
        <v>371</v>
      </c>
    </row>
    <row r="26" spans="2:8" x14ac:dyDescent="0.2">
      <c r="D26" t="s">
        <v>389</v>
      </c>
      <c r="F26" s="1"/>
      <c r="G26" s="2"/>
      <c r="H26" s="4" t="s">
        <v>371</v>
      </c>
    </row>
    <row r="27" spans="2:8" x14ac:dyDescent="0.2">
      <c r="D27" t="s">
        <v>370</v>
      </c>
      <c r="E27">
        <v>48</v>
      </c>
      <c r="F27" s="1" t="s">
        <v>381</v>
      </c>
      <c r="G27" s="2">
        <f>VLOOKUP($A$4,zone_lu,4)</f>
        <v>95</v>
      </c>
      <c r="H27" s="5">
        <f t="shared" si="1"/>
        <v>4560</v>
      </c>
    </row>
    <row r="28" spans="2:8" x14ac:dyDescent="0.2">
      <c r="E28" s="10"/>
      <c r="F28" s="11"/>
      <c r="G28" s="12"/>
      <c r="H28" s="13">
        <f>SUBTOTAL(9,H12:H27)</f>
        <v>12700</v>
      </c>
    </row>
    <row r="29" spans="2:8" x14ac:dyDescent="0.2">
      <c r="F29" s="1"/>
      <c r="G29" s="2"/>
      <c r="H29" s="5"/>
    </row>
    <row r="30" spans="2:8" x14ac:dyDescent="0.2">
      <c r="C30" t="s">
        <v>390</v>
      </c>
      <c r="F30" s="1"/>
      <c r="G30" s="2"/>
      <c r="H30" s="5">
        <f>SUBTOTAL(9,H6:H29)</f>
        <v>12700</v>
      </c>
    </row>
    <row r="31" spans="2:8" x14ac:dyDescent="0.2">
      <c r="F31" s="1"/>
      <c r="G31" s="2"/>
      <c r="H31" s="5">
        <f t="shared" si="0"/>
        <v>0</v>
      </c>
    </row>
    <row r="32" spans="2:8" x14ac:dyDescent="0.2">
      <c r="B32" t="s">
        <v>391</v>
      </c>
      <c r="E32" s="14">
        <f>ROUND(VLOOKUP($A$4,zone_lu,5)*0.6,2)</f>
        <v>0.12</v>
      </c>
      <c r="F32" s="1"/>
      <c r="G32" s="2"/>
      <c r="H32" s="5">
        <f>ROUND(H30*E32,0)</f>
        <v>1524</v>
      </c>
    </row>
    <row r="33" spans="2:8" x14ac:dyDescent="0.2">
      <c r="E33" s="14"/>
      <c r="F33" s="1"/>
      <c r="G33" s="2"/>
      <c r="H33" s="5"/>
    </row>
    <row r="34" spans="2:8" x14ac:dyDescent="0.2">
      <c r="B34" t="s">
        <v>392</v>
      </c>
      <c r="E34" s="14">
        <f>ROUND(VLOOKUP($A$4,zone_lu,6)*0.4,2)</f>
        <v>0.04</v>
      </c>
      <c r="F34" s="1"/>
      <c r="G34" s="2"/>
      <c r="H34" s="5">
        <f>ROUND(SUM(H30:H33)*E34,0)</f>
        <v>569</v>
      </c>
    </row>
    <row r="35" spans="2:8" x14ac:dyDescent="0.2">
      <c r="E35" s="14"/>
      <c r="F35" s="1"/>
      <c r="G35" s="2"/>
      <c r="H35" s="5"/>
    </row>
    <row r="36" spans="2:8" x14ac:dyDescent="0.2">
      <c r="B36" t="s">
        <v>393</v>
      </c>
      <c r="E36" s="14">
        <f>VLOOKUP($A$4,zone_lu,7)</f>
        <v>1.2500000000000001E-2</v>
      </c>
      <c r="F36" s="1"/>
      <c r="G36" s="2"/>
      <c r="H36" s="5">
        <f>ROUND(SUM(H30:H35)*E36,0)</f>
        <v>185</v>
      </c>
    </row>
    <row r="37" spans="2:8" x14ac:dyDescent="0.2">
      <c r="E37" s="14"/>
      <c r="F37" s="1"/>
      <c r="G37" s="2"/>
      <c r="H37" s="5"/>
    </row>
    <row r="38" spans="2:8" x14ac:dyDescent="0.2">
      <c r="B38" t="s">
        <v>394</v>
      </c>
      <c r="E38" s="14"/>
      <c r="F38" s="1"/>
      <c r="G38" s="2"/>
      <c r="H38" s="5">
        <f>ROUND(SUM(H30:H37)*E38,0)</f>
        <v>0</v>
      </c>
    </row>
    <row r="39" spans="2:8" x14ac:dyDescent="0.2">
      <c r="F39" s="1"/>
      <c r="G39" s="2"/>
      <c r="H39" s="5">
        <f t="shared" ref="H39:H41" si="2">E39*G39</f>
        <v>0</v>
      </c>
    </row>
    <row r="40" spans="2:8" ht="16" thickBot="1" x14ac:dyDescent="0.25">
      <c r="B40" s="15" t="s">
        <v>395</v>
      </c>
      <c r="C40" s="15"/>
      <c r="D40" s="15"/>
      <c r="E40" s="15"/>
      <c r="F40" s="16"/>
      <c r="G40" s="17"/>
      <c r="H40" s="18"/>
    </row>
    <row r="41" spans="2:8" ht="16" thickTop="1" x14ac:dyDescent="0.2">
      <c r="E41" s="19"/>
      <c r="F41" s="1"/>
      <c r="G41" s="2"/>
      <c r="H41" s="5">
        <f t="shared" si="2"/>
        <v>0</v>
      </c>
    </row>
    <row r="42" spans="2:8" x14ac:dyDescent="0.2">
      <c r="E42" s="19"/>
      <c r="F42" s="1"/>
      <c r="G42" s="2"/>
      <c r="H42" s="5"/>
    </row>
    <row r="43" spans="2:8" x14ac:dyDescent="0.2">
      <c r="E43" s="19"/>
      <c r="F43" s="1"/>
      <c r="G43" s="2"/>
      <c r="H43" s="5"/>
    </row>
    <row r="44" spans="2:8" x14ac:dyDescent="0.2">
      <c r="E44" s="19"/>
      <c r="F44" s="1"/>
      <c r="G44" s="2"/>
      <c r="H44" s="5"/>
    </row>
    <row r="46" spans="2:8" x14ac:dyDescent="0.2">
      <c r="H46" s="5"/>
    </row>
  </sheetData>
  <mergeCells count="1">
    <mergeCell ref="A4:C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BBD0-8DEB-463E-A614-DEAF16A8B77C}">
  <dimension ref="A1:O46"/>
  <sheetViews>
    <sheetView workbookViewId="0"/>
  </sheetViews>
  <sheetFormatPr baseColWidth="10" defaultColWidth="9.1640625" defaultRowHeight="15" x14ac:dyDescent="0.2"/>
  <cols>
    <col min="1" max="3" width="3.6640625" customWidth="1"/>
    <col min="4" max="4" width="34.33203125" bestFit="1" customWidth="1"/>
    <col min="5" max="5" width="9" customWidth="1"/>
    <col min="6" max="6" width="6.6640625" customWidth="1"/>
    <col min="8" max="8" width="9.1640625" bestFit="1" customWidth="1"/>
  </cols>
  <sheetData>
    <row r="1" spans="1:15" x14ac:dyDescent="0.2">
      <c r="A1" t="s">
        <v>396</v>
      </c>
      <c r="O1" t="str">
        <f>A1&amp;": "&amp;A2</f>
        <v>Low Rise Multi-Family: New Construction</v>
      </c>
    </row>
    <row r="2" spans="1:15" x14ac:dyDescent="0.2">
      <c r="A2" t="s">
        <v>366</v>
      </c>
    </row>
    <row r="3" spans="1:15" x14ac:dyDescent="0.2">
      <c r="A3" t="s">
        <v>367</v>
      </c>
    </row>
    <row r="4" spans="1:15" x14ac:dyDescent="0.2">
      <c r="A4" s="101">
        <v>12</v>
      </c>
      <c r="B4" s="101"/>
      <c r="C4" s="101"/>
    </row>
    <row r="5" spans="1:15" x14ac:dyDescent="0.2">
      <c r="F5" s="1"/>
      <c r="G5" s="2"/>
      <c r="H5" s="3"/>
    </row>
    <row r="6" spans="1:15" x14ac:dyDescent="0.2">
      <c r="B6" t="s">
        <v>368</v>
      </c>
      <c r="F6" s="1"/>
      <c r="G6" s="2"/>
      <c r="H6" s="3"/>
    </row>
    <row r="7" spans="1:15" x14ac:dyDescent="0.2">
      <c r="C7" t="s">
        <v>369</v>
      </c>
      <c r="F7" s="1"/>
      <c r="G7" s="2"/>
      <c r="H7" s="4" t="s">
        <v>371</v>
      </c>
    </row>
    <row r="8" spans="1:15" x14ac:dyDescent="0.2">
      <c r="D8" t="s">
        <v>370</v>
      </c>
      <c r="F8" s="1"/>
      <c r="G8" s="2"/>
      <c r="H8" s="5"/>
    </row>
    <row r="9" spans="1:15" x14ac:dyDescent="0.2">
      <c r="D9" t="s">
        <v>372</v>
      </c>
      <c r="F9" s="1"/>
      <c r="G9" s="5"/>
      <c r="H9" s="5"/>
    </row>
    <row r="10" spans="1:15" x14ac:dyDescent="0.2">
      <c r="E10" s="10"/>
      <c r="F10" s="11"/>
      <c r="G10" s="12"/>
      <c r="H10" s="13">
        <f>SUBTOTAL(9,H6:H9)</f>
        <v>0</v>
      </c>
    </row>
    <row r="11" spans="1:15" x14ac:dyDescent="0.2">
      <c r="F11" s="1"/>
      <c r="G11" s="2"/>
      <c r="H11" s="5">
        <f t="shared" ref="H11:H31" si="0">E11*G11</f>
        <v>0</v>
      </c>
    </row>
    <row r="12" spans="1:15" x14ac:dyDescent="0.2">
      <c r="B12" t="s">
        <v>373</v>
      </c>
      <c r="F12" s="1"/>
      <c r="G12" s="2"/>
      <c r="H12" s="5">
        <f t="shared" si="0"/>
        <v>0</v>
      </c>
    </row>
    <row r="13" spans="1:15" x14ac:dyDescent="0.2">
      <c r="C13" t="s">
        <v>374</v>
      </c>
      <c r="F13" s="1"/>
      <c r="G13" s="2"/>
      <c r="H13" s="5">
        <f t="shared" si="0"/>
        <v>0</v>
      </c>
    </row>
    <row r="14" spans="1:15" x14ac:dyDescent="0.2">
      <c r="D14" t="s">
        <v>375</v>
      </c>
      <c r="E14">
        <v>8</v>
      </c>
      <c r="F14" s="1" t="s">
        <v>376</v>
      </c>
      <c r="G14" s="2"/>
      <c r="H14" s="20" t="s">
        <v>377</v>
      </c>
    </row>
    <row r="15" spans="1:15" ht="32" x14ac:dyDescent="0.2">
      <c r="D15" s="6" t="s">
        <v>397</v>
      </c>
      <c r="F15" s="1"/>
      <c r="G15" s="2"/>
      <c r="H15" s="5">
        <f t="shared" si="0"/>
        <v>0</v>
      </c>
    </row>
    <row r="16" spans="1:15" ht="16" x14ac:dyDescent="0.2">
      <c r="D16" s="7" t="s">
        <v>379</v>
      </c>
      <c r="E16">
        <v>8</v>
      </c>
      <c r="F16" s="1" t="s">
        <v>380</v>
      </c>
      <c r="G16" s="2">
        <v>50</v>
      </c>
      <c r="H16" s="5">
        <f t="shared" si="0"/>
        <v>400</v>
      </c>
    </row>
    <row r="17" spans="2:8" x14ac:dyDescent="0.2">
      <c r="D17" t="s">
        <v>370</v>
      </c>
      <c r="E17">
        <v>36</v>
      </c>
      <c r="F17" s="1" t="s">
        <v>381</v>
      </c>
      <c r="G17" s="2">
        <f>VLOOKUP($A$4,zone_lu,4)</f>
        <v>65</v>
      </c>
      <c r="H17" s="5">
        <f t="shared" si="0"/>
        <v>2340</v>
      </c>
    </row>
    <row r="18" spans="2:8" x14ac:dyDescent="0.2">
      <c r="C18" t="s">
        <v>382</v>
      </c>
      <c r="F18" s="1"/>
      <c r="G18" s="2"/>
      <c r="H18" s="5">
        <f t="shared" si="0"/>
        <v>0</v>
      </c>
    </row>
    <row r="19" spans="2:8" x14ac:dyDescent="0.2">
      <c r="D19" t="s">
        <v>383</v>
      </c>
      <c r="F19" s="1"/>
      <c r="G19" s="2"/>
      <c r="H19" s="5"/>
    </row>
    <row r="20" spans="2:8" ht="32" x14ac:dyDescent="0.2">
      <c r="D20" s="8" t="s">
        <v>384</v>
      </c>
      <c r="E20">
        <v>8</v>
      </c>
      <c r="F20" s="1" t="s">
        <v>380</v>
      </c>
      <c r="G20" s="2">
        <v>125</v>
      </c>
      <c r="H20" s="5">
        <f t="shared" si="0"/>
        <v>1000</v>
      </c>
    </row>
    <row r="21" spans="2:8" x14ac:dyDescent="0.2">
      <c r="D21" s="9" t="s">
        <v>385</v>
      </c>
      <c r="E21">
        <v>8</v>
      </c>
      <c r="F21" s="1" t="s">
        <v>380</v>
      </c>
      <c r="G21" s="2">
        <v>100</v>
      </c>
      <c r="H21" s="5">
        <f t="shared" si="0"/>
        <v>800</v>
      </c>
    </row>
    <row r="22" spans="2:8" x14ac:dyDescent="0.2">
      <c r="D22" t="s">
        <v>370</v>
      </c>
      <c r="E22">
        <v>16</v>
      </c>
      <c r="F22" s="1" t="s">
        <v>381</v>
      </c>
      <c r="G22" s="2">
        <f>VLOOKUP($A$4,zone_lu,4)</f>
        <v>65</v>
      </c>
      <c r="H22" s="5">
        <f t="shared" si="0"/>
        <v>1040</v>
      </c>
    </row>
    <row r="23" spans="2:8" x14ac:dyDescent="0.2">
      <c r="C23" t="s">
        <v>386</v>
      </c>
      <c r="F23" s="1"/>
      <c r="G23" s="2"/>
      <c r="H23" s="5"/>
    </row>
    <row r="24" spans="2:8" x14ac:dyDescent="0.2">
      <c r="D24" t="s">
        <v>387</v>
      </c>
      <c r="E24">
        <v>8</v>
      </c>
      <c r="F24" s="1" t="s">
        <v>376</v>
      </c>
      <c r="G24" s="2">
        <v>125</v>
      </c>
      <c r="H24" s="5">
        <f t="shared" ref="H24:H27" si="1">E24*G24</f>
        <v>1000</v>
      </c>
    </row>
    <row r="25" spans="2:8" x14ac:dyDescent="0.2">
      <c r="D25" t="s">
        <v>388</v>
      </c>
      <c r="F25" s="1"/>
      <c r="G25" s="2"/>
      <c r="H25" s="4" t="s">
        <v>371</v>
      </c>
    </row>
    <row r="26" spans="2:8" x14ac:dyDescent="0.2">
      <c r="D26" t="s">
        <v>389</v>
      </c>
      <c r="F26" s="1"/>
      <c r="G26" s="2"/>
      <c r="H26" s="4" t="s">
        <v>371</v>
      </c>
    </row>
    <row r="27" spans="2:8" x14ac:dyDescent="0.2">
      <c r="D27" t="s">
        <v>370</v>
      </c>
      <c r="E27">
        <v>48</v>
      </c>
      <c r="F27" s="1" t="s">
        <v>381</v>
      </c>
      <c r="G27" s="2">
        <f>VLOOKUP($A$4,zone_lu,4)</f>
        <v>65</v>
      </c>
      <c r="H27" s="5">
        <f t="shared" si="1"/>
        <v>3120</v>
      </c>
    </row>
    <row r="28" spans="2:8" x14ac:dyDescent="0.2">
      <c r="E28" s="10"/>
      <c r="F28" s="11"/>
      <c r="G28" s="12"/>
      <c r="H28" s="13">
        <f>SUBTOTAL(9,H12:H27)</f>
        <v>9700</v>
      </c>
    </row>
    <row r="29" spans="2:8" x14ac:dyDescent="0.2">
      <c r="F29" s="1"/>
      <c r="G29" s="2"/>
      <c r="H29" s="5"/>
    </row>
    <row r="30" spans="2:8" x14ac:dyDescent="0.2">
      <c r="C30" t="s">
        <v>390</v>
      </c>
      <c r="F30" s="1"/>
      <c r="G30" s="2"/>
      <c r="H30" s="5">
        <f>SUBTOTAL(9,H6:H29)</f>
        <v>9700</v>
      </c>
    </row>
    <row r="31" spans="2:8" x14ac:dyDescent="0.2">
      <c r="F31" s="1"/>
      <c r="G31" s="2"/>
      <c r="H31" s="5">
        <f t="shared" si="0"/>
        <v>0</v>
      </c>
    </row>
    <row r="32" spans="2:8" x14ac:dyDescent="0.2">
      <c r="B32" t="s">
        <v>391</v>
      </c>
      <c r="E32" s="14">
        <f>ROUND(VLOOKUP($A$4,zone_lu,5)*0.6,2)</f>
        <v>0.09</v>
      </c>
      <c r="F32" s="1"/>
      <c r="G32" s="2"/>
      <c r="H32" s="5">
        <f>ROUND(H30*E32,0)</f>
        <v>873</v>
      </c>
    </row>
    <row r="33" spans="2:8" x14ac:dyDescent="0.2">
      <c r="E33" s="14"/>
      <c r="F33" s="1"/>
      <c r="G33" s="2"/>
      <c r="H33" s="5"/>
    </row>
    <row r="34" spans="2:8" x14ac:dyDescent="0.2">
      <c r="B34" t="s">
        <v>392</v>
      </c>
      <c r="E34" s="14">
        <f>ROUND(VLOOKUP($A$4,zone_lu,6)*0.4,2)</f>
        <v>0.04</v>
      </c>
      <c r="F34" s="1"/>
      <c r="G34" s="2"/>
      <c r="H34" s="5">
        <f>ROUND(SUM(H30:H33)*E34,0)</f>
        <v>423</v>
      </c>
    </row>
    <row r="35" spans="2:8" x14ac:dyDescent="0.2">
      <c r="E35" s="14"/>
      <c r="F35" s="1"/>
      <c r="G35" s="2"/>
      <c r="H35" s="5"/>
    </row>
    <row r="36" spans="2:8" x14ac:dyDescent="0.2">
      <c r="B36" t="s">
        <v>393</v>
      </c>
      <c r="E36" s="14">
        <f>VLOOKUP($A$4,zone_lu,7)</f>
        <v>1.2500000000000001E-2</v>
      </c>
      <c r="F36" s="1"/>
      <c r="G36" s="2"/>
      <c r="H36" s="5">
        <f>ROUND(SUM(H30:H35)*E36,0)</f>
        <v>137</v>
      </c>
    </row>
    <row r="37" spans="2:8" x14ac:dyDescent="0.2">
      <c r="E37" s="14"/>
      <c r="F37" s="1"/>
      <c r="G37" s="2"/>
      <c r="H37" s="5"/>
    </row>
    <row r="38" spans="2:8" x14ac:dyDescent="0.2">
      <c r="B38" t="s">
        <v>394</v>
      </c>
      <c r="E38" s="14"/>
      <c r="F38" s="1"/>
      <c r="G38" s="2"/>
      <c r="H38" s="5">
        <f>ROUND(SUM(H30:H37)*E38,0)</f>
        <v>0</v>
      </c>
    </row>
    <row r="39" spans="2:8" x14ac:dyDescent="0.2">
      <c r="F39" s="1"/>
      <c r="G39" s="2"/>
      <c r="H39" s="5">
        <f t="shared" ref="H39:H41" si="2">E39*G39</f>
        <v>0</v>
      </c>
    </row>
    <row r="40" spans="2:8" ht="16" thickBot="1" x14ac:dyDescent="0.25">
      <c r="B40" s="15" t="s">
        <v>395</v>
      </c>
      <c r="C40" s="15"/>
      <c r="D40" s="15"/>
      <c r="E40" s="15"/>
      <c r="F40" s="16"/>
      <c r="G40" s="17"/>
      <c r="H40" s="18"/>
    </row>
    <row r="41" spans="2:8" ht="16" thickTop="1" x14ac:dyDescent="0.2">
      <c r="E41" s="19"/>
      <c r="F41" s="1"/>
      <c r="G41" s="2"/>
      <c r="H41" s="5">
        <f t="shared" si="2"/>
        <v>0</v>
      </c>
    </row>
    <row r="42" spans="2:8" x14ac:dyDescent="0.2">
      <c r="E42" s="19"/>
      <c r="F42" s="1"/>
      <c r="G42" s="2"/>
      <c r="H42" s="5"/>
    </row>
    <row r="43" spans="2:8" x14ac:dyDescent="0.2">
      <c r="E43" s="19"/>
      <c r="F43" s="1"/>
      <c r="G43" s="2"/>
      <c r="H43" s="5"/>
    </row>
    <row r="44" spans="2:8" x14ac:dyDescent="0.2">
      <c r="E44" s="19"/>
      <c r="F44" s="1"/>
      <c r="G44" s="2"/>
      <c r="H44" s="5"/>
    </row>
    <row r="46" spans="2:8" x14ac:dyDescent="0.2">
      <c r="H46" s="5"/>
    </row>
  </sheetData>
  <mergeCells count="1">
    <mergeCell ref="A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3456A-A6C8-4E20-A8F2-3CBCB733C891}">
  <dimension ref="A1:X61"/>
  <sheetViews>
    <sheetView topLeftCell="A10" zoomScaleNormal="100" workbookViewId="0">
      <selection sqref="A1:H1"/>
    </sheetView>
  </sheetViews>
  <sheetFormatPr baseColWidth="10" defaultColWidth="8.6640625" defaultRowHeight="15" x14ac:dyDescent="0.2"/>
  <cols>
    <col min="1" max="1" width="14.6640625" customWidth="1"/>
    <col min="2" max="2" width="22" customWidth="1"/>
    <col min="3" max="3" width="11.5" customWidth="1"/>
    <col min="4" max="4" width="13.5" customWidth="1"/>
    <col min="5" max="5" width="24.83203125" customWidth="1"/>
    <col min="6" max="6" width="13.5" bestFit="1" customWidth="1"/>
    <col min="7" max="7" width="16.33203125" customWidth="1"/>
    <col min="8" max="8" width="18.6640625" customWidth="1"/>
    <col min="9" max="9" width="18.83203125" customWidth="1"/>
    <col min="10" max="13" width="18.6640625" customWidth="1"/>
    <col min="14" max="14" width="12.1640625" bestFit="1" customWidth="1"/>
    <col min="15" max="15" width="16.33203125" bestFit="1" customWidth="1"/>
    <col min="16" max="16" width="19.5" customWidth="1"/>
    <col min="17" max="17" width="27.1640625" bestFit="1" customWidth="1"/>
    <col min="18" max="18" width="26" bestFit="1" customWidth="1"/>
    <col min="19" max="19" width="15.6640625" customWidth="1"/>
    <col min="20" max="21" width="19.5" customWidth="1"/>
  </cols>
  <sheetData>
    <row r="1" spans="1:22" ht="34.25" customHeight="1" x14ac:dyDescent="0.2">
      <c r="A1" s="95" t="s">
        <v>6</v>
      </c>
      <c r="B1" s="95"/>
      <c r="C1" s="95"/>
      <c r="D1" s="95"/>
      <c r="E1" s="95"/>
      <c r="F1" s="95"/>
      <c r="G1" s="95"/>
      <c r="H1" s="95"/>
    </row>
    <row r="2" spans="1:22" s="58" customFormat="1" x14ac:dyDescent="0.2"/>
    <row r="3" spans="1:22" ht="80" x14ac:dyDescent="0.2">
      <c r="A3" s="29" t="s">
        <v>7</v>
      </c>
      <c r="B3" s="34" t="s">
        <v>8</v>
      </c>
      <c r="C3" s="34" t="s">
        <v>9</v>
      </c>
      <c r="D3" s="34" t="s">
        <v>10</v>
      </c>
      <c r="E3" s="34" t="s">
        <v>11</v>
      </c>
      <c r="F3" s="34" t="s">
        <v>12</v>
      </c>
      <c r="G3" s="34" t="s">
        <v>13</v>
      </c>
      <c r="H3" s="34" t="s">
        <v>14</v>
      </c>
      <c r="I3" s="34" t="s">
        <v>15</v>
      </c>
      <c r="J3" s="34" t="s">
        <v>16</v>
      </c>
      <c r="K3" s="45" t="s">
        <v>17</v>
      </c>
      <c r="L3" s="45" t="s">
        <v>18</v>
      </c>
      <c r="M3" s="45" t="s">
        <v>19</v>
      </c>
      <c r="N3" s="34" t="s">
        <v>20</v>
      </c>
      <c r="O3" s="45" t="s">
        <v>21</v>
      </c>
      <c r="P3" s="34" t="s">
        <v>22</v>
      </c>
      <c r="Q3" s="34" t="s">
        <v>23</v>
      </c>
      <c r="R3" s="34" t="s">
        <v>24</v>
      </c>
      <c r="S3" s="72" t="s">
        <v>25</v>
      </c>
      <c r="T3" s="71" t="s">
        <v>26</v>
      </c>
      <c r="U3" s="71" t="s">
        <v>27</v>
      </c>
      <c r="V3" s="71" t="s">
        <v>28</v>
      </c>
    </row>
    <row r="4" spans="1:22" x14ac:dyDescent="0.2">
      <c r="A4" s="42" t="s">
        <v>29</v>
      </c>
      <c r="B4" s="42" t="s">
        <v>30</v>
      </c>
      <c r="C4" s="42" t="s">
        <v>31</v>
      </c>
      <c r="D4" s="29" t="s">
        <v>32</v>
      </c>
      <c r="E4" s="29" t="str">
        <f t="shared" ref="E4:E28" si="0">C4&amp;" "&amp;D4</f>
        <v>Central Heat Pump</v>
      </c>
      <c r="F4" s="29">
        <v>132.6</v>
      </c>
      <c r="G4" s="29">
        <v>151</v>
      </c>
      <c r="H4" s="68">
        <v>148633</v>
      </c>
      <c r="I4" s="68" t="s">
        <v>33</v>
      </c>
      <c r="J4" s="68">
        <f t="shared" ref="J4:J28" si="1">H4*100/F4*IF(I4="N",1.15,1)</f>
        <v>112091.25188536954</v>
      </c>
      <c r="K4" s="68" t="s">
        <v>34</v>
      </c>
      <c r="L4" s="68" t="s">
        <v>30</v>
      </c>
      <c r="M4" s="68" t="s">
        <v>30</v>
      </c>
      <c r="N4" s="68" t="s">
        <v>30</v>
      </c>
      <c r="O4" s="68" t="s">
        <v>30</v>
      </c>
      <c r="P4" s="68" t="s">
        <v>30</v>
      </c>
      <c r="Q4" s="69">
        <f t="shared" ref="Q4:Q28" si="2">J4+IF(COUNT(M4)=0,0,M4)-IF(N4="Y",P4,0)</f>
        <v>112091.25188536954</v>
      </c>
      <c r="R4" s="68">
        <f t="shared" ref="R4:R28" si="3">J4+IF(COUNT(M4)=0,0,M4)+IF(N4="N",P4,0)</f>
        <v>112091.25188536954</v>
      </c>
      <c r="S4" s="73">
        <f t="shared" ref="S4:S28" si="4">Q4*0.5+R4*0.5</f>
        <v>112091.25188536954</v>
      </c>
      <c r="T4" s="74">
        <f t="shared" ref="T4:T28" si="5">Q4/$G4</f>
        <v>742.32617142628828</v>
      </c>
      <c r="U4" s="74">
        <f t="shared" ref="U4:U28" si="6">R4/$G4</f>
        <v>742.32617142628828</v>
      </c>
      <c r="V4" s="74">
        <f t="shared" ref="V4:V28" si="7">S4/$G4</f>
        <v>742.32617142628828</v>
      </c>
    </row>
    <row r="5" spans="1:22" x14ac:dyDescent="0.2">
      <c r="A5" s="42" t="s">
        <v>35</v>
      </c>
      <c r="B5" s="29" t="s">
        <v>36</v>
      </c>
      <c r="C5" s="42" t="s">
        <v>31</v>
      </c>
      <c r="D5" s="29" t="s">
        <v>32</v>
      </c>
      <c r="E5" s="29" t="str">
        <f t="shared" si="0"/>
        <v>Central Heat Pump</v>
      </c>
      <c r="F5" s="29">
        <v>102.6</v>
      </c>
      <c r="G5" s="29">
        <v>24</v>
      </c>
      <c r="H5" s="68">
        <v>10083</v>
      </c>
      <c r="I5" s="68" t="s">
        <v>33</v>
      </c>
      <c r="J5" s="68">
        <f t="shared" si="1"/>
        <v>9827.4853801169593</v>
      </c>
      <c r="K5" s="70" t="s">
        <v>34</v>
      </c>
      <c r="L5" s="70">
        <f>25000*(G5/32)*(F5/F13)</f>
        <v>17268.850987432674</v>
      </c>
      <c r="M5" s="70">
        <f>L5*100/$F5</f>
        <v>16831.238779174146</v>
      </c>
      <c r="N5" s="68" t="s">
        <v>30</v>
      </c>
      <c r="O5" s="68" t="s">
        <v>30</v>
      </c>
      <c r="P5" s="68" t="s">
        <v>30</v>
      </c>
      <c r="Q5" s="69">
        <f t="shared" si="2"/>
        <v>26658.724159291105</v>
      </c>
      <c r="R5" s="68">
        <f t="shared" si="3"/>
        <v>26658.724159291105</v>
      </c>
      <c r="S5" s="73">
        <f t="shared" si="4"/>
        <v>26658.724159291105</v>
      </c>
      <c r="T5" s="74">
        <f t="shared" si="5"/>
        <v>1110.7801733037961</v>
      </c>
      <c r="U5" s="74">
        <f t="shared" si="6"/>
        <v>1110.7801733037961</v>
      </c>
      <c r="V5" s="74">
        <f t="shared" si="7"/>
        <v>1110.7801733037961</v>
      </c>
    </row>
    <row r="6" spans="1:22" x14ac:dyDescent="0.2">
      <c r="A6" s="29" t="s">
        <v>37</v>
      </c>
      <c r="B6" s="29" t="s">
        <v>38</v>
      </c>
      <c r="C6" s="29" t="s">
        <v>31</v>
      </c>
      <c r="D6" s="29" t="s">
        <v>32</v>
      </c>
      <c r="E6" s="29" t="str">
        <f t="shared" si="0"/>
        <v>Central Heat Pump</v>
      </c>
      <c r="F6" s="29">
        <v>109</v>
      </c>
      <c r="G6" s="29">
        <v>369</v>
      </c>
      <c r="H6" s="68">
        <v>506655</v>
      </c>
      <c r="I6" s="68" t="s">
        <v>33</v>
      </c>
      <c r="J6" s="68">
        <f t="shared" si="1"/>
        <v>464821.10091743118</v>
      </c>
      <c r="K6" s="70" t="s">
        <v>34</v>
      </c>
      <c r="L6" s="70">
        <f>G6*(1.75*711)</f>
        <v>459128.25</v>
      </c>
      <c r="M6" s="70">
        <f>L6*100/$F6</f>
        <v>421218.57798165135</v>
      </c>
      <c r="N6" s="68" t="s">
        <v>30</v>
      </c>
      <c r="O6" s="68" t="s">
        <v>30</v>
      </c>
      <c r="P6" s="68" t="s">
        <v>30</v>
      </c>
      <c r="Q6" s="69">
        <f t="shared" si="2"/>
        <v>886039.67889908259</v>
      </c>
      <c r="R6" s="68">
        <f t="shared" si="3"/>
        <v>886039.67889908259</v>
      </c>
      <c r="S6" s="73">
        <f t="shared" si="4"/>
        <v>886039.67889908259</v>
      </c>
      <c r="T6" s="74">
        <f t="shared" si="5"/>
        <v>2401.191541731931</v>
      </c>
      <c r="U6" s="74">
        <f t="shared" si="6"/>
        <v>2401.191541731931</v>
      </c>
      <c r="V6" s="74">
        <f t="shared" si="7"/>
        <v>2401.191541731931</v>
      </c>
    </row>
    <row r="7" spans="1:22" x14ac:dyDescent="0.2">
      <c r="A7" s="29" t="s">
        <v>39</v>
      </c>
      <c r="B7" s="29" t="s">
        <v>40</v>
      </c>
      <c r="C7" s="29" t="s">
        <v>31</v>
      </c>
      <c r="D7" s="29" t="s">
        <v>32</v>
      </c>
      <c r="E7" s="29" t="str">
        <f t="shared" si="0"/>
        <v>Central Heat Pump</v>
      </c>
      <c r="F7" s="29">
        <v>127.7</v>
      </c>
      <c r="G7" s="29">
        <v>71</v>
      </c>
      <c r="H7" s="68">
        <v>202460</v>
      </c>
      <c r="I7" s="68" t="s">
        <v>33</v>
      </c>
      <c r="J7" s="68">
        <f t="shared" si="1"/>
        <v>158543.46123727487</v>
      </c>
      <c r="K7" s="70" t="s">
        <v>33</v>
      </c>
      <c r="L7" s="70" t="s">
        <v>30</v>
      </c>
      <c r="M7" s="70" t="s">
        <v>30</v>
      </c>
      <c r="N7" s="68" t="s">
        <v>30</v>
      </c>
      <c r="O7" s="68" t="s">
        <v>30</v>
      </c>
      <c r="P7" s="68" t="s">
        <v>30</v>
      </c>
      <c r="Q7" s="69">
        <f t="shared" si="2"/>
        <v>158543.46123727487</v>
      </c>
      <c r="R7" s="68">
        <f t="shared" si="3"/>
        <v>158543.46123727487</v>
      </c>
      <c r="S7" s="73">
        <f t="shared" si="4"/>
        <v>158543.46123727487</v>
      </c>
      <c r="T7" s="74">
        <f t="shared" si="5"/>
        <v>2233.0064962996462</v>
      </c>
      <c r="U7" s="74">
        <f t="shared" si="6"/>
        <v>2233.0064962996462</v>
      </c>
      <c r="V7" s="74">
        <f t="shared" si="7"/>
        <v>2233.0064962996462</v>
      </c>
    </row>
    <row r="8" spans="1:22" x14ac:dyDescent="0.2">
      <c r="A8" s="29" t="s">
        <v>39</v>
      </c>
      <c r="B8" s="29" t="s">
        <v>40</v>
      </c>
      <c r="C8" s="29" t="s">
        <v>31</v>
      </c>
      <c r="D8" s="29" t="s">
        <v>32</v>
      </c>
      <c r="E8" s="29" t="str">
        <f t="shared" si="0"/>
        <v>Central Heat Pump</v>
      </c>
      <c r="F8" s="29">
        <v>127.7</v>
      </c>
      <c r="G8" s="29">
        <v>71</v>
      </c>
      <c r="H8" s="68">
        <v>210940</v>
      </c>
      <c r="I8" s="68" t="s">
        <v>33</v>
      </c>
      <c r="J8" s="68">
        <f t="shared" si="1"/>
        <v>165184.02505873141</v>
      </c>
      <c r="K8" s="70" t="s">
        <v>33</v>
      </c>
      <c r="L8" s="70" t="s">
        <v>30</v>
      </c>
      <c r="M8" s="70" t="s">
        <v>30</v>
      </c>
      <c r="N8" s="68" t="s">
        <v>30</v>
      </c>
      <c r="O8" s="68" t="s">
        <v>30</v>
      </c>
      <c r="P8" s="68" t="s">
        <v>30</v>
      </c>
      <c r="Q8" s="69">
        <f t="shared" si="2"/>
        <v>165184.02505873141</v>
      </c>
      <c r="R8" s="68">
        <f t="shared" si="3"/>
        <v>165184.02505873141</v>
      </c>
      <c r="S8" s="73">
        <f t="shared" si="4"/>
        <v>165184.02505873141</v>
      </c>
      <c r="T8" s="74">
        <f t="shared" si="5"/>
        <v>2326.5355642074846</v>
      </c>
      <c r="U8" s="74">
        <f t="shared" si="6"/>
        <v>2326.5355642074846</v>
      </c>
      <c r="V8" s="74">
        <f t="shared" si="7"/>
        <v>2326.5355642074846</v>
      </c>
    </row>
    <row r="9" spans="1:22" x14ac:dyDescent="0.2">
      <c r="A9" s="29" t="s">
        <v>41</v>
      </c>
      <c r="B9" s="29" t="s">
        <v>42</v>
      </c>
      <c r="C9" s="29" t="s">
        <v>31</v>
      </c>
      <c r="D9" s="29" t="s">
        <v>32</v>
      </c>
      <c r="E9" s="29" t="str">
        <f t="shared" si="0"/>
        <v>Central Heat Pump</v>
      </c>
      <c r="F9" s="29">
        <v>127.7</v>
      </c>
      <c r="G9" s="29">
        <v>65</v>
      </c>
      <c r="H9" s="68">
        <v>209500</v>
      </c>
      <c r="I9" s="68" t="s">
        <v>33</v>
      </c>
      <c r="J9" s="68">
        <f t="shared" si="1"/>
        <v>164056.38214565389</v>
      </c>
      <c r="K9" s="70" t="s">
        <v>33</v>
      </c>
      <c r="L9" s="70" t="s">
        <v>30</v>
      </c>
      <c r="M9" s="70" t="s">
        <v>30</v>
      </c>
      <c r="N9" s="68" t="s">
        <v>30</v>
      </c>
      <c r="O9" s="68" t="s">
        <v>30</v>
      </c>
      <c r="P9" s="68" t="s">
        <v>30</v>
      </c>
      <c r="Q9" s="69">
        <f t="shared" si="2"/>
        <v>164056.38214565389</v>
      </c>
      <c r="R9" s="68">
        <f t="shared" si="3"/>
        <v>164056.38214565389</v>
      </c>
      <c r="S9" s="73">
        <f t="shared" si="4"/>
        <v>164056.38214565389</v>
      </c>
      <c r="T9" s="74">
        <f t="shared" si="5"/>
        <v>2523.9443407023673</v>
      </c>
      <c r="U9" s="74">
        <f t="shared" si="6"/>
        <v>2523.9443407023673</v>
      </c>
      <c r="V9" s="74">
        <f t="shared" si="7"/>
        <v>2523.9443407023673</v>
      </c>
    </row>
    <row r="10" spans="1:22" x14ac:dyDescent="0.2">
      <c r="A10" s="29" t="s">
        <v>37</v>
      </c>
      <c r="B10" s="29" t="s">
        <v>38</v>
      </c>
      <c r="C10" s="29" t="s">
        <v>31</v>
      </c>
      <c r="D10" s="29" t="s">
        <v>32</v>
      </c>
      <c r="E10" s="29" t="str">
        <f t="shared" si="0"/>
        <v>Central Heat Pump</v>
      </c>
      <c r="F10" s="29">
        <v>109</v>
      </c>
      <c r="G10" s="29">
        <v>163</v>
      </c>
      <c r="H10" s="68">
        <v>371790</v>
      </c>
      <c r="I10" s="68" t="s">
        <v>33</v>
      </c>
      <c r="J10" s="68">
        <f t="shared" si="1"/>
        <v>341091.74311926606</v>
      </c>
      <c r="K10" s="70" t="s">
        <v>34</v>
      </c>
      <c r="L10" s="70">
        <f>G10*(1.75*711)</f>
        <v>202812.75</v>
      </c>
      <c r="M10" s="70">
        <f>L10*100/$F10</f>
        <v>186066.74311926606</v>
      </c>
      <c r="N10" s="68" t="s">
        <v>30</v>
      </c>
      <c r="O10" s="68" t="s">
        <v>30</v>
      </c>
      <c r="P10" s="68" t="s">
        <v>30</v>
      </c>
      <c r="Q10" s="69">
        <f t="shared" si="2"/>
        <v>527158.48623853212</v>
      </c>
      <c r="R10" s="68">
        <f t="shared" si="3"/>
        <v>527158.48623853212</v>
      </c>
      <c r="S10" s="73">
        <f t="shared" si="4"/>
        <v>527158.48623853212</v>
      </c>
      <c r="T10" s="74">
        <f t="shared" si="5"/>
        <v>3234.1011425676816</v>
      </c>
      <c r="U10" s="74">
        <f t="shared" si="6"/>
        <v>3234.1011425676816</v>
      </c>
      <c r="V10" s="74">
        <f t="shared" si="7"/>
        <v>3234.1011425676816</v>
      </c>
    </row>
    <row r="11" spans="1:22" x14ac:dyDescent="0.2">
      <c r="A11" s="29" t="s">
        <v>39</v>
      </c>
      <c r="B11" s="29" t="s">
        <v>40</v>
      </c>
      <c r="C11" s="29" t="s">
        <v>31</v>
      </c>
      <c r="D11" s="29" t="s">
        <v>32</v>
      </c>
      <c r="E11" s="29" t="str">
        <f t="shared" si="0"/>
        <v>Central Heat Pump</v>
      </c>
      <c r="F11" s="29">
        <v>127.7</v>
      </c>
      <c r="G11" s="29">
        <v>71</v>
      </c>
      <c r="H11" s="68">
        <v>285140</v>
      </c>
      <c r="I11" s="68" t="s">
        <v>33</v>
      </c>
      <c r="J11" s="68">
        <f t="shared" si="1"/>
        <v>223288.95849647612</v>
      </c>
      <c r="K11" s="70"/>
      <c r="L11" s="70" t="s">
        <v>30</v>
      </c>
      <c r="M11" s="70" t="s">
        <v>30</v>
      </c>
      <c r="N11" s="68" t="s">
        <v>30</v>
      </c>
      <c r="O11" s="68" t="s">
        <v>30</v>
      </c>
      <c r="P11" s="68" t="s">
        <v>30</v>
      </c>
      <c r="Q11" s="69">
        <f t="shared" si="2"/>
        <v>223288.95849647612</v>
      </c>
      <c r="R11" s="68">
        <f t="shared" si="3"/>
        <v>223288.95849647612</v>
      </c>
      <c r="S11" s="73">
        <f t="shared" si="4"/>
        <v>223288.95849647612</v>
      </c>
      <c r="T11" s="74">
        <f t="shared" si="5"/>
        <v>3144.9149084010719</v>
      </c>
      <c r="U11" s="74">
        <f t="shared" si="6"/>
        <v>3144.9149084010719</v>
      </c>
      <c r="V11" s="74">
        <f t="shared" si="7"/>
        <v>3144.9149084010719</v>
      </c>
    </row>
    <row r="12" spans="1:22" x14ac:dyDescent="0.2">
      <c r="A12" s="42" t="s">
        <v>43</v>
      </c>
      <c r="B12" s="42" t="s">
        <v>30</v>
      </c>
      <c r="C12" s="42" t="s">
        <v>31</v>
      </c>
      <c r="D12" s="29" t="s">
        <v>32</v>
      </c>
      <c r="E12" s="29" t="str">
        <f t="shared" si="0"/>
        <v>Central Heat Pump</v>
      </c>
      <c r="F12" s="29">
        <v>132.6</v>
      </c>
      <c r="G12" s="29">
        <v>32</v>
      </c>
      <c r="H12" s="68">
        <v>150055</v>
      </c>
      <c r="I12" s="68" t="s">
        <v>33</v>
      </c>
      <c r="J12" s="68">
        <f t="shared" si="1"/>
        <v>113163.65007541479</v>
      </c>
      <c r="K12" s="70" t="s">
        <v>34</v>
      </c>
      <c r="L12" s="70">
        <f>L15*(G12/G15)*(F12/F15)</f>
        <v>48436.711926605502</v>
      </c>
      <c r="M12" s="70">
        <f>L12*(100/F12)</f>
        <v>36528.440366972471</v>
      </c>
      <c r="N12" s="68" t="s">
        <v>30</v>
      </c>
      <c r="O12" s="68" t="s">
        <v>30</v>
      </c>
      <c r="P12" s="68" t="s">
        <v>30</v>
      </c>
      <c r="Q12" s="69">
        <f t="shared" si="2"/>
        <v>149692.09044238727</v>
      </c>
      <c r="R12" s="68">
        <f t="shared" si="3"/>
        <v>149692.09044238727</v>
      </c>
      <c r="S12" s="73">
        <f t="shared" si="4"/>
        <v>149692.09044238727</v>
      </c>
      <c r="T12" s="74">
        <f t="shared" si="5"/>
        <v>4677.8778263246022</v>
      </c>
      <c r="U12" s="74">
        <f t="shared" si="6"/>
        <v>4677.8778263246022</v>
      </c>
      <c r="V12" s="74">
        <f t="shared" si="7"/>
        <v>4677.8778263246022</v>
      </c>
    </row>
    <row r="13" spans="1:22" x14ac:dyDescent="0.2">
      <c r="A13" s="29" t="s">
        <v>44</v>
      </c>
      <c r="B13" s="29" t="s">
        <v>38</v>
      </c>
      <c r="C13" s="29" t="s">
        <v>31</v>
      </c>
      <c r="D13" s="29" t="s">
        <v>45</v>
      </c>
      <c r="E13" s="29" t="str">
        <f t="shared" si="0"/>
        <v>Central Natural Gas</v>
      </c>
      <c r="F13" s="29">
        <v>111.4</v>
      </c>
      <c r="G13" s="29">
        <v>32</v>
      </c>
      <c r="H13" s="68">
        <v>70000</v>
      </c>
      <c r="I13" s="68" t="s">
        <v>33</v>
      </c>
      <c r="J13" s="68">
        <f t="shared" si="1"/>
        <v>62836.624775583477</v>
      </c>
      <c r="K13" s="70" t="s">
        <v>33</v>
      </c>
      <c r="L13" s="70" t="s">
        <v>30</v>
      </c>
      <c r="M13" s="70" t="s">
        <v>30</v>
      </c>
      <c r="N13" s="68" t="s">
        <v>33</v>
      </c>
      <c r="O13" s="68">
        <v>15000</v>
      </c>
      <c r="P13" s="70">
        <f>O13*100/$F13</f>
        <v>13464.991023339317</v>
      </c>
      <c r="Q13" s="69">
        <f t="shared" si="2"/>
        <v>49371.633752244161</v>
      </c>
      <c r="R13" s="68">
        <f t="shared" si="3"/>
        <v>62836.624775583477</v>
      </c>
      <c r="S13" s="73">
        <f t="shared" si="4"/>
        <v>56104.129263913819</v>
      </c>
      <c r="T13" s="74">
        <f t="shared" si="5"/>
        <v>1542.86355475763</v>
      </c>
      <c r="U13" s="74">
        <f t="shared" si="6"/>
        <v>1963.6445242369837</v>
      </c>
      <c r="V13" s="74">
        <f t="shared" si="7"/>
        <v>1753.2540394973068</v>
      </c>
    </row>
    <row r="14" spans="1:22" x14ac:dyDescent="0.2">
      <c r="A14" s="29" t="s">
        <v>39</v>
      </c>
      <c r="B14" s="29" t="s">
        <v>40</v>
      </c>
      <c r="C14" s="29" t="s">
        <v>31</v>
      </c>
      <c r="D14" s="29" t="s">
        <v>45</v>
      </c>
      <c r="E14" s="29" t="str">
        <f t="shared" si="0"/>
        <v>Central Natural Gas</v>
      </c>
      <c r="F14" s="29">
        <v>127.7</v>
      </c>
      <c r="G14" s="29">
        <v>71</v>
      </c>
      <c r="H14" s="68">
        <v>147060</v>
      </c>
      <c r="I14" s="68" t="s">
        <v>33</v>
      </c>
      <c r="J14" s="68">
        <f t="shared" si="1"/>
        <v>115160.53249804229</v>
      </c>
      <c r="K14" s="70" t="s">
        <v>33</v>
      </c>
      <c r="L14" s="70" t="s">
        <v>30</v>
      </c>
      <c r="M14" s="70" t="s">
        <v>30</v>
      </c>
      <c r="N14" s="68" t="s">
        <v>33</v>
      </c>
      <c r="O14" s="70">
        <f>40000*1.06</f>
        <v>42400</v>
      </c>
      <c r="P14" s="70">
        <f>O14*100/$F14</f>
        <v>33202.819107282696</v>
      </c>
      <c r="Q14" s="69">
        <f t="shared" si="2"/>
        <v>81957.7133907596</v>
      </c>
      <c r="R14" s="68">
        <f t="shared" si="3"/>
        <v>115160.53249804229</v>
      </c>
      <c r="S14" s="73">
        <f t="shared" si="4"/>
        <v>98559.122944400937</v>
      </c>
      <c r="T14" s="74">
        <f t="shared" si="5"/>
        <v>1154.3339914191492</v>
      </c>
      <c r="U14" s="74">
        <f t="shared" si="6"/>
        <v>1621.9793309583422</v>
      </c>
      <c r="V14" s="74">
        <f t="shared" si="7"/>
        <v>1388.1566611887456</v>
      </c>
    </row>
    <row r="15" spans="1:22" x14ac:dyDescent="0.2">
      <c r="A15" s="29" t="s">
        <v>37</v>
      </c>
      <c r="B15" s="29" t="s">
        <v>38</v>
      </c>
      <c r="C15" s="29" t="s">
        <v>31</v>
      </c>
      <c r="D15" s="29" t="s">
        <v>45</v>
      </c>
      <c r="E15" s="29" t="str">
        <f t="shared" si="0"/>
        <v>Central Natural Gas</v>
      </c>
      <c r="F15" s="29">
        <v>109</v>
      </c>
      <c r="G15" s="29">
        <v>340</v>
      </c>
      <c r="H15" s="68">
        <v>224775</v>
      </c>
      <c r="I15" s="68" t="s">
        <v>33</v>
      </c>
      <c r="J15" s="68">
        <f t="shared" si="1"/>
        <v>206215.59633027524</v>
      </c>
      <c r="K15" s="70" t="s">
        <v>34</v>
      </c>
      <c r="L15" s="70">
        <f>G15*(1.75*711)</f>
        <v>423045</v>
      </c>
      <c r="M15" s="70">
        <f>L15*100/$F15</f>
        <v>388114.67889908259</v>
      </c>
      <c r="N15" s="68" t="s">
        <v>34</v>
      </c>
      <c r="O15" s="70">
        <f>(44000)*F12/110</f>
        <v>53040</v>
      </c>
      <c r="P15" s="70">
        <f>O15*100/$F15</f>
        <v>48660.550458715596</v>
      </c>
      <c r="Q15" s="69">
        <f t="shared" si="2"/>
        <v>594330.27522935788</v>
      </c>
      <c r="R15" s="68">
        <f t="shared" si="3"/>
        <v>642990.82568807353</v>
      </c>
      <c r="S15" s="73">
        <f t="shared" si="4"/>
        <v>618660.55045871576</v>
      </c>
      <c r="T15" s="74">
        <f t="shared" si="5"/>
        <v>1748.0302212628173</v>
      </c>
      <c r="U15" s="74">
        <f t="shared" si="6"/>
        <v>1891.1494873178633</v>
      </c>
      <c r="V15" s="74">
        <f t="shared" si="7"/>
        <v>1819.5898542903406</v>
      </c>
    </row>
    <row r="16" spans="1:22" x14ac:dyDescent="0.2">
      <c r="A16" s="29" t="s">
        <v>46</v>
      </c>
      <c r="B16" s="29" t="s">
        <v>47</v>
      </c>
      <c r="C16" s="29" t="s">
        <v>31</v>
      </c>
      <c r="D16" s="29" t="s">
        <v>45</v>
      </c>
      <c r="E16" s="29" t="str">
        <f t="shared" si="0"/>
        <v>Central Natural Gas</v>
      </c>
      <c r="F16" s="29">
        <v>112.1</v>
      </c>
      <c r="G16" s="29">
        <v>64</v>
      </c>
      <c r="H16" s="68">
        <v>312241</v>
      </c>
      <c r="I16" s="68" t="s">
        <v>33</v>
      </c>
      <c r="J16" s="68">
        <f t="shared" si="1"/>
        <v>278537.91257805534</v>
      </c>
      <c r="K16" s="70" t="s">
        <v>34</v>
      </c>
      <c r="L16" s="70">
        <f>L15*(G16/G15)*(F16/F15)</f>
        <v>81896.763302752297</v>
      </c>
      <c r="M16" s="70">
        <f>L16*(100/F16)</f>
        <v>73056.880733944956</v>
      </c>
      <c r="N16" s="68" t="s">
        <v>33</v>
      </c>
      <c r="O16" s="70">
        <v>140956</v>
      </c>
      <c r="P16" s="70">
        <f>O16*100/$F16</f>
        <v>125741.30240856379</v>
      </c>
      <c r="Q16" s="69">
        <f t="shared" si="2"/>
        <v>225853.4909034365</v>
      </c>
      <c r="R16" s="68">
        <f t="shared" si="3"/>
        <v>351594.79331200029</v>
      </c>
      <c r="S16" s="73">
        <f t="shared" si="4"/>
        <v>288724.14210771839</v>
      </c>
      <c r="T16" s="74">
        <f t="shared" si="5"/>
        <v>3528.9607953661953</v>
      </c>
      <c r="U16" s="74">
        <f t="shared" si="6"/>
        <v>5493.6686455000045</v>
      </c>
      <c r="V16" s="74">
        <f t="shared" si="7"/>
        <v>4511.3147204330999</v>
      </c>
    </row>
    <row r="17" spans="1:24" x14ac:dyDescent="0.2">
      <c r="A17" s="29" t="s">
        <v>44</v>
      </c>
      <c r="B17" s="29" t="s">
        <v>38</v>
      </c>
      <c r="C17" s="29" t="s">
        <v>48</v>
      </c>
      <c r="D17" s="29" t="s">
        <v>32</v>
      </c>
      <c r="E17" s="29" t="str">
        <f t="shared" si="0"/>
        <v>Individual Heat Pump</v>
      </c>
      <c r="F17" s="29">
        <v>111.4</v>
      </c>
      <c r="G17" s="29">
        <v>150</v>
      </c>
      <c r="H17" s="68">
        <v>298950</v>
      </c>
      <c r="I17" s="68" t="s">
        <v>33</v>
      </c>
      <c r="J17" s="68">
        <f t="shared" si="1"/>
        <v>268357.2710951526</v>
      </c>
      <c r="K17" s="68" t="s">
        <v>30</v>
      </c>
      <c r="L17" s="68" t="s">
        <v>30</v>
      </c>
      <c r="M17" s="68" t="s">
        <v>30</v>
      </c>
      <c r="N17" s="68" t="s">
        <v>30</v>
      </c>
      <c r="O17" s="70" t="s">
        <v>30</v>
      </c>
      <c r="P17" s="70" t="s">
        <v>30</v>
      </c>
      <c r="Q17" s="69">
        <f t="shared" si="2"/>
        <v>268357.2710951526</v>
      </c>
      <c r="R17" s="68">
        <f t="shared" si="3"/>
        <v>268357.2710951526</v>
      </c>
      <c r="S17" s="73">
        <f t="shared" si="4"/>
        <v>268357.2710951526</v>
      </c>
      <c r="T17" s="74">
        <f t="shared" si="5"/>
        <v>1789.048473967684</v>
      </c>
      <c r="U17" s="74">
        <f t="shared" si="6"/>
        <v>1789.048473967684</v>
      </c>
      <c r="V17" s="74">
        <f t="shared" si="7"/>
        <v>1789.048473967684</v>
      </c>
    </row>
    <row r="18" spans="1:24" x14ac:dyDescent="0.2">
      <c r="A18" s="42" t="s">
        <v>49</v>
      </c>
      <c r="B18" s="42" t="s">
        <v>50</v>
      </c>
      <c r="C18" s="29" t="s">
        <v>48</v>
      </c>
      <c r="D18" s="29" t="s">
        <v>32</v>
      </c>
      <c r="E18" s="29" t="str">
        <f t="shared" si="0"/>
        <v>Individual Heat Pump</v>
      </c>
      <c r="F18" s="29">
        <v>100</v>
      </c>
      <c r="G18" s="29">
        <v>1</v>
      </c>
      <c r="H18" s="68">
        <v>1990</v>
      </c>
      <c r="I18" s="68" t="s">
        <v>33</v>
      </c>
      <c r="J18" s="68">
        <f t="shared" si="1"/>
        <v>1990</v>
      </c>
      <c r="K18" s="68" t="s">
        <v>30</v>
      </c>
      <c r="L18" s="68" t="s">
        <v>30</v>
      </c>
      <c r="M18" s="68" t="s">
        <v>30</v>
      </c>
      <c r="N18" s="68" t="s">
        <v>30</v>
      </c>
      <c r="O18" s="70" t="s">
        <v>30</v>
      </c>
      <c r="P18" s="70" t="s">
        <v>30</v>
      </c>
      <c r="Q18" s="69">
        <f t="shared" si="2"/>
        <v>1990</v>
      </c>
      <c r="R18" s="68">
        <f t="shared" si="3"/>
        <v>1990</v>
      </c>
      <c r="S18" s="73">
        <f t="shared" si="4"/>
        <v>1990</v>
      </c>
      <c r="T18" s="74">
        <f t="shared" si="5"/>
        <v>1990</v>
      </c>
      <c r="U18" s="74">
        <f t="shared" si="6"/>
        <v>1990</v>
      </c>
      <c r="V18" s="74">
        <f t="shared" si="7"/>
        <v>1990</v>
      </c>
      <c r="X18" s="19"/>
    </row>
    <row r="19" spans="1:24" x14ac:dyDescent="0.2">
      <c r="A19" s="29" t="s">
        <v>51</v>
      </c>
      <c r="B19" s="29" t="s">
        <v>38</v>
      </c>
      <c r="C19" s="29" t="s">
        <v>48</v>
      </c>
      <c r="D19" s="29" t="s">
        <v>32</v>
      </c>
      <c r="E19" s="29" t="str">
        <f t="shared" si="0"/>
        <v>Individual Heat Pump</v>
      </c>
      <c r="F19" s="29">
        <v>132.6</v>
      </c>
      <c r="G19" s="29">
        <v>8</v>
      </c>
      <c r="H19" s="68">
        <v>31961</v>
      </c>
      <c r="I19" s="68" t="s">
        <v>33</v>
      </c>
      <c r="J19" s="68">
        <f t="shared" si="1"/>
        <v>24103.318250377073</v>
      </c>
      <c r="K19" s="68" t="s">
        <v>30</v>
      </c>
      <c r="L19" s="68" t="s">
        <v>30</v>
      </c>
      <c r="M19" s="68" t="s">
        <v>30</v>
      </c>
      <c r="N19" s="68" t="s">
        <v>30</v>
      </c>
      <c r="O19" s="70" t="s">
        <v>30</v>
      </c>
      <c r="P19" s="70" t="s">
        <v>30</v>
      </c>
      <c r="Q19" s="69">
        <f t="shared" si="2"/>
        <v>24103.318250377073</v>
      </c>
      <c r="R19" s="68">
        <f t="shared" si="3"/>
        <v>24103.318250377073</v>
      </c>
      <c r="S19" s="73">
        <f t="shared" si="4"/>
        <v>24103.318250377073</v>
      </c>
      <c r="T19" s="74">
        <f t="shared" si="5"/>
        <v>3012.9147812971341</v>
      </c>
      <c r="U19" s="74">
        <f t="shared" si="6"/>
        <v>3012.9147812971341</v>
      </c>
      <c r="V19" s="74">
        <f t="shared" si="7"/>
        <v>3012.9147812971341</v>
      </c>
    </row>
    <row r="20" spans="1:24" x14ac:dyDescent="0.2">
      <c r="A20" s="29" t="s">
        <v>39</v>
      </c>
      <c r="B20" s="29" t="s">
        <v>40</v>
      </c>
      <c r="C20" s="29" t="s">
        <v>48</v>
      </c>
      <c r="D20" s="29" t="s">
        <v>32</v>
      </c>
      <c r="E20" s="29" t="str">
        <f t="shared" si="0"/>
        <v>Individual Heat Pump</v>
      </c>
      <c r="F20" s="29">
        <v>127.7</v>
      </c>
      <c r="G20" s="29">
        <v>71</v>
      </c>
      <c r="H20" s="68">
        <v>274925</v>
      </c>
      <c r="I20" s="68" t="s">
        <v>33</v>
      </c>
      <c r="J20" s="68">
        <f t="shared" si="1"/>
        <v>215289.74158183241</v>
      </c>
      <c r="K20" s="68" t="s">
        <v>30</v>
      </c>
      <c r="L20" s="68" t="s">
        <v>30</v>
      </c>
      <c r="M20" s="68" t="s">
        <v>30</v>
      </c>
      <c r="N20" s="68" t="s">
        <v>30</v>
      </c>
      <c r="O20" s="70" t="s">
        <v>30</v>
      </c>
      <c r="P20" s="70" t="s">
        <v>30</v>
      </c>
      <c r="Q20" s="69">
        <f t="shared" si="2"/>
        <v>215289.74158183241</v>
      </c>
      <c r="R20" s="68">
        <f t="shared" si="3"/>
        <v>215289.74158183241</v>
      </c>
      <c r="S20" s="73">
        <f t="shared" si="4"/>
        <v>215289.74158183241</v>
      </c>
      <c r="T20" s="74">
        <f t="shared" si="5"/>
        <v>3032.2498814342594</v>
      </c>
      <c r="U20" s="74">
        <f t="shared" si="6"/>
        <v>3032.2498814342594</v>
      </c>
      <c r="V20" s="74">
        <f t="shared" si="7"/>
        <v>3032.2498814342594</v>
      </c>
    </row>
    <row r="21" spans="1:24" x14ac:dyDescent="0.2">
      <c r="A21" s="42" t="s">
        <v>52</v>
      </c>
      <c r="B21" s="42" t="s">
        <v>30</v>
      </c>
      <c r="C21" s="29" t="s">
        <v>48</v>
      </c>
      <c r="D21" s="29" t="s">
        <v>32</v>
      </c>
      <c r="E21" s="29" t="str">
        <f t="shared" si="0"/>
        <v>Individual Heat Pump</v>
      </c>
      <c r="F21" s="29">
        <v>123.1</v>
      </c>
      <c r="G21" s="29">
        <v>1</v>
      </c>
      <c r="H21" s="68">
        <v>4600</v>
      </c>
      <c r="I21" s="68" t="s">
        <v>33</v>
      </c>
      <c r="J21" s="68">
        <f t="shared" si="1"/>
        <v>3736.7993501218525</v>
      </c>
      <c r="K21" s="68" t="s">
        <v>30</v>
      </c>
      <c r="L21" s="68" t="s">
        <v>30</v>
      </c>
      <c r="M21" s="68" t="s">
        <v>30</v>
      </c>
      <c r="N21" s="68" t="s">
        <v>30</v>
      </c>
      <c r="O21" s="70" t="s">
        <v>30</v>
      </c>
      <c r="P21" s="70" t="s">
        <v>30</v>
      </c>
      <c r="Q21" s="69">
        <f t="shared" si="2"/>
        <v>3736.7993501218525</v>
      </c>
      <c r="R21" s="68">
        <f t="shared" si="3"/>
        <v>3736.7993501218525</v>
      </c>
      <c r="S21" s="73">
        <f t="shared" si="4"/>
        <v>3736.7993501218525</v>
      </c>
      <c r="T21" s="74">
        <f t="shared" si="5"/>
        <v>3736.7993501218525</v>
      </c>
      <c r="U21" s="74">
        <f t="shared" si="6"/>
        <v>3736.7993501218525</v>
      </c>
      <c r="V21" s="74">
        <f t="shared" si="7"/>
        <v>3736.7993501218525</v>
      </c>
      <c r="X21" s="81"/>
    </row>
    <row r="22" spans="1:24" x14ac:dyDescent="0.2">
      <c r="A22" s="42" t="s">
        <v>53</v>
      </c>
      <c r="B22" s="42" t="s">
        <v>30</v>
      </c>
      <c r="C22" s="42" t="s">
        <v>48</v>
      </c>
      <c r="D22" s="42" t="s">
        <v>32</v>
      </c>
      <c r="E22" s="29" t="str">
        <f t="shared" si="0"/>
        <v>Individual Heat Pump</v>
      </c>
      <c r="F22" s="29">
        <v>127.7</v>
      </c>
      <c r="G22" s="29">
        <v>1</v>
      </c>
      <c r="H22" s="68">
        <v>4875</v>
      </c>
      <c r="I22" s="68" t="s">
        <v>33</v>
      </c>
      <c r="J22" s="68">
        <f t="shared" si="1"/>
        <v>3817.5411119812061</v>
      </c>
      <c r="K22" s="68" t="s">
        <v>30</v>
      </c>
      <c r="L22" s="68" t="s">
        <v>30</v>
      </c>
      <c r="M22" s="68" t="s">
        <v>30</v>
      </c>
      <c r="N22" s="68" t="s">
        <v>30</v>
      </c>
      <c r="O22" s="84" t="s">
        <v>30</v>
      </c>
      <c r="P22" s="70" t="s">
        <v>30</v>
      </c>
      <c r="Q22" s="69">
        <f t="shared" si="2"/>
        <v>3817.5411119812061</v>
      </c>
      <c r="R22" s="68">
        <f t="shared" si="3"/>
        <v>3817.5411119812061</v>
      </c>
      <c r="S22" s="73">
        <f t="shared" si="4"/>
        <v>3817.5411119812061</v>
      </c>
      <c r="T22" s="74">
        <f t="shared" si="5"/>
        <v>3817.5411119812061</v>
      </c>
      <c r="U22" s="74">
        <f t="shared" si="6"/>
        <v>3817.5411119812061</v>
      </c>
      <c r="V22" s="74">
        <f t="shared" si="7"/>
        <v>3817.5411119812061</v>
      </c>
    </row>
    <row r="23" spans="1:24" x14ac:dyDescent="0.2">
      <c r="A23" s="29" t="s">
        <v>51</v>
      </c>
      <c r="B23" s="29" t="s">
        <v>38</v>
      </c>
      <c r="C23" s="29" t="s">
        <v>48</v>
      </c>
      <c r="D23" s="29" t="s">
        <v>32</v>
      </c>
      <c r="E23" s="29" t="str">
        <f t="shared" si="0"/>
        <v>Individual Heat Pump</v>
      </c>
      <c r="F23" s="29">
        <v>132.6</v>
      </c>
      <c r="G23" s="29">
        <v>1</v>
      </c>
      <c r="H23" s="68">
        <v>5065</v>
      </c>
      <c r="I23" s="68" t="s">
        <v>33</v>
      </c>
      <c r="J23" s="68">
        <f t="shared" si="1"/>
        <v>3819.7586726998493</v>
      </c>
      <c r="K23" s="68" t="s">
        <v>30</v>
      </c>
      <c r="L23" s="68" t="s">
        <v>30</v>
      </c>
      <c r="M23" s="68" t="s">
        <v>30</v>
      </c>
      <c r="N23" s="68" t="s">
        <v>30</v>
      </c>
      <c r="O23" s="70" t="s">
        <v>30</v>
      </c>
      <c r="P23" s="70" t="s">
        <v>30</v>
      </c>
      <c r="Q23" s="69">
        <f t="shared" si="2"/>
        <v>3819.7586726998493</v>
      </c>
      <c r="R23" s="68">
        <f t="shared" si="3"/>
        <v>3819.7586726998493</v>
      </c>
      <c r="S23" s="73">
        <f t="shared" si="4"/>
        <v>3819.7586726998493</v>
      </c>
      <c r="T23" s="74">
        <f t="shared" si="5"/>
        <v>3819.7586726998493</v>
      </c>
      <c r="U23" s="74">
        <f t="shared" si="6"/>
        <v>3819.7586726998493</v>
      </c>
      <c r="V23" s="74">
        <f t="shared" si="7"/>
        <v>3819.7586726998493</v>
      </c>
    </row>
    <row r="24" spans="1:24" x14ac:dyDescent="0.2">
      <c r="A24" s="29" t="s">
        <v>51</v>
      </c>
      <c r="B24" s="29" t="s">
        <v>38</v>
      </c>
      <c r="C24" s="29" t="s">
        <v>48</v>
      </c>
      <c r="D24" s="29" t="s">
        <v>45</v>
      </c>
      <c r="E24" s="29" t="str">
        <f t="shared" si="0"/>
        <v>Individual Natural Gas</v>
      </c>
      <c r="F24" s="29">
        <v>132.6</v>
      </c>
      <c r="G24" s="29">
        <v>1</v>
      </c>
      <c r="H24" s="68">
        <v>5702</v>
      </c>
      <c r="I24" s="68" t="s">
        <v>33</v>
      </c>
      <c r="J24" s="68">
        <f t="shared" si="1"/>
        <v>4300.1508295625945</v>
      </c>
      <c r="K24" s="68" t="s">
        <v>30</v>
      </c>
      <c r="L24" s="68" t="s">
        <v>30</v>
      </c>
      <c r="M24" s="68" t="s">
        <v>30</v>
      </c>
      <c r="N24" s="68" t="s">
        <v>33</v>
      </c>
      <c r="O24" s="70">
        <f>(1300+300+800+850)*F23/110</f>
        <v>3917.7272727272725</v>
      </c>
      <c r="P24" s="70">
        <f>O24*100/$F24</f>
        <v>2954.5454545454545</v>
      </c>
      <c r="Q24" s="69">
        <f t="shared" si="2"/>
        <v>1345.60537501714</v>
      </c>
      <c r="R24" s="68">
        <f t="shared" si="3"/>
        <v>4300.1508295625945</v>
      </c>
      <c r="S24" s="73">
        <f t="shared" si="4"/>
        <v>2822.8781022898675</v>
      </c>
      <c r="T24" s="74">
        <f t="shared" si="5"/>
        <v>1345.60537501714</v>
      </c>
      <c r="U24" s="74">
        <f t="shared" si="6"/>
        <v>4300.1508295625945</v>
      </c>
      <c r="V24" s="74">
        <f t="shared" si="7"/>
        <v>2822.8781022898675</v>
      </c>
    </row>
    <row r="25" spans="1:24" x14ac:dyDescent="0.2">
      <c r="A25" s="29" t="s">
        <v>51</v>
      </c>
      <c r="B25" s="29" t="s">
        <v>38</v>
      </c>
      <c r="C25" s="29" t="s">
        <v>48</v>
      </c>
      <c r="D25" s="29" t="s">
        <v>45</v>
      </c>
      <c r="E25" s="29" t="str">
        <f t="shared" si="0"/>
        <v>Individual Natural Gas</v>
      </c>
      <c r="F25" s="29">
        <v>132.6</v>
      </c>
      <c r="G25" s="29">
        <v>8</v>
      </c>
      <c r="H25" s="68">
        <v>37186</v>
      </c>
      <c r="I25" s="68" t="s">
        <v>33</v>
      </c>
      <c r="J25" s="68">
        <f t="shared" si="1"/>
        <v>28043.740573152339</v>
      </c>
      <c r="K25" s="68" t="s">
        <v>30</v>
      </c>
      <c r="L25" s="68" t="s">
        <v>30</v>
      </c>
      <c r="M25" s="68" t="s">
        <v>30</v>
      </c>
      <c r="N25" s="68" t="s">
        <v>33</v>
      </c>
      <c r="O25" s="70">
        <f>(1300+600*8+300*8+850)*F25/110</f>
        <v>11271</v>
      </c>
      <c r="P25" s="70">
        <f>O25*100/$F25</f>
        <v>8500</v>
      </c>
      <c r="Q25" s="69">
        <f t="shared" si="2"/>
        <v>19543.740573152339</v>
      </c>
      <c r="R25" s="68">
        <f t="shared" si="3"/>
        <v>28043.740573152339</v>
      </c>
      <c r="S25" s="73">
        <f t="shared" si="4"/>
        <v>23793.740573152339</v>
      </c>
      <c r="T25" s="74">
        <f t="shared" si="5"/>
        <v>2442.9675716440424</v>
      </c>
      <c r="U25" s="74">
        <f t="shared" si="6"/>
        <v>3505.4675716440424</v>
      </c>
      <c r="V25" s="74">
        <f t="shared" si="7"/>
        <v>2974.2175716440424</v>
      </c>
    </row>
    <row r="26" spans="1:24" x14ac:dyDescent="0.2">
      <c r="A26" s="29" t="s">
        <v>39</v>
      </c>
      <c r="B26" s="29" t="s">
        <v>40</v>
      </c>
      <c r="C26" s="29" t="s">
        <v>54</v>
      </c>
      <c r="D26" s="29" t="s">
        <v>32</v>
      </c>
      <c r="E26" s="29" t="str">
        <f t="shared" si="0"/>
        <v>Multi-Central Heat Pump</v>
      </c>
      <c r="F26" s="29">
        <v>127.7</v>
      </c>
      <c r="G26" s="29">
        <v>71</v>
      </c>
      <c r="H26" s="68">
        <v>152526</v>
      </c>
      <c r="I26" s="68" t="s">
        <v>33</v>
      </c>
      <c r="J26" s="68">
        <f t="shared" si="1"/>
        <v>119440.87705559906</v>
      </c>
      <c r="K26" s="68" t="s">
        <v>30</v>
      </c>
      <c r="L26" s="68" t="s">
        <v>30</v>
      </c>
      <c r="M26" s="68" t="s">
        <v>30</v>
      </c>
      <c r="N26" s="68" t="s">
        <v>30</v>
      </c>
      <c r="O26" s="70" t="s">
        <v>30</v>
      </c>
      <c r="P26" s="70" t="s">
        <v>30</v>
      </c>
      <c r="Q26" s="69">
        <f t="shared" si="2"/>
        <v>119440.87705559906</v>
      </c>
      <c r="R26" s="68">
        <f t="shared" si="3"/>
        <v>119440.87705559906</v>
      </c>
      <c r="S26" s="73">
        <f t="shared" si="4"/>
        <v>119440.87705559906</v>
      </c>
      <c r="T26" s="74">
        <f t="shared" si="5"/>
        <v>1682.265874022522</v>
      </c>
      <c r="U26" s="74">
        <f t="shared" si="6"/>
        <v>1682.265874022522</v>
      </c>
      <c r="V26" s="74">
        <f t="shared" si="7"/>
        <v>1682.265874022522</v>
      </c>
    </row>
    <row r="27" spans="1:24" x14ac:dyDescent="0.2">
      <c r="A27" s="29" t="s">
        <v>55</v>
      </c>
      <c r="B27" s="29" t="s">
        <v>56</v>
      </c>
      <c r="C27" s="29" t="s">
        <v>54</v>
      </c>
      <c r="D27" s="29" t="s">
        <v>32</v>
      </c>
      <c r="E27" s="29" t="str">
        <f t="shared" si="0"/>
        <v>Multi-Central Heat Pump</v>
      </c>
      <c r="F27" s="29">
        <v>116.3</v>
      </c>
      <c r="G27" s="29">
        <v>28</v>
      </c>
      <c r="H27" s="68">
        <v>65000</v>
      </c>
      <c r="I27" s="68" t="s">
        <v>33</v>
      </c>
      <c r="J27" s="68">
        <f t="shared" si="1"/>
        <v>55889.939810834054</v>
      </c>
      <c r="K27" s="68" t="s">
        <v>30</v>
      </c>
      <c r="L27" s="68" t="s">
        <v>30</v>
      </c>
      <c r="M27" s="68" t="s">
        <v>30</v>
      </c>
      <c r="N27" s="68" t="s">
        <v>30</v>
      </c>
      <c r="O27" s="68" t="s">
        <v>30</v>
      </c>
      <c r="P27" s="68" t="s">
        <v>30</v>
      </c>
      <c r="Q27" s="69">
        <f t="shared" si="2"/>
        <v>55889.939810834054</v>
      </c>
      <c r="R27" s="68">
        <f t="shared" si="3"/>
        <v>55889.939810834054</v>
      </c>
      <c r="S27" s="73">
        <f t="shared" si="4"/>
        <v>55889.939810834054</v>
      </c>
      <c r="T27" s="74">
        <f t="shared" si="5"/>
        <v>1996.0692789583591</v>
      </c>
      <c r="U27" s="74">
        <f t="shared" si="6"/>
        <v>1996.0692789583591</v>
      </c>
      <c r="V27" s="74">
        <f t="shared" si="7"/>
        <v>1996.0692789583591</v>
      </c>
    </row>
    <row r="28" spans="1:24" x14ac:dyDescent="0.2">
      <c r="A28" s="29" t="s">
        <v>55</v>
      </c>
      <c r="B28" s="29" t="s">
        <v>56</v>
      </c>
      <c r="C28" s="29" t="s">
        <v>54</v>
      </c>
      <c r="D28" s="29" t="s">
        <v>32</v>
      </c>
      <c r="E28" s="29" t="str">
        <f t="shared" si="0"/>
        <v>Multi-Central Heat Pump</v>
      </c>
      <c r="F28" s="29">
        <v>116.3</v>
      </c>
      <c r="G28" s="29">
        <v>28</v>
      </c>
      <c r="H28" s="68">
        <v>86000</v>
      </c>
      <c r="I28" s="68" t="s">
        <v>33</v>
      </c>
      <c r="J28" s="68">
        <f t="shared" si="1"/>
        <v>73946.68959587274</v>
      </c>
      <c r="K28" s="68" t="s">
        <v>30</v>
      </c>
      <c r="L28" s="68" t="s">
        <v>30</v>
      </c>
      <c r="M28" s="68" t="s">
        <v>30</v>
      </c>
      <c r="N28" s="68" t="s">
        <v>30</v>
      </c>
      <c r="O28" s="68" t="s">
        <v>30</v>
      </c>
      <c r="P28" s="68" t="s">
        <v>30</v>
      </c>
      <c r="Q28" s="69">
        <f t="shared" si="2"/>
        <v>73946.68959587274</v>
      </c>
      <c r="R28" s="68">
        <f t="shared" si="3"/>
        <v>73946.68959587274</v>
      </c>
      <c r="S28" s="73">
        <f t="shared" si="4"/>
        <v>73946.68959587274</v>
      </c>
      <c r="T28" s="74">
        <f t="shared" si="5"/>
        <v>2640.9531998525977</v>
      </c>
      <c r="U28" s="74">
        <f t="shared" si="6"/>
        <v>2640.9531998525977</v>
      </c>
      <c r="V28" s="74">
        <f t="shared" si="7"/>
        <v>2640.9531998525977</v>
      </c>
    </row>
    <row r="29" spans="1:24" x14ac:dyDescent="0.2">
      <c r="A29" s="67"/>
      <c r="B29" s="21"/>
      <c r="C29" s="21"/>
      <c r="D29" s="21"/>
      <c r="E29" s="21"/>
      <c r="K29" s="66"/>
      <c r="M29" s="79"/>
      <c r="N29" s="59"/>
    </row>
    <row r="30" spans="1:24" x14ac:dyDescent="0.2">
      <c r="A30" s="67"/>
      <c r="B30" s="21"/>
      <c r="C30" s="21"/>
      <c r="D30" s="21"/>
      <c r="E30" s="21"/>
      <c r="K30" s="66"/>
      <c r="M30" s="79"/>
      <c r="N30" s="59"/>
    </row>
    <row r="31" spans="1:24" ht="48" x14ac:dyDescent="0.2">
      <c r="A31" s="67"/>
      <c r="B31" s="64" t="s">
        <v>57</v>
      </c>
      <c r="C31" s="96" t="s">
        <v>58</v>
      </c>
      <c r="D31" s="96"/>
      <c r="E31" s="93" t="s">
        <v>59</v>
      </c>
      <c r="F31" s="93" t="s">
        <v>60</v>
      </c>
      <c r="G31" s="93" t="s">
        <v>61</v>
      </c>
      <c r="H31" s="93" t="s">
        <v>62</v>
      </c>
      <c r="I31" s="93" t="s">
        <v>63</v>
      </c>
      <c r="J31" s="93" t="s">
        <v>64</v>
      </c>
      <c r="K31" s="94" t="s">
        <v>65</v>
      </c>
      <c r="M31" s="66"/>
    </row>
    <row r="32" spans="1:24" x14ac:dyDescent="0.2">
      <c r="A32" s="67"/>
      <c r="B32" s="76">
        <v>4</v>
      </c>
      <c r="C32" s="29" t="s">
        <v>31</v>
      </c>
      <c r="D32" s="29" t="s">
        <v>45</v>
      </c>
      <c r="E32" s="77">
        <f t="shared" ref="E32:J36" si="8">AVERAGEIFS(Q$4:Q$28,$C$4:$C$28,$C32,$D$4:$D$28,$D32)</f>
        <v>237878.27831894951</v>
      </c>
      <c r="F32" s="77">
        <f t="shared" si="8"/>
        <v>293145.69406842493</v>
      </c>
      <c r="G32" s="77">
        <f t="shared" si="8"/>
        <v>265511.98619368719</v>
      </c>
      <c r="H32" s="77">
        <f t="shared" si="8"/>
        <v>1993.5471407014479</v>
      </c>
      <c r="I32" s="77">
        <f t="shared" si="8"/>
        <v>2742.6104970032984</v>
      </c>
      <c r="J32" s="77">
        <f t="shared" si="8"/>
        <v>2368.0788188523729</v>
      </c>
      <c r="K32" s="29"/>
      <c r="M32" s="80"/>
    </row>
    <row r="33" spans="1:13" x14ac:dyDescent="0.2">
      <c r="A33" s="67"/>
      <c r="B33" s="76">
        <v>9</v>
      </c>
      <c r="C33" s="29" t="s">
        <v>31</v>
      </c>
      <c r="D33" s="29" t="s">
        <v>32</v>
      </c>
      <c r="E33" s="77">
        <f t="shared" si="8"/>
        <v>268079.22872919985</v>
      </c>
      <c r="F33" s="77">
        <f t="shared" si="8"/>
        <v>268079.22872919985</v>
      </c>
      <c r="G33" s="77">
        <f t="shared" si="8"/>
        <v>268079.22872919985</v>
      </c>
      <c r="H33" s="77">
        <f t="shared" si="8"/>
        <v>2488.2975738849855</v>
      </c>
      <c r="I33" s="77">
        <f t="shared" si="8"/>
        <v>2488.2975738849855</v>
      </c>
      <c r="J33" s="77">
        <f t="shared" si="8"/>
        <v>2488.2975738849855</v>
      </c>
      <c r="K33" s="29"/>
      <c r="M33" s="66"/>
    </row>
    <row r="34" spans="1:13" x14ac:dyDescent="0.2">
      <c r="A34" s="67"/>
      <c r="B34" s="76">
        <v>3</v>
      </c>
      <c r="C34" s="29" t="s">
        <v>54</v>
      </c>
      <c r="D34" s="29" t="s">
        <v>32</v>
      </c>
      <c r="E34" s="77">
        <f t="shared" si="8"/>
        <v>83092.502154101952</v>
      </c>
      <c r="F34" s="77">
        <f t="shared" si="8"/>
        <v>83092.502154101952</v>
      </c>
      <c r="G34" s="77">
        <f t="shared" si="8"/>
        <v>83092.502154101952</v>
      </c>
      <c r="H34" s="77">
        <f t="shared" si="8"/>
        <v>2106.4294509444931</v>
      </c>
      <c r="I34" s="77">
        <f t="shared" si="8"/>
        <v>2106.4294509444931</v>
      </c>
      <c r="J34" s="77">
        <f t="shared" si="8"/>
        <v>2106.4294509444931</v>
      </c>
      <c r="K34" s="29"/>
      <c r="M34" s="66"/>
    </row>
    <row r="35" spans="1:13" x14ac:dyDescent="0.2">
      <c r="A35" s="67"/>
      <c r="B35" s="76">
        <v>2</v>
      </c>
      <c r="C35" s="29" t="s">
        <v>48</v>
      </c>
      <c r="D35" s="29" t="s">
        <v>45</v>
      </c>
      <c r="E35" s="77">
        <f t="shared" si="8"/>
        <v>10444.67297408474</v>
      </c>
      <c r="F35" s="77">
        <f t="shared" si="8"/>
        <v>16171.945701357467</v>
      </c>
      <c r="G35" s="77">
        <f t="shared" si="8"/>
        <v>13308.309337721104</v>
      </c>
      <c r="H35" s="77">
        <f t="shared" si="8"/>
        <v>1894.2864733305912</v>
      </c>
      <c r="I35" s="77">
        <f t="shared" si="8"/>
        <v>3902.8092006033185</v>
      </c>
      <c r="J35" s="77">
        <f t="shared" si="8"/>
        <v>2898.5478369669549</v>
      </c>
      <c r="K35" s="29"/>
      <c r="M35" s="80"/>
    </row>
    <row r="36" spans="1:13" x14ac:dyDescent="0.2">
      <c r="A36" s="67"/>
      <c r="B36" s="76">
        <v>8</v>
      </c>
      <c r="C36" s="29" t="s">
        <v>48</v>
      </c>
      <c r="D36" s="29" t="s">
        <v>32</v>
      </c>
      <c r="E36" s="77">
        <f t="shared" si="8"/>
        <v>74444.918580309284</v>
      </c>
      <c r="F36" s="77">
        <f t="shared" si="8"/>
        <v>74444.918580309284</v>
      </c>
      <c r="G36" s="77">
        <f t="shared" si="8"/>
        <v>74444.918580309284</v>
      </c>
      <c r="H36" s="77">
        <f t="shared" si="8"/>
        <v>3028.3303245002835</v>
      </c>
      <c r="I36" s="77">
        <f t="shared" si="8"/>
        <v>3028.3303245002835</v>
      </c>
      <c r="J36" s="77">
        <f t="shared" si="8"/>
        <v>3028.3303245002835</v>
      </c>
      <c r="K36" s="29"/>
    </row>
    <row r="37" spans="1:13" x14ac:dyDescent="0.2">
      <c r="A37" s="67"/>
    </row>
    <row r="38" spans="1:13" x14ac:dyDescent="0.2">
      <c r="A38" s="75"/>
    </row>
    <row r="39" spans="1:13" x14ac:dyDescent="0.2">
      <c r="A39" s="75"/>
    </row>
    <row r="40" spans="1:13" x14ac:dyDescent="0.2">
      <c r="A40" s="75"/>
    </row>
    <row r="41" spans="1:13" x14ac:dyDescent="0.2">
      <c r="A41" s="75"/>
    </row>
    <row r="42" spans="1:13" x14ac:dyDescent="0.2">
      <c r="A42" s="75"/>
    </row>
    <row r="43" spans="1:13" x14ac:dyDescent="0.2">
      <c r="A43" s="75"/>
    </row>
    <row r="44" spans="1:13" x14ac:dyDescent="0.2">
      <c r="A44" s="75"/>
    </row>
    <row r="45" spans="1:13" x14ac:dyDescent="0.2">
      <c r="A45" s="75"/>
    </row>
    <row r="46" spans="1:13" x14ac:dyDescent="0.2">
      <c r="A46" s="75"/>
    </row>
    <row r="47" spans="1:13" x14ac:dyDescent="0.2">
      <c r="A47" s="75"/>
    </row>
    <row r="48" spans="1:13"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sheetData>
  <sortState xmlns:xlrd2="http://schemas.microsoft.com/office/spreadsheetml/2017/richdata2" ref="A4:V28">
    <sortCondition ref="C4:C28"/>
    <sortCondition ref="D4:D28"/>
    <sortCondition ref="V4:V28"/>
  </sortState>
  <mergeCells count="2">
    <mergeCell ref="A1:H1"/>
    <mergeCell ref="C31:D3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8B5B-97D7-4ABB-A87A-17A6D31791FB}">
  <dimension ref="A1:AJ82"/>
  <sheetViews>
    <sheetView topLeftCell="A49" workbookViewId="0">
      <selection activeCell="C52" sqref="C52"/>
    </sheetView>
  </sheetViews>
  <sheetFormatPr baseColWidth="10" defaultColWidth="8.6640625" defaultRowHeight="15" x14ac:dyDescent="0.2"/>
  <cols>
    <col min="1" max="1" width="18.6640625" customWidth="1"/>
    <col min="2" max="2" width="13.6640625" customWidth="1"/>
    <col min="3" max="3" width="19" bestFit="1" customWidth="1"/>
    <col min="4" max="4" width="12.33203125" bestFit="1" customWidth="1"/>
    <col min="5" max="5" width="19.5" customWidth="1"/>
    <col min="6" max="6" width="14.5" customWidth="1"/>
    <col min="7" max="7" width="15.6640625" customWidth="1"/>
    <col min="8" max="8" width="12.5" customWidth="1"/>
    <col min="9" max="9" width="17.5" customWidth="1"/>
    <col min="10" max="10" width="15" customWidth="1"/>
    <col min="11" max="13" width="11.5" style="58" customWidth="1"/>
    <col min="14" max="14" width="11.6640625" customWidth="1"/>
    <col min="15" max="15" width="13.5" customWidth="1"/>
    <col min="16" max="17" width="16.6640625" customWidth="1"/>
    <col min="18" max="18" width="38.5" style="7" customWidth="1"/>
    <col min="19" max="19" width="13.5" customWidth="1"/>
    <col min="20" max="21" width="16.6640625" customWidth="1"/>
    <col min="22" max="22" width="37.6640625" style="7" customWidth="1"/>
    <col min="23" max="23" width="16.5" customWidth="1"/>
    <col min="24" max="25" width="16.6640625" customWidth="1"/>
    <col min="26" max="26" width="37.6640625" style="7" customWidth="1"/>
    <col min="27" max="28" width="13.5" customWidth="1"/>
    <col min="29" max="30" width="16.6640625" customWidth="1"/>
    <col min="31" max="31" width="37.6640625" style="7" customWidth="1"/>
    <col min="32" max="32" width="13.5" customWidth="1"/>
    <col min="33" max="35" width="16.6640625" customWidth="1"/>
    <col min="36" max="36" width="46.6640625" style="7" customWidth="1"/>
  </cols>
  <sheetData>
    <row r="1" spans="1:36" s="7" customFormat="1" ht="69" customHeight="1" x14ac:dyDescent="0.2">
      <c r="A1" s="28" t="s">
        <v>66</v>
      </c>
      <c r="B1" s="28" t="s">
        <v>67</v>
      </c>
      <c r="C1" s="28" t="s">
        <v>8</v>
      </c>
      <c r="D1" s="28" t="s">
        <v>9</v>
      </c>
      <c r="E1" s="28" t="s">
        <v>10</v>
      </c>
      <c r="F1" s="28" t="s">
        <v>68</v>
      </c>
      <c r="G1" s="28" t="s">
        <v>69</v>
      </c>
      <c r="H1" s="28" t="s">
        <v>70</v>
      </c>
      <c r="I1" s="28" t="s">
        <v>71</v>
      </c>
      <c r="J1" s="28" t="s">
        <v>72</v>
      </c>
      <c r="K1" s="51" t="s">
        <v>73</v>
      </c>
      <c r="L1" s="51" t="s">
        <v>74</v>
      </c>
      <c r="M1" s="51" t="s">
        <v>75</v>
      </c>
      <c r="N1" s="28" t="s">
        <v>13</v>
      </c>
      <c r="O1" s="28" t="s">
        <v>76</v>
      </c>
      <c r="P1" s="28" t="s">
        <v>77</v>
      </c>
      <c r="Q1" s="28" t="s">
        <v>78</v>
      </c>
      <c r="R1" s="28" t="s">
        <v>79</v>
      </c>
      <c r="S1" s="28" t="s">
        <v>80</v>
      </c>
      <c r="T1" s="28" t="s">
        <v>81</v>
      </c>
      <c r="U1" s="28" t="s">
        <v>82</v>
      </c>
      <c r="V1" s="28" t="s">
        <v>83</v>
      </c>
      <c r="W1" s="28" t="s">
        <v>84</v>
      </c>
      <c r="X1" s="28" t="s">
        <v>85</v>
      </c>
      <c r="Y1" s="28" t="s">
        <v>86</v>
      </c>
      <c r="Z1" s="28" t="s">
        <v>87</v>
      </c>
      <c r="AA1" s="28" t="s">
        <v>88</v>
      </c>
      <c r="AB1" s="28" t="s">
        <v>89</v>
      </c>
      <c r="AC1" s="28" t="s">
        <v>90</v>
      </c>
      <c r="AD1" s="28" t="s">
        <v>91</v>
      </c>
      <c r="AE1" s="28" t="s">
        <v>92</v>
      </c>
      <c r="AF1" s="28" t="s">
        <v>93</v>
      </c>
      <c r="AG1" s="28" t="s">
        <v>94</v>
      </c>
      <c r="AH1" s="28" t="s">
        <v>95</v>
      </c>
      <c r="AI1" s="28" t="s">
        <v>96</v>
      </c>
      <c r="AJ1" s="28" t="s">
        <v>97</v>
      </c>
    </row>
    <row r="2" spans="1:36" x14ac:dyDescent="0.2">
      <c r="A2" s="29" t="s">
        <v>98</v>
      </c>
      <c r="B2" s="29" t="s">
        <v>99</v>
      </c>
      <c r="C2" s="29" t="s">
        <v>38</v>
      </c>
      <c r="D2" s="29" t="s">
        <v>48</v>
      </c>
      <c r="E2" s="29" t="s">
        <v>32</v>
      </c>
      <c r="F2" s="29" t="s">
        <v>100</v>
      </c>
      <c r="G2" s="29" t="s">
        <v>101</v>
      </c>
      <c r="H2" s="29">
        <v>123.1</v>
      </c>
      <c r="I2" s="29" t="s">
        <v>102</v>
      </c>
      <c r="J2" s="29" t="s">
        <v>103</v>
      </c>
      <c r="K2" s="52">
        <v>2</v>
      </c>
      <c r="L2" s="52">
        <v>4000</v>
      </c>
      <c r="M2" s="52">
        <v>50</v>
      </c>
      <c r="N2" s="29">
        <v>1</v>
      </c>
      <c r="O2" s="30">
        <v>4600</v>
      </c>
      <c r="P2" s="30">
        <f t="shared" ref="P2:P28" si="0">IFERROR(O2/$N2,"")</f>
        <v>4600</v>
      </c>
      <c r="Q2" s="30">
        <f t="shared" ref="Q2:Q33" si="1">IFERROR(P2/($H2/100),"")</f>
        <v>3736.7993501218525</v>
      </c>
      <c r="R2" s="34"/>
      <c r="S2" s="29" t="s">
        <v>38</v>
      </c>
      <c r="T2" s="30" t="str">
        <f t="shared" ref="T2:T33" si="2">IFERROR(S2/$N2,"")</f>
        <v/>
      </c>
      <c r="U2" s="30" t="str">
        <f t="shared" ref="U2:U33" si="3">IFERROR(T2/($H2/100),"")</f>
        <v/>
      </c>
      <c r="V2" s="34"/>
      <c r="W2" s="29" t="s">
        <v>38</v>
      </c>
      <c r="X2" s="30" t="str">
        <f t="shared" ref="X2:X33" si="4">IFERROR(W2/$N2,"")</f>
        <v/>
      </c>
      <c r="Y2" s="30" t="str">
        <f t="shared" ref="Y2:Y33" si="5">IFERROR(X2/($H2/100),"")</f>
        <v/>
      </c>
      <c r="Z2" s="34"/>
      <c r="AA2" s="29" t="s">
        <v>38</v>
      </c>
      <c r="AB2" s="29"/>
      <c r="AC2" s="30" t="str">
        <f t="shared" ref="AC2:AC33" si="6">IFERROR(AA2/$N2,"")</f>
        <v/>
      </c>
      <c r="AD2" s="30" t="str">
        <f t="shared" ref="AD2:AD33" si="7">IFERROR(AC2/($H2/100),"")</f>
        <v/>
      </c>
      <c r="AE2" s="34"/>
      <c r="AF2" s="29" t="s">
        <v>38</v>
      </c>
      <c r="AG2" s="30" t="str">
        <f t="shared" ref="AG2:AG33" si="8">IFERROR(AF2/$N2,"")</f>
        <v/>
      </c>
      <c r="AH2" s="30" t="str">
        <f t="shared" ref="AH2:AH33" si="9">IFERROR(AG2/($H2/100),"")</f>
        <v/>
      </c>
      <c r="AI2" s="37" t="str">
        <f t="shared" ref="AI2:AI38" si="10">IFERROR(AH2/(Q2-AH2),"")</f>
        <v/>
      </c>
      <c r="AJ2" s="34"/>
    </row>
    <row r="3" spans="1:36" ht="32" x14ac:dyDescent="0.2">
      <c r="A3" s="29" t="s">
        <v>104</v>
      </c>
      <c r="B3" s="29" t="s">
        <v>105</v>
      </c>
      <c r="C3" s="29" t="s">
        <v>38</v>
      </c>
      <c r="D3" s="29" t="s">
        <v>48</v>
      </c>
      <c r="E3" s="29" t="s">
        <v>32</v>
      </c>
      <c r="F3" s="29" t="s">
        <v>100</v>
      </c>
      <c r="G3" s="29" t="s">
        <v>106</v>
      </c>
      <c r="H3" s="29">
        <v>100</v>
      </c>
      <c r="I3" s="29" t="s">
        <v>107</v>
      </c>
      <c r="J3" s="29" t="s">
        <v>108</v>
      </c>
      <c r="K3" s="52">
        <v>2</v>
      </c>
      <c r="L3" s="52">
        <v>4000</v>
      </c>
      <c r="M3" s="52">
        <v>50</v>
      </c>
      <c r="N3" s="29">
        <v>1</v>
      </c>
      <c r="O3" s="35" t="s">
        <v>38</v>
      </c>
      <c r="P3" s="30" t="str">
        <f t="shared" si="0"/>
        <v/>
      </c>
      <c r="Q3" s="30" t="str">
        <f t="shared" si="1"/>
        <v/>
      </c>
      <c r="R3" s="34"/>
      <c r="S3" s="35">
        <v>1229</v>
      </c>
      <c r="T3" s="30">
        <f t="shared" si="2"/>
        <v>1229</v>
      </c>
      <c r="U3" s="30">
        <f t="shared" si="3"/>
        <v>1229</v>
      </c>
      <c r="V3" s="34" t="s">
        <v>109</v>
      </c>
      <c r="W3" s="35" t="s">
        <v>38</v>
      </c>
      <c r="X3" s="30" t="str">
        <f t="shared" si="4"/>
        <v/>
      </c>
      <c r="Y3" s="30" t="str">
        <f t="shared" si="5"/>
        <v/>
      </c>
      <c r="Z3" s="38"/>
      <c r="AA3" s="35" t="s">
        <v>38</v>
      </c>
      <c r="AB3" s="35"/>
      <c r="AC3" s="30" t="str">
        <f t="shared" si="6"/>
        <v/>
      </c>
      <c r="AD3" s="30" t="str">
        <f t="shared" si="7"/>
        <v/>
      </c>
      <c r="AE3" s="34"/>
      <c r="AF3" s="35" t="s">
        <v>38</v>
      </c>
      <c r="AG3" s="30" t="str">
        <f t="shared" si="8"/>
        <v/>
      </c>
      <c r="AH3" s="30" t="str">
        <f t="shared" si="9"/>
        <v/>
      </c>
      <c r="AI3" s="37" t="str">
        <f t="shared" si="10"/>
        <v/>
      </c>
      <c r="AJ3" s="36"/>
    </row>
    <row r="4" spans="1:36" ht="64" x14ac:dyDescent="0.2">
      <c r="A4" s="29" t="s">
        <v>110</v>
      </c>
      <c r="B4" s="29" t="s">
        <v>105</v>
      </c>
      <c r="C4" s="29" t="s">
        <v>38</v>
      </c>
      <c r="D4" s="29" t="s">
        <v>31</v>
      </c>
      <c r="E4" s="29" t="s">
        <v>32</v>
      </c>
      <c r="F4" s="29" t="s">
        <v>100</v>
      </c>
      <c r="G4" s="29" t="s">
        <v>106</v>
      </c>
      <c r="H4" s="29">
        <v>100</v>
      </c>
      <c r="I4" s="29" t="s">
        <v>110</v>
      </c>
      <c r="J4" s="29" t="s">
        <v>111</v>
      </c>
      <c r="K4" s="52">
        <v>3</v>
      </c>
      <c r="L4" s="52">
        <v>600500</v>
      </c>
      <c r="M4" s="53" t="s">
        <v>112</v>
      </c>
      <c r="N4" s="29">
        <v>200</v>
      </c>
      <c r="O4" s="30" t="s">
        <v>38</v>
      </c>
      <c r="P4" s="30" t="str">
        <f t="shared" si="0"/>
        <v/>
      </c>
      <c r="Q4" s="30" t="str">
        <f t="shared" si="1"/>
        <v/>
      </c>
      <c r="R4" s="34"/>
      <c r="S4" s="30">
        <v>71327</v>
      </c>
      <c r="T4" s="33">
        <f t="shared" si="2"/>
        <v>356.63499999999999</v>
      </c>
      <c r="U4" s="33">
        <f t="shared" si="3"/>
        <v>356.63499999999999</v>
      </c>
      <c r="V4" s="34" t="s">
        <v>113</v>
      </c>
      <c r="W4" s="30" t="s">
        <v>38</v>
      </c>
      <c r="X4" s="30" t="str">
        <f t="shared" si="4"/>
        <v/>
      </c>
      <c r="Y4" s="30" t="str">
        <f t="shared" si="5"/>
        <v/>
      </c>
      <c r="Z4" s="38"/>
      <c r="AA4" s="30" t="s">
        <v>38</v>
      </c>
      <c r="AB4" s="30"/>
      <c r="AC4" s="30" t="str">
        <f t="shared" si="6"/>
        <v/>
      </c>
      <c r="AD4" s="30" t="str">
        <f t="shared" si="7"/>
        <v/>
      </c>
      <c r="AE4" s="34"/>
      <c r="AF4" s="30" t="s">
        <v>38</v>
      </c>
      <c r="AG4" s="30" t="str">
        <f t="shared" si="8"/>
        <v/>
      </c>
      <c r="AH4" s="30" t="str">
        <f t="shared" si="9"/>
        <v/>
      </c>
      <c r="AI4" s="37" t="str">
        <f t="shared" si="10"/>
        <v/>
      </c>
      <c r="AJ4" s="36"/>
    </row>
    <row r="5" spans="1:36" ht="48" x14ac:dyDescent="0.2">
      <c r="A5" s="29" t="s">
        <v>41</v>
      </c>
      <c r="B5" s="29" t="s">
        <v>99</v>
      </c>
      <c r="C5" s="29" t="s">
        <v>42</v>
      </c>
      <c r="D5" s="29" t="s">
        <v>31</v>
      </c>
      <c r="E5" s="29" t="s">
        <v>32</v>
      </c>
      <c r="F5" s="29" t="s">
        <v>100</v>
      </c>
      <c r="G5" s="29" t="s">
        <v>114</v>
      </c>
      <c r="H5" s="29">
        <v>127.7</v>
      </c>
      <c r="I5" s="29" t="s">
        <v>115</v>
      </c>
      <c r="J5" s="29" t="s">
        <v>116</v>
      </c>
      <c r="K5" s="52">
        <v>4</v>
      </c>
      <c r="L5" s="52">
        <f>15400*16</f>
        <v>246400</v>
      </c>
      <c r="M5" s="52">
        <v>1200</v>
      </c>
      <c r="N5" s="29">
        <v>65</v>
      </c>
      <c r="O5" s="30">
        <v>209500</v>
      </c>
      <c r="P5" s="30">
        <f t="shared" si="0"/>
        <v>3223.0769230769229</v>
      </c>
      <c r="Q5" s="30">
        <f t="shared" si="1"/>
        <v>2523.9443407023668</v>
      </c>
      <c r="R5" s="34"/>
      <c r="S5" s="35">
        <v>89500</v>
      </c>
      <c r="T5" s="30">
        <f t="shared" si="2"/>
        <v>1376.9230769230769</v>
      </c>
      <c r="U5" s="30">
        <f t="shared" si="3"/>
        <v>1078.2482982952833</v>
      </c>
      <c r="V5" s="39" t="s">
        <v>117</v>
      </c>
      <c r="W5" s="35">
        <v>120000</v>
      </c>
      <c r="X5" s="30">
        <f t="shared" si="4"/>
        <v>1846.1538461538462</v>
      </c>
      <c r="Y5" s="30">
        <f t="shared" si="5"/>
        <v>1445.6960424070837</v>
      </c>
      <c r="Z5" s="39" t="s">
        <v>118</v>
      </c>
      <c r="AA5" s="29" t="s">
        <v>38</v>
      </c>
      <c r="AB5" s="29"/>
      <c r="AC5" s="30" t="str">
        <f t="shared" si="6"/>
        <v/>
      </c>
      <c r="AD5" s="30" t="str">
        <f t="shared" si="7"/>
        <v/>
      </c>
      <c r="AE5" s="34"/>
      <c r="AF5" s="29" t="s">
        <v>38</v>
      </c>
      <c r="AG5" s="30" t="str">
        <f t="shared" si="8"/>
        <v/>
      </c>
      <c r="AH5" s="30" t="str">
        <f t="shared" si="9"/>
        <v/>
      </c>
      <c r="AI5" s="37" t="str">
        <f t="shared" si="10"/>
        <v/>
      </c>
      <c r="AJ5" s="34"/>
    </row>
    <row r="6" spans="1:36" s="31" customFormat="1" ht="16" x14ac:dyDescent="0.2">
      <c r="A6" s="29" t="s">
        <v>44</v>
      </c>
      <c r="B6" s="29" t="s">
        <v>99</v>
      </c>
      <c r="C6" s="29" t="s">
        <v>38</v>
      </c>
      <c r="D6" s="29" t="s">
        <v>31</v>
      </c>
      <c r="E6" s="29" t="s">
        <v>119</v>
      </c>
      <c r="F6" s="29" t="s">
        <v>100</v>
      </c>
      <c r="G6" s="29" t="s">
        <v>38</v>
      </c>
      <c r="H6" s="29">
        <v>111.4</v>
      </c>
      <c r="I6" s="29" t="s">
        <v>38</v>
      </c>
      <c r="J6" s="29" t="s">
        <v>38</v>
      </c>
      <c r="K6" s="52">
        <v>3</v>
      </c>
      <c r="L6" s="52"/>
      <c r="M6" s="52"/>
      <c r="N6" s="29">
        <v>32</v>
      </c>
      <c r="O6" s="30">
        <v>30000</v>
      </c>
      <c r="P6" s="30">
        <f t="shared" si="0"/>
        <v>937.5</v>
      </c>
      <c r="Q6" s="30">
        <f t="shared" si="1"/>
        <v>841.56193895870729</v>
      </c>
      <c r="R6" s="34" t="s">
        <v>120</v>
      </c>
      <c r="S6" s="29" t="s">
        <v>38</v>
      </c>
      <c r="T6" s="30" t="str">
        <f t="shared" si="2"/>
        <v/>
      </c>
      <c r="U6" s="30" t="str">
        <f t="shared" si="3"/>
        <v/>
      </c>
      <c r="V6" s="34"/>
      <c r="W6" s="29" t="s">
        <v>38</v>
      </c>
      <c r="X6" s="30" t="str">
        <f t="shared" si="4"/>
        <v/>
      </c>
      <c r="Y6" s="30" t="str">
        <f t="shared" si="5"/>
        <v/>
      </c>
      <c r="Z6" s="34"/>
      <c r="AA6" s="29" t="s">
        <v>38</v>
      </c>
      <c r="AB6" s="29"/>
      <c r="AC6" s="30" t="str">
        <f t="shared" si="6"/>
        <v/>
      </c>
      <c r="AD6" s="30" t="str">
        <f t="shared" si="7"/>
        <v/>
      </c>
      <c r="AE6" s="34"/>
      <c r="AF6" s="29" t="s">
        <v>38</v>
      </c>
      <c r="AG6" s="30" t="str">
        <f t="shared" si="8"/>
        <v/>
      </c>
      <c r="AH6" s="30" t="str">
        <f t="shared" si="9"/>
        <v/>
      </c>
      <c r="AI6" s="37" t="str">
        <f t="shared" si="10"/>
        <v/>
      </c>
      <c r="AJ6" s="34"/>
    </row>
    <row r="7" spans="1:36" ht="16" x14ac:dyDescent="0.2">
      <c r="A7" s="29" t="s">
        <v>44</v>
      </c>
      <c r="B7" s="29" t="s">
        <v>99</v>
      </c>
      <c r="C7" s="29" t="s">
        <v>38</v>
      </c>
      <c r="D7" s="29" t="s">
        <v>31</v>
      </c>
      <c r="E7" s="29" t="s">
        <v>121</v>
      </c>
      <c r="F7" s="29" t="s">
        <v>100</v>
      </c>
      <c r="G7" s="29" t="s">
        <v>38</v>
      </c>
      <c r="H7" s="29">
        <v>111.4</v>
      </c>
      <c r="I7" s="29" t="s">
        <v>38</v>
      </c>
      <c r="J7" s="29" t="s">
        <v>38</v>
      </c>
      <c r="K7" s="52">
        <v>3</v>
      </c>
      <c r="L7" s="52"/>
      <c r="M7" s="52"/>
      <c r="N7" s="29">
        <v>32</v>
      </c>
      <c r="O7" s="30">
        <v>45000</v>
      </c>
      <c r="P7" s="30">
        <f t="shared" si="0"/>
        <v>1406.25</v>
      </c>
      <c r="Q7" s="30">
        <f t="shared" si="1"/>
        <v>1262.3429084380609</v>
      </c>
      <c r="R7" s="34" t="s">
        <v>122</v>
      </c>
      <c r="S7" s="29" t="s">
        <v>38</v>
      </c>
      <c r="T7" s="30" t="str">
        <f t="shared" si="2"/>
        <v/>
      </c>
      <c r="U7" s="30" t="str">
        <f t="shared" si="3"/>
        <v/>
      </c>
      <c r="V7" s="34"/>
      <c r="W7" s="29" t="s">
        <v>38</v>
      </c>
      <c r="X7" s="30" t="str">
        <f t="shared" si="4"/>
        <v/>
      </c>
      <c r="Y7" s="30" t="str">
        <f t="shared" si="5"/>
        <v/>
      </c>
      <c r="Z7" s="34"/>
      <c r="AA7" s="29" t="s">
        <v>38</v>
      </c>
      <c r="AB7" s="29"/>
      <c r="AC7" s="30" t="str">
        <f t="shared" si="6"/>
        <v/>
      </c>
      <c r="AD7" s="30" t="str">
        <f t="shared" si="7"/>
        <v/>
      </c>
      <c r="AE7" s="34"/>
      <c r="AF7" s="29" t="s">
        <v>38</v>
      </c>
      <c r="AG7" s="30" t="str">
        <f t="shared" si="8"/>
        <v/>
      </c>
      <c r="AH7" s="30" t="str">
        <f t="shared" si="9"/>
        <v/>
      </c>
      <c r="AI7" s="37" t="str">
        <f t="shared" si="10"/>
        <v/>
      </c>
      <c r="AJ7" s="34"/>
    </row>
    <row r="8" spans="1:36" s="31" customFormat="1" ht="16" x14ac:dyDescent="0.2">
      <c r="A8" s="29" t="s">
        <v>44</v>
      </c>
      <c r="B8" s="29" t="s">
        <v>99</v>
      </c>
      <c r="C8" s="29" t="s">
        <v>38</v>
      </c>
      <c r="D8" s="29" t="s">
        <v>48</v>
      </c>
      <c r="E8" s="29" t="s">
        <v>32</v>
      </c>
      <c r="F8" s="29" t="s">
        <v>100</v>
      </c>
      <c r="G8" s="29" t="s">
        <v>123</v>
      </c>
      <c r="H8" s="29">
        <v>111.4</v>
      </c>
      <c r="I8" s="29" t="s">
        <v>38</v>
      </c>
      <c r="J8" s="29" t="s">
        <v>38</v>
      </c>
      <c r="K8" s="56">
        <v>3</v>
      </c>
      <c r="L8" s="52">
        <v>4000</v>
      </c>
      <c r="M8" s="52">
        <v>50</v>
      </c>
      <c r="N8" s="29">
        <v>150</v>
      </c>
      <c r="O8" s="30">
        <f>1993*150</f>
        <v>298950</v>
      </c>
      <c r="P8" s="30">
        <f t="shared" si="0"/>
        <v>1993</v>
      </c>
      <c r="Q8" s="30">
        <f t="shared" si="1"/>
        <v>1789.0484739676838</v>
      </c>
      <c r="R8" s="34"/>
      <c r="S8" s="29" t="s">
        <v>38</v>
      </c>
      <c r="T8" s="30" t="str">
        <f t="shared" si="2"/>
        <v/>
      </c>
      <c r="U8" s="30" t="str">
        <f t="shared" si="3"/>
        <v/>
      </c>
      <c r="V8" s="34"/>
      <c r="W8" s="29" t="s">
        <v>38</v>
      </c>
      <c r="X8" s="30" t="str">
        <f t="shared" si="4"/>
        <v/>
      </c>
      <c r="Y8" s="30" t="str">
        <f t="shared" si="5"/>
        <v/>
      </c>
      <c r="Z8" s="34"/>
      <c r="AA8" s="29" t="s">
        <v>38</v>
      </c>
      <c r="AB8" s="29"/>
      <c r="AC8" s="30" t="str">
        <f t="shared" si="6"/>
        <v/>
      </c>
      <c r="AD8" s="30" t="str">
        <f t="shared" si="7"/>
        <v/>
      </c>
      <c r="AE8" s="34" t="s">
        <v>124</v>
      </c>
      <c r="AF8" s="29" t="s">
        <v>38</v>
      </c>
      <c r="AG8" s="30" t="str">
        <f t="shared" si="8"/>
        <v/>
      </c>
      <c r="AH8" s="30" t="str">
        <f t="shared" si="9"/>
        <v/>
      </c>
      <c r="AI8" s="37" t="str">
        <f t="shared" si="10"/>
        <v/>
      </c>
      <c r="AJ8" s="34"/>
    </row>
    <row r="9" spans="1:36" ht="16" x14ac:dyDescent="0.2">
      <c r="A9" s="29" t="s">
        <v>125</v>
      </c>
      <c r="B9" s="29" t="s">
        <v>126</v>
      </c>
      <c r="C9" s="29" t="s">
        <v>38</v>
      </c>
      <c r="D9" s="29" t="s">
        <v>48</v>
      </c>
      <c r="E9" s="29" t="s">
        <v>45</v>
      </c>
      <c r="F9" s="29" t="s">
        <v>100</v>
      </c>
      <c r="G9" s="29" t="s">
        <v>106</v>
      </c>
      <c r="H9" s="29">
        <v>100</v>
      </c>
      <c r="I9" s="29" t="s">
        <v>38</v>
      </c>
      <c r="J9" s="29" t="s">
        <v>38</v>
      </c>
      <c r="K9" s="52" t="s">
        <v>127</v>
      </c>
      <c r="L9" s="52"/>
      <c r="M9" s="52"/>
      <c r="N9" s="29">
        <v>1</v>
      </c>
      <c r="O9" s="30" t="s">
        <v>38</v>
      </c>
      <c r="P9" s="30" t="str">
        <f t="shared" si="0"/>
        <v/>
      </c>
      <c r="Q9" s="30" t="str">
        <f t="shared" si="1"/>
        <v/>
      </c>
      <c r="R9" s="34"/>
      <c r="S9" s="35" t="s">
        <v>38</v>
      </c>
      <c r="T9" s="30" t="str">
        <f t="shared" si="2"/>
        <v/>
      </c>
      <c r="U9" s="30" t="str">
        <f t="shared" si="3"/>
        <v/>
      </c>
      <c r="V9" s="34"/>
      <c r="W9" s="35" t="s">
        <v>38</v>
      </c>
      <c r="X9" s="30" t="str">
        <f t="shared" si="4"/>
        <v/>
      </c>
      <c r="Y9" s="30" t="str">
        <f t="shared" si="5"/>
        <v/>
      </c>
      <c r="Z9" s="38"/>
      <c r="AA9" s="29">
        <v>1400</v>
      </c>
      <c r="AB9" s="30">
        <f>IFERROR(AA9/($H9/100),"")</f>
        <v>1400</v>
      </c>
      <c r="AC9" s="30">
        <f t="shared" si="6"/>
        <v>1400</v>
      </c>
      <c r="AD9" s="30">
        <f t="shared" si="7"/>
        <v>1400</v>
      </c>
      <c r="AE9" s="34" t="s">
        <v>128</v>
      </c>
      <c r="AF9" s="35" t="s">
        <v>38</v>
      </c>
      <c r="AG9" s="30" t="str">
        <f t="shared" si="8"/>
        <v/>
      </c>
      <c r="AH9" s="30" t="str">
        <f t="shared" si="9"/>
        <v/>
      </c>
      <c r="AI9" s="37" t="str">
        <f t="shared" si="10"/>
        <v/>
      </c>
      <c r="AJ9" s="36"/>
    </row>
    <row r="10" spans="1:36" ht="32" x14ac:dyDescent="0.2">
      <c r="A10" s="29" t="s">
        <v>29</v>
      </c>
      <c r="B10" s="29" t="s">
        <v>99</v>
      </c>
      <c r="C10" s="29" t="s">
        <v>38</v>
      </c>
      <c r="D10" s="29" t="s">
        <v>31</v>
      </c>
      <c r="E10" s="29" t="s">
        <v>32</v>
      </c>
      <c r="F10" s="29" t="s">
        <v>129</v>
      </c>
      <c r="G10" s="29" t="s">
        <v>130</v>
      </c>
      <c r="H10" s="29">
        <v>132.6</v>
      </c>
      <c r="I10" s="29" t="s">
        <v>115</v>
      </c>
      <c r="J10" s="29" t="s">
        <v>131</v>
      </c>
      <c r="K10" s="52">
        <v>6</v>
      </c>
      <c r="L10" s="52">
        <f>8*15400</f>
        <v>123200</v>
      </c>
      <c r="M10" s="52">
        <v>250</v>
      </c>
      <c r="N10" s="29">
        <v>151</v>
      </c>
      <c r="O10" s="30">
        <v>148633</v>
      </c>
      <c r="P10" s="30">
        <f t="shared" si="0"/>
        <v>984.32450331125824</v>
      </c>
      <c r="Q10" s="30">
        <f t="shared" si="1"/>
        <v>742.3261714262884</v>
      </c>
      <c r="R10" s="34" t="s">
        <v>132</v>
      </c>
      <c r="S10" s="29" t="s">
        <v>38</v>
      </c>
      <c r="T10" s="30" t="str">
        <f t="shared" si="2"/>
        <v/>
      </c>
      <c r="U10" s="30" t="str">
        <f t="shared" si="3"/>
        <v/>
      </c>
      <c r="V10" s="34"/>
      <c r="W10" s="29" t="s">
        <v>38</v>
      </c>
      <c r="X10" s="30" t="str">
        <f t="shared" si="4"/>
        <v/>
      </c>
      <c r="Y10" s="30" t="str">
        <f t="shared" si="5"/>
        <v/>
      </c>
      <c r="Z10" s="34"/>
      <c r="AA10" s="29" t="s">
        <v>38</v>
      </c>
      <c r="AB10" s="29"/>
      <c r="AC10" s="30" t="str">
        <f t="shared" si="6"/>
        <v/>
      </c>
      <c r="AD10" s="30" t="str">
        <f t="shared" si="7"/>
        <v/>
      </c>
      <c r="AE10" s="34"/>
      <c r="AF10" s="29" t="s">
        <v>38</v>
      </c>
      <c r="AG10" s="30" t="str">
        <f t="shared" si="8"/>
        <v/>
      </c>
      <c r="AH10" s="30" t="str">
        <f t="shared" si="9"/>
        <v/>
      </c>
      <c r="AI10" s="37" t="str">
        <f t="shared" si="10"/>
        <v/>
      </c>
      <c r="AJ10" s="34"/>
    </row>
    <row r="11" spans="1:36" ht="32" x14ac:dyDescent="0.2">
      <c r="A11" s="42" t="s">
        <v>29</v>
      </c>
      <c r="B11" s="42" t="s">
        <v>99</v>
      </c>
      <c r="C11" s="42" t="s">
        <v>38</v>
      </c>
      <c r="D11" s="42" t="s">
        <v>31</v>
      </c>
      <c r="E11" s="42" t="s">
        <v>32</v>
      </c>
      <c r="F11" s="42" t="s">
        <v>129</v>
      </c>
      <c r="G11" s="42" t="s">
        <v>130</v>
      </c>
      <c r="H11" s="42">
        <v>132.6</v>
      </c>
      <c r="I11" s="42" t="s">
        <v>133</v>
      </c>
      <c r="J11" s="42" t="s">
        <v>134</v>
      </c>
      <c r="K11" s="52">
        <v>8</v>
      </c>
      <c r="L11" s="52">
        <f>15*12000</f>
        <v>180000</v>
      </c>
      <c r="M11" s="52">
        <v>350</v>
      </c>
      <c r="N11" s="42">
        <v>154</v>
      </c>
      <c r="O11" s="62">
        <v>168000</v>
      </c>
      <c r="P11" s="62">
        <f t="shared" si="0"/>
        <v>1090.909090909091</v>
      </c>
      <c r="Q11" s="62">
        <f t="shared" si="1"/>
        <v>822.70670505964642</v>
      </c>
      <c r="R11" s="45" t="s">
        <v>135</v>
      </c>
      <c r="S11" s="42" t="s">
        <v>38</v>
      </c>
      <c r="T11" s="33" t="str">
        <f t="shared" si="2"/>
        <v/>
      </c>
      <c r="U11" s="33" t="str">
        <f t="shared" si="3"/>
        <v/>
      </c>
      <c r="V11" s="45"/>
      <c r="W11" s="42" t="s">
        <v>38</v>
      </c>
      <c r="X11" s="33" t="str">
        <f t="shared" si="4"/>
        <v/>
      </c>
      <c r="Y11" s="33" t="str">
        <f t="shared" si="5"/>
        <v/>
      </c>
      <c r="Z11" s="45"/>
      <c r="AA11" s="42" t="s">
        <v>38</v>
      </c>
      <c r="AB11" s="42"/>
      <c r="AC11" s="33" t="str">
        <f t="shared" si="6"/>
        <v/>
      </c>
      <c r="AD11" s="33" t="str">
        <f t="shared" si="7"/>
        <v/>
      </c>
      <c r="AE11" s="45"/>
      <c r="AF11" s="42" t="s">
        <v>38</v>
      </c>
      <c r="AG11" s="33" t="str">
        <f t="shared" si="8"/>
        <v/>
      </c>
      <c r="AH11" s="33" t="str">
        <f t="shared" si="9"/>
        <v/>
      </c>
      <c r="AI11" s="57" t="str">
        <f t="shared" si="10"/>
        <v/>
      </c>
      <c r="AJ11" s="45"/>
    </row>
    <row r="12" spans="1:36" ht="32" x14ac:dyDescent="0.2">
      <c r="A12" s="42" t="s">
        <v>29</v>
      </c>
      <c r="B12" s="42" t="s">
        <v>99</v>
      </c>
      <c r="C12" s="42" t="s">
        <v>38</v>
      </c>
      <c r="D12" s="42" t="s">
        <v>31</v>
      </c>
      <c r="E12" s="42" t="s">
        <v>32</v>
      </c>
      <c r="F12" s="42" t="s">
        <v>129</v>
      </c>
      <c r="G12" s="42" t="s">
        <v>130</v>
      </c>
      <c r="H12" s="42">
        <v>132.6</v>
      </c>
      <c r="I12" s="42" t="s">
        <v>133</v>
      </c>
      <c r="J12" s="42" t="s">
        <v>134</v>
      </c>
      <c r="K12" s="52">
        <v>3</v>
      </c>
      <c r="L12" s="52">
        <f>15*12000</f>
        <v>180000</v>
      </c>
      <c r="M12" s="52">
        <v>470</v>
      </c>
      <c r="N12" s="42">
        <v>157</v>
      </c>
      <c r="O12" s="62">
        <v>210000</v>
      </c>
      <c r="P12" s="62">
        <f t="shared" si="0"/>
        <v>1337.5796178343949</v>
      </c>
      <c r="Q12" s="62">
        <f t="shared" si="1"/>
        <v>1008.732743464853</v>
      </c>
      <c r="R12" s="45" t="s">
        <v>136</v>
      </c>
      <c r="S12" s="42" t="s">
        <v>38</v>
      </c>
      <c r="T12" s="33" t="str">
        <f t="shared" si="2"/>
        <v/>
      </c>
      <c r="U12" s="33" t="str">
        <f t="shared" si="3"/>
        <v/>
      </c>
      <c r="V12" s="45"/>
      <c r="W12" s="42" t="s">
        <v>38</v>
      </c>
      <c r="X12" s="33" t="str">
        <f t="shared" si="4"/>
        <v/>
      </c>
      <c r="Y12" s="33" t="str">
        <f t="shared" si="5"/>
        <v/>
      </c>
      <c r="Z12" s="45"/>
      <c r="AA12" s="42" t="s">
        <v>38</v>
      </c>
      <c r="AB12" s="42"/>
      <c r="AC12" s="33" t="str">
        <f t="shared" si="6"/>
        <v/>
      </c>
      <c r="AD12" s="33" t="str">
        <f t="shared" si="7"/>
        <v/>
      </c>
      <c r="AE12" s="45"/>
      <c r="AF12" s="42" t="s">
        <v>38</v>
      </c>
      <c r="AG12" s="33" t="str">
        <f t="shared" si="8"/>
        <v/>
      </c>
      <c r="AH12" s="33" t="str">
        <f t="shared" si="9"/>
        <v/>
      </c>
      <c r="AI12" s="57" t="str">
        <f t="shared" si="10"/>
        <v/>
      </c>
      <c r="AJ12" s="45"/>
    </row>
    <row r="13" spans="1:36" ht="16" x14ac:dyDescent="0.2">
      <c r="A13" s="29" t="s">
        <v>29</v>
      </c>
      <c r="B13" s="29" t="s">
        <v>99</v>
      </c>
      <c r="C13" s="29" t="s">
        <v>38</v>
      </c>
      <c r="D13" s="29" t="s">
        <v>31</v>
      </c>
      <c r="E13" s="29" t="s">
        <v>32</v>
      </c>
      <c r="F13" s="29" t="s">
        <v>129</v>
      </c>
      <c r="G13" s="29" t="s">
        <v>130</v>
      </c>
      <c r="H13" s="29">
        <v>132.6</v>
      </c>
      <c r="I13" s="29" t="s">
        <v>115</v>
      </c>
      <c r="J13" s="29" t="s">
        <v>116</v>
      </c>
      <c r="K13" s="52">
        <v>2</v>
      </c>
      <c r="L13" s="52">
        <f>6*15400</f>
        <v>92400</v>
      </c>
      <c r="M13" s="52">
        <v>400</v>
      </c>
      <c r="N13" s="29">
        <v>50</v>
      </c>
      <c r="O13" s="30">
        <v>82225</v>
      </c>
      <c r="P13" s="30">
        <f t="shared" si="0"/>
        <v>1644.5</v>
      </c>
      <c r="Q13" s="30">
        <f t="shared" si="1"/>
        <v>1240.1960784313726</v>
      </c>
      <c r="R13" s="34" t="s">
        <v>137</v>
      </c>
      <c r="S13" s="29" t="s">
        <v>38</v>
      </c>
      <c r="T13" s="30" t="str">
        <f t="shared" si="2"/>
        <v/>
      </c>
      <c r="U13" s="30" t="str">
        <f t="shared" si="3"/>
        <v/>
      </c>
      <c r="V13" s="34"/>
      <c r="W13" s="29" t="s">
        <v>38</v>
      </c>
      <c r="X13" s="30" t="str">
        <f t="shared" si="4"/>
        <v/>
      </c>
      <c r="Y13" s="30" t="str">
        <f t="shared" si="5"/>
        <v/>
      </c>
      <c r="Z13" s="34"/>
      <c r="AA13" s="29" t="s">
        <v>38</v>
      </c>
      <c r="AB13" s="29"/>
      <c r="AC13" s="30" t="str">
        <f t="shared" si="6"/>
        <v/>
      </c>
      <c r="AD13" s="30" t="str">
        <f t="shared" si="7"/>
        <v/>
      </c>
      <c r="AE13" s="34"/>
      <c r="AF13" s="29" t="s">
        <v>38</v>
      </c>
      <c r="AG13" s="30" t="str">
        <f t="shared" si="8"/>
        <v/>
      </c>
      <c r="AH13" s="30" t="str">
        <f t="shared" si="9"/>
        <v/>
      </c>
      <c r="AI13" s="37" t="str">
        <f t="shared" si="10"/>
        <v/>
      </c>
      <c r="AJ13" s="34"/>
    </row>
    <row r="14" spans="1:36" x14ac:dyDescent="0.2">
      <c r="A14" s="29" t="s">
        <v>29</v>
      </c>
      <c r="B14" s="29" t="s">
        <v>99</v>
      </c>
      <c r="C14" s="29" t="s">
        <v>38</v>
      </c>
      <c r="D14" s="29" t="s">
        <v>31</v>
      </c>
      <c r="E14" s="29" t="s">
        <v>32</v>
      </c>
      <c r="F14" s="29" t="s">
        <v>129</v>
      </c>
      <c r="G14" s="29" t="s">
        <v>130</v>
      </c>
      <c r="H14" s="29">
        <v>132.6</v>
      </c>
      <c r="I14" s="29" t="s">
        <v>133</v>
      </c>
      <c r="J14" s="29" t="s">
        <v>138</v>
      </c>
      <c r="K14" s="52">
        <v>3</v>
      </c>
      <c r="L14" s="52">
        <f>10*12000</f>
        <v>120000</v>
      </c>
      <c r="M14" s="52">
        <v>300</v>
      </c>
      <c r="N14" s="29">
        <v>50</v>
      </c>
      <c r="O14" s="30">
        <v>105677</v>
      </c>
      <c r="P14" s="30">
        <f t="shared" si="0"/>
        <v>2113.54</v>
      </c>
      <c r="Q14" s="30">
        <f t="shared" si="1"/>
        <v>1593.9215686274511</v>
      </c>
      <c r="R14" s="34"/>
      <c r="S14" s="29" t="s">
        <v>38</v>
      </c>
      <c r="T14" s="30" t="str">
        <f t="shared" si="2"/>
        <v/>
      </c>
      <c r="U14" s="30" t="str">
        <f t="shared" si="3"/>
        <v/>
      </c>
      <c r="V14" s="34"/>
      <c r="W14" s="29" t="s">
        <v>38</v>
      </c>
      <c r="X14" s="30" t="str">
        <f t="shared" si="4"/>
        <v/>
      </c>
      <c r="Y14" s="30" t="str">
        <f t="shared" si="5"/>
        <v/>
      </c>
      <c r="Z14" s="34"/>
      <c r="AA14" s="29" t="s">
        <v>38</v>
      </c>
      <c r="AB14" s="29"/>
      <c r="AC14" s="30" t="str">
        <f t="shared" si="6"/>
        <v/>
      </c>
      <c r="AD14" s="30" t="str">
        <f t="shared" si="7"/>
        <v/>
      </c>
      <c r="AE14" s="34"/>
      <c r="AF14" s="29" t="s">
        <v>38</v>
      </c>
      <c r="AG14" s="30" t="str">
        <f t="shared" si="8"/>
        <v/>
      </c>
      <c r="AH14" s="30" t="str">
        <f t="shared" si="9"/>
        <v/>
      </c>
      <c r="AI14" s="37" t="str">
        <f t="shared" si="10"/>
        <v/>
      </c>
      <c r="AJ14" s="34"/>
    </row>
    <row r="15" spans="1:36" s="58" customFormat="1" x14ac:dyDescent="0.2">
      <c r="A15" s="29" t="s">
        <v>29</v>
      </c>
      <c r="B15" s="29" t="s">
        <v>99</v>
      </c>
      <c r="C15" s="29" t="s">
        <v>38</v>
      </c>
      <c r="D15" s="29" t="s">
        <v>31</v>
      </c>
      <c r="E15" s="29" t="s">
        <v>32</v>
      </c>
      <c r="F15" s="29" t="s">
        <v>129</v>
      </c>
      <c r="G15" s="29" t="s">
        <v>130</v>
      </c>
      <c r="H15" s="29">
        <v>132.6</v>
      </c>
      <c r="I15" s="29" t="s">
        <v>115</v>
      </c>
      <c r="J15" s="29" t="s">
        <v>116</v>
      </c>
      <c r="K15" s="52">
        <v>6</v>
      </c>
      <c r="L15" s="52">
        <f>4*15400</f>
        <v>61600</v>
      </c>
      <c r="M15" s="52">
        <v>240</v>
      </c>
      <c r="N15" s="29">
        <v>24</v>
      </c>
      <c r="O15" s="30">
        <v>63063</v>
      </c>
      <c r="P15" s="30">
        <f t="shared" si="0"/>
        <v>2627.625</v>
      </c>
      <c r="Q15" s="30">
        <f t="shared" si="1"/>
        <v>1981.6176470588236</v>
      </c>
      <c r="R15" s="34"/>
      <c r="S15" s="29" t="s">
        <v>38</v>
      </c>
      <c r="T15" s="30" t="str">
        <f t="shared" si="2"/>
        <v/>
      </c>
      <c r="U15" s="30" t="str">
        <f t="shared" si="3"/>
        <v/>
      </c>
      <c r="V15" s="34"/>
      <c r="W15" s="29" t="s">
        <v>38</v>
      </c>
      <c r="X15" s="30" t="str">
        <f t="shared" si="4"/>
        <v/>
      </c>
      <c r="Y15" s="30" t="str">
        <f t="shared" si="5"/>
        <v/>
      </c>
      <c r="Z15" s="34"/>
      <c r="AA15" s="29" t="s">
        <v>38</v>
      </c>
      <c r="AB15" s="29"/>
      <c r="AC15" s="30" t="str">
        <f t="shared" si="6"/>
        <v/>
      </c>
      <c r="AD15" s="30" t="str">
        <f t="shared" si="7"/>
        <v/>
      </c>
      <c r="AE15" s="34"/>
      <c r="AF15" s="29" t="s">
        <v>38</v>
      </c>
      <c r="AG15" s="30" t="str">
        <f t="shared" si="8"/>
        <v/>
      </c>
      <c r="AH15" s="30" t="str">
        <f t="shared" si="9"/>
        <v/>
      </c>
      <c r="AI15" s="37" t="str">
        <f t="shared" si="10"/>
        <v/>
      </c>
      <c r="AJ15" s="34"/>
    </row>
    <row r="16" spans="1:36" s="58" customFormat="1" x14ac:dyDescent="0.2">
      <c r="A16" s="29" t="s">
        <v>29</v>
      </c>
      <c r="B16" s="29" t="s">
        <v>99</v>
      </c>
      <c r="C16" s="29" t="s">
        <v>38</v>
      </c>
      <c r="D16" s="29" t="s">
        <v>31</v>
      </c>
      <c r="E16" s="29" t="s">
        <v>32</v>
      </c>
      <c r="F16" s="29" t="s">
        <v>129</v>
      </c>
      <c r="G16" s="29" t="s">
        <v>130</v>
      </c>
      <c r="H16" s="29">
        <v>132.6</v>
      </c>
      <c r="I16" s="29" t="s">
        <v>133</v>
      </c>
      <c r="J16" s="29" t="s">
        <v>138</v>
      </c>
      <c r="K16" s="52">
        <v>1</v>
      </c>
      <c r="L16" s="52">
        <f>5*12000</f>
        <v>60000</v>
      </c>
      <c r="M16" s="52">
        <v>300</v>
      </c>
      <c r="N16" s="29">
        <v>24</v>
      </c>
      <c r="O16" s="30">
        <v>76762</v>
      </c>
      <c r="P16" s="30">
        <f t="shared" si="0"/>
        <v>3198.4166666666665</v>
      </c>
      <c r="Q16" s="30">
        <f t="shared" si="1"/>
        <v>2412.0789341377576</v>
      </c>
      <c r="R16" s="34"/>
      <c r="S16" s="29" t="s">
        <v>38</v>
      </c>
      <c r="T16" s="30" t="str">
        <f t="shared" si="2"/>
        <v/>
      </c>
      <c r="U16" s="30" t="str">
        <f t="shared" si="3"/>
        <v/>
      </c>
      <c r="V16" s="34"/>
      <c r="W16" s="29" t="s">
        <v>38</v>
      </c>
      <c r="X16" s="30" t="str">
        <f t="shared" si="4"/>
        <v/>
      </c>
      <c r="Y16" s="30" t="str">
        <f t="shared" si="5"/>
        <v/>
      </c>
      <c r="Z16" s="34"/>
      <c r="AA16" s="29" t="s">
        <v>38</v>
      </c>
      <c r="AB16" s="29"/>
      <c r="AC16" s="30" t="str">
        <f t="shared" si="6"/>
        <v/>
      </c>
      <c r="AD16" s="30" t="str">
        <f t="shared" si="7"/>
        <v/>
      </c>
      <c r="AE16" s="34"/>
      <c r="AF16" s="29" t="s">
        <v>38</v>
      </c>
      <c r="AG16" s="30" t="str">
        <f t="shared" si="8"/>
        <v/>
      </c>
      <c r="AH16" s="30" t="str">
        <f t="shared" si="9"/>
        <v/>
      </c>
      <c r="AI16" s="37" t="str">
        <f t="shared" si="10"/>
        <v/>
      </c>
      <c r="AJ16" s="34"/>
    </row>
    <row r="17" spans="1:36" s="58" customFormat="1" ht="32" x14ac:dyDescent="0.2">
      <c r="A17" s="29" t="s">
        <v>139</v>
      </c>
      <c r="B17" s="29" t="s">
        <v>105</v>
      </c>
      <c r="C17" s="29" t="s">
        <v>38</v>
      </c>
      <c r="D17" s="29" t="s">
        <v>48</v>
      </c>
      <c r="E17" s="29" t="s">
        <v>32</v>
      </c>
      <c r="F17" s="29" t="s">
        <v>129</v>
      </c>
      <c r="G17" s="29" t="s">
        <v>140</v>
      </c>
      <c r="H17" s="29">
        <v>112.1</v>
      </c>
      <c r="I17" s="29" t="s">
        <v>102</v>
      </c>
      <c r="J17" s="29" t="s">
        <v>38</v>
      </c>
      <c r="K17" s="52" t="s">
        <v>141</v>
      </c>
      <c r="L17" s="52" t="s">
        <v>141</v>
      </c>
      <c r="M17" s="52" t="s">
        <v>141</v>
      </c>
      <c r="N17" s="29">
        <v>1</v>
      </c>
      <c r="O17" s="30" t="s">
        <v>142</v>
      </c>
      <c r="P17" s="30" t="str">
        <f t="shared" si="0"/>
        <v/>
      </c>
      <c r="Q17" s="30" t="str">
        <f t="shared" si="1"/>
        <v/>
      </c>
      <c r="R17" s="34" t="s">
        <v>143</v>
      </c>
      <c r="S17" s="29">
        <v>2050</v>
      </c>
      <c r="T17" s="30">
        <f t="shared" si="2"/>
        <v>2050</v>
      </c>
      <c r="U17" s="30">
        <f t="shared" si="3"/>
        <v>1828.7243532560215</v>
      </c>
      <c r="V17" s="34" t="s">
        <v>144</v>
      </c>
      <c r="W17" s="29" t="s">
        <v>142</v>
      </c>
      <c r="X17" s="30" t="str">
        <f t="shared" si="4"/>
        <v/>
      </c>
      <c r="Y17" s="30" t="str">
        <f t="shared" si="5"/>
        <v/>
      </c>
      <c r="Z17" s="34" t="s">
        <v>145</v>
      </c>
      <c r="AA17" s="29" t="s">
        <v>142</v>
      </c>
      <c r="AB17" s="29"/>
      <c r="AC17" s="30" t="str">
        <f t="shared" si="6"/>
        <v/>
      </c>
      <c r="AD17" s="30" t="str">
        <f t="shared" si="7"/>
        <v/>
      </c>
      <c r="AE17" s="34" t="s">
        <v>145</v>
      </c>
      <c r="AF17" s="29" t="s">
        <v>142</v>
      </c>
      <c r="AG17" s="30" t="str">
        <f t="shared" si="8"/>
        <v/>
      </c>
      <c r="AH17" s="30" t="str">
        <f t="shared" si="9"/>
        <v/>
      </c>
      <c r="AI17" s="37" t="str">
        <f t="shared" si="10"/>
        <v/>
      </c>
      <c r="AJ17" s="34" t="s">
        <v>145</v>
      </c>
    </row>
    <row r="18" spans="1:36" s="58" customFormat="1" ht="64" x14ac:dyDescent="0.2">
      <c r="A18" s="29" t="s">
        <v>51</v>
      </c>
      <c r="B18" s="29" t="s">
        <v>126</v>
      </c>
      <c r="C18" s="29" t="s">
        <v>38</v>
      </c>
      <c r="D18" s="29" t="s">
        <v>48</v>
      </c>
      <c r="E18" s="29" t="s">
        <v>119</v>
      </c>
      <c r="F18" s="29" t="s">
        <v>129</v>
      </c>
      <c r="G18" s="29" t="s">
        <v>130</v>
      </c>
      <c r="H18" s="29">
        <v>132.6</v>
      </c>
      <c r="I18" s="29" t="s">
        <v>38</v>
      </c>
      <c r="J18" s="29" t="s">
        <v>38</v>
      </c>
      <c r="K18" s="52" t="s">
        <v>146</v>
      </c>
      <c r="L18" s="52">
        <v>40000</v>
      </c>
      <c r="M18" s="52">
        <v>50</v>
      </c>
      <c r="N18" s="29">
        <v>8</v>
      </c>
      <c r="O18" s="30">
        <v>19688</v>
      </c>
      <c r="P18" s="30">
        <f t="shared" si="0"/>
        <v>2461</v>
      </c>
      <c r="Q18" s="30">
        <f t="shared" si="1"/>
        <v>1855.9577677224738</v>
      </c>
      <c r="R18" s="34" t="s">
        <v>147</v>
      </c>
      <c r="S18" s="29">
        <v>5720</v>
      </c>
      <c r="T18" s="30">
        <f t="shared" si="2"/>
        <v>715</v>
      </c>
      <c r="U18" s="30">
        <f t="shared" si="3"/>
        <v>539.21568627450984</v>
      </c>
      <c r="V18" s="34" t="s">
        <v>148</v>
      </c>
      <c r="W18" s="29">
        <f>1520+800+400+2280+1000+400+1520</f>
        <v>7920</v>
      </c>
      <c r="X18" s="30">
        <f t="shared" si="4"/>
        <v>990</v>
      </c>
      <c r="Y18" s="30">
        <f t="shared" si="5"/>
        <v>746.60633484162906</v>
      </c>
      <c r="Z18" s="34" t="s">
        <v>149</v>
      </c>
      <c r="AA18" s="29">
        <v>0</v>
      </c>
      <c r="AB18" s="29"/>
      <c r="AC18" s="30">
        <f t="shared" si="6"/>
        <v>0</v>
      </c>
      <c r="AD18" s="30">
        <f t="shared" si="7"/>
        <v>0</v>
      </c>
      <c r="AE18" s="34"/>
      <c r="AF18" s="29">
        <f>2728+1637+225+1458</f>
        <v>6048</v>
      </c>
      <c r="AG18" s="30">
        <f t="shared" si="8"/>
        <v>756</v>
      </c>
      <c r="AH18" s="30">
        <f t="shared" si="9"/>
        <v>570.13574660633492</v>
      </c>
      <c r="AI18" s="37">
        <f t="shared" si="10"/>
        <v>0.44340175953079186</v>
      </c>
      <c r="AJ18" s="34" t="s">
        <v>150</v>
      </c>
    </row>
    <row r="19" spans="1:36" ht="64" x14ac:dyDescent="0.2">
      <c r="A19" s="29" t="s">
        <v>51</v>
      </c>
      <c r="B19" s="29" t="s">
        <v>126</v>
      </c>
      <c r="C19" s="29" t="s">
        <v>38</v>
      </c>
      <c r="D19" s="29" t="s">
        <v>48</v>
      </c>
      <c r="E19" s="29" t="s">
        <v>119</v>
      </c>
      <c r="F19" s="29" t="s">
        <v>129</v>
      </c>
      <c r="G19" s="29" t="s">
        <v>130</v>
      </c>
      <c r="H19" s="29">
        <v>132.6</v>
      </c>
      <c r="I19" s="29" t="s">
        <v>38</v>
      </c>
      <c r="J19" s="29" t="s">
        <v>38</v>
      </c>
      <c r="K19" s="52" t="s">
        <v>151</v>
      </c>
      <c r="L19" s="52">
        <v>40000</v>
      </c>
      <c r="M19" s="52">
        <v>50</v>
      </c>
      <c r="N19" s="29">
        <v>1</v>
      </c>
      <c r="O19" s="30">
        <v>2598</v>
      </c>
      <c r="P19" s="30">
        <f t="shared" si="0"/>
        <v>2598</v>
      </c>
      <c r="Q19" s="30">
        <f t="shared" si="1"/>
        <v>1959.2760180995476</v>
      </c>
      <c r="R19" s="34" t="s">
        <v>152</v>
      </c>
      <c r="S19" s="29">
        <v>715</v>
      </c>
      <c r="T19" s="30">
        <f t="shared" si="2"/>
        <v>715</v>
      </c>
      <c r="U19" s="30">
        <f t="shared" si="3"/>
        <v>539.21568627450984</v>
      </c>
      <c r="V19" s="34" t="s">
        <v>148</v>
      </c>
      <c r="W19" s="29">
        <f>50+380+125+50+190</f>
        <v>795</v>
      </c>
      <c r="X19" s="30">
        <f t="shared" si="4"/>
        <v>795</v>
      </c>
      <c r="Y19" s="30">
        <f t="shared" si="5"/>
        <v>599.54751131221724</v>
      </c>
      <c r="Z19" s="34" t="s">
        <v>153</v>
      </c>
      <c r="AA19" s="29">
        <v>0</v>
      </c>
      <c r="AB19" s="29"/>
      <c r="AC19" s="30">
        <f t="shared" si="6"/>
        <v>0</v>
      </c>
      <c r="AD19" s="30">
        <f t="shared" si="7"/>
        <v>0</v>
      </c>
      <c r="AE19" s="34"/>
      <c r="AF19" s="29">
        <f>360+216+30+192</f>
        <v>798</v>
      </c>
      <c r="AG19" s="30">
        <f t="shared" si="8"/>
        <v>798</v>
      </c>
      <c r="AH19" s="30">
        <f t="shared" si="9"/>
        <v>601.80995475113127</v>
      </c>
      <c r="AI19" s="37">
        <f t="shared" si="10"/>
        <v>0.44333333333333336</v>
      </c>
      <c r="AJ19" s="34" t="s">
        <v>150</v>
      </c>
    </row>
    <row r="20" spans="1:36" ht="64" x14ac:dyDescent="0.2">
      <c r="A20" s="29" t="s">
        <v>51</v>
      </c>
      <c r="B20" s="29" t="s">
        <v>126</v>
      </c>
      <c r="C20" s="29" t="s">
        <v>38</v>
      </c>
      <c r="D20" s="29" t="s">
        <v>48</v>
      </c>
      <c r="E20" s="29" t="s">
        <v>32</v>
      </c>
      <c r="F20" s="29" t="s">
        <v>100</v>
      </c>
      <c r="G20" s="29" t="s">
        <v>130</v>
      </c>
      <c r="H20" s="29">
        <v>132.6</v>
      </c>
      <c r="I20" s="29" t="s">
        <v>38</v>
      </c>
      <c r="J20" s="29" t="s">
        <v>38</v>
      </c>
      <c r="K20" s="52" t="s">
        <v>146</v>
      </c>
      <c r="L20" s="52">
        <v>4000</v>
      </c>
      <c r="M20" s="52">
        <v>50</v>
      </c>
      <c r="N20" s="29">
        <v>8</v>
      </c>
      <c r="O20" s="30">
        <v>31961</v>
      </c>
      <c r="P20" s="30">
        <f t="shared" si="0"/>
        <v>3995.125</v>
      </c>
      <c r="Q20" s="30">
        <f t="shared" si="1"/>
        <v>3012.9147812971346</v>
      </c>
      <c r="R20" s="34" t="s">
        <v>154</v>
      </c>
      <c r="S20" s="29">
        <f>14400-400*8</f>
        <v>11200</v>
      </c>
      <c r="T20" s="30">
        <f t="shared" si="2"/>
        <v>1400</v>
      </c>
      <c r="U20" s="30">
        <f t="shared" si="3"/>
        <v>1055.8069381598796</v>
      </c>
      <c r="V20" s="34" t="s">
        <v>155</v>
      </c>
      <c r="W20" s="29">
        <f>400*8+400+3420+1000+800+1520</f>
        <v>10340</v>
      </c>
      <c r="X20" s="30">
        <f t="shared" si="4"/>
        <v>1292.5</v>
      </c>
      <c r="Y20" s="30">
        <f t="shared" si="5"/>
        <v>974.73604826546011</v>
      </c>
      <c r="Z20" s="34" t="s">
        <v>156</v>
      </c>
      <c r="AA20" s="29">
        <f>1000+4560</f>
        <v>5560</v>
      </c>
      <c r="AB20" s="29"/>
      <c r="AC20" s="30">
        <f t="shared" si="6"/>
        <v>695</v>
      </c>
      <c r="AD20" s="30">
        <f t="shared" si="7"/>
        <v>524.13273001508298</v>
      </c>
      <c r="AE20" s="34" t="s">
        <v>157</v>
      </c>
      <c r="AF20" s="29">
        <f>3252+1214+395</f>
        <v>4861</v>
      </c>
      <c r="AG20" s="30">
        <f t="shared" si="8"/>
        <v>607.625</v>
      </c>
      <c r="AH20" s="30">
        <f t="shared" si="9"/>
        <v>458.23906485671199</v>
      </c>
      <c r="AI20" s="37">
        <f t="shared" si="10"/>
        <v>0.17937269372693729</v>
      </c>
      <c r="AJ20" s="34" t="s">
        <v>158</v>
      </c>
    </row>
    <row r="21" spans="1:36" ht="64" x14ac:dyDescent="0.2">
      <c r="A21" s="29" t="s">
        <v>51</v>
      </c>
      <c r="B21" s="29" t="s">
        <v>126</v>
      </c>
      <c r="C21" s="29" t="s">
        <v>38</v>
      </c>
      <c r="D21" s="29" t="s">
        <v>48</v>
      </c>
      <c r="E21" s="29" t="s">
        <v>32</v>
      </c>
      <c r="F21" s="29" t="s">
        <v>129</v>
      </c>
      <c r="G21" s="29" t="s">
        <v>130</v>
      </c>
      <c r="H21" s="29">
        <v>132.6</v>
      </c>
      <c r="I21" s="29" t="s">
        <v>38</v>
      </c>
      <c r="J21" s="29" t="s">
        <v>38</v>
      </c>
      <c r="K21" s="55" t="s">
        <v>146</v>
      </c>
      <c r="L21" s="55">
        <v>4000</v>
      </c>
      <c r="M21" s="55">
        <v>50</v>
      </c>
      <c r="N21" s="29">
        <v>8</v>
      </c>
      <c r="O21" s="30">
        <v>34007</v>
      </c>
      <c r="P21" s="30">
        <f t="shared" si="0"/>
        <v>4250.875</v>
      </c>
      <c r="Q21" s="30">
        <f t="shared" si="1"/>
        <v>3205.7880844645556</v>
      </c>
      <c r="R21" s="34" t="s">
        <v>154</v>
      </c>
      <c r="S21" s="29">
        <v>11200</v>
      </c>
      <c r="T21" s="30">
        <f t="shared" si="2"/>
        <v>1400</v>
      </c>
      <c r="U21" s="30">
        <f t="shared" si="3"/>
        <v>1055.8069381598796</v>
      </c>
      <c r="V21" s="34" t="s">
        <v>155</v>
      </c>
      <c r="W21" s="29">
        <f>1520+800+400+2280+1000+800+2280</f>
        <v>9080</v>
      </c>
      <c r="X21" s="30">
        <f t="shared" si="4"/>
        <v>1135</v>
      </c>
      <c r="Y21" s="30">
        <f t="shared" si="5"/>
        <v>855.9577677224737</v>
      </c>
      <c r="Z21" s="34" t="s">
        <v>159</v>
      </c>
      <c r="AA21" s="29">
        <f>1000+2280</f>
        <v>3280</v>
      </c>
      <c r="AB21" s="29"/>
      <c r="AC21" s="30">
        <f t="shared" si="6"/>
        <v>410</v>
      </c>
      <c r="AD21" s="30">
        <f t="shared" si="7"/>
        <v>309.20060331825039</v>
      </c>
      <c r="AE21" s="34" t="s">
        <v>157</v>
      </c>
      <c r="AF21" s="29">
        <f>4712+2827+389+2519</f>
        <v>10447</v>
      </c>
      <c r="AG21" s="30">
        <f t="shared" si="8"/>
        <v>1305.875</v>
      </c>
      <c r="AH21" s="30">
        <f t="shared" si="9"/>
        <v>984.82277526395183</v>
      </c>
      <c r="AI21" s="37">
        <f t="shared" si="10"/>
        <v>0.44342105263157888</v>
      </c>
      <c r="AJ21" s="34" t="s">
        <v>150</v>
      </c>
    </row>
    <row r="22" spans="1:36" s="31" customFormat="1" ht="48" x14ac:dyDescent="0.2">
      <c r="A22" s="29" t="s">
        <v>51</v>
      </c>
      <c r="B22" s="29" t="s">
        <v>126</v>
      </c>
      <c r="C22" s="29" t="s">
        <v>38</v>
      </c>
      <c r="D22" s="29" t="s">
        <v>48</v>
      </c>
      <c r="E22" s="29" t="s">
        <v>119</v>
      </c>
      <c r="F22" s="29" t="s">
        <v>100</v>
      </c>
      <c r="G22" s="29" t="s">
        <v>130</v>
      </c>
      <c r="H22" s="29">
        <v>132.6</v>
      </c>
      <c r="I22" s="29" t="s">
        <v>38</v>
      </c>
      <c r="J22" s="29" t="s">
        <v>38</v>
      </c>
      <c r="K22" s="52" t="s">
        <v>146</v>
      </c>
      <c r="L22" s="52">
        <v>140000</v>
      </c>
      <c r="M22" s="52" t="s">
        <v>160</v>
      </c>
      <c r="N22" s="29">
        <v>8</v>
      </c>
      <c r="O22" s="30">
        <v>37186</v>
      </c>
      <c r="P22" s="30">
        <f t="shared" si="0"/>
        <v>4648.25</v>
      </c>
      <c r="Q22" s="30">
        <f t="shared" si="1"/>
        <v>3505.4675716440424</v>
      </c>
      <c r="R22" s="34" t="s">
        <v>161</v>
      </c>
      <c r="S22" s="29">
        <v>7200</v>
      </c>
      <c r="T22" s="30">
        <f t="shared" si="2"/>
        <v>900</v>
      </c>
      <c r="U22" s="30">
        <f t="shared" si="3"/>
        <v>678.73303167420818</v>
      </c>
      <c r="V22" s="34" t="s">
        <v>162</v>
      </c>
      <c r="W22" s="29">
        <f>400+7410+3200+1600+1520</f>
        <v>14130</v>
      </c>
      <c r="X22" s="30">
        <f t="shared" si="4"/>
        <v>1766.25</v>
      </c>
      <c r="Y22" s="30">
        <f t="shared" si="5"/>
        <v>1332.0135746606336</v>
      </c>
      <c r="Z22" s="34" t="s">
        <v>153</v>
      </c>
      <c r="AA22" s="29">
        <f>600+480+9120</f>
        <v>10200</v>
      </c>
      <c r="AB22" s="30">
        <f>IFERROR(AA22/($H22/100),"")</f>
        <v>7692.3076923076933</v>
      </c>
      <c r="AC22" s="30">
        <f t="shared" si="6"/>
        <v>1275</v>
      </c>
      <c r="AD22" s="30">
        <f t="shared" si="7"/>
        <v>961.53846153846166</v>
      </c>
      <c r="AE22" s="34" t="s">
        <v>163</v>
      </c>
      <c r="AF22" s="29">
        <f>3784+1413+459</f>
        <v>5656</v>
      </c>
      <c r="AG22" s="30">
        <f t="shared" si="8"/>
        <v>707</v>
      </c>
      <c r="AH22" s="30">
        <f t="shared" si="9"/>
        <v>533.18250377073912</v>
      </c>
      <c r="AI22" s="37">
        <f t="shared" si="10"/>
        <v>0.17938471297177291</v>
      </c>
      <c r="AJ22" s="34" t="s">
        <v>158</v>
      </c>
    </row>
    <row r="23" spans="1:36" s="32" customFormat="1" ht="41" customHeight="1" x14ac:dyDescent="0.2">
      <c r="A23" s="29" t="s">
        <v>51</v>
      </c>
      <c r="B23" s="29" t="s">
        <v>126</v>
      </c>
      <c r="C23" s="29" t="s">
        <v>38</v>
      </c>
      <c r="D23" s="29" t="s">
        <v>48</v>
      </c>
      <c r="E23" s="29" t="s">
        <v>32</v>
      </c>
      <c r="F23" s="29" t="s">
        <v>129</v>
      </c>
      <c r="G23" s="29" t="s">
        <v>130</v>
      </c>
      <c r="H23" s="29">
        <v>132.6</v>
      </c>
      <c r="I23" s="29" t="s">
        <v>38</v>
      </c>
      <c r="J23" s="29" t="s">
        <v>38</v>
      </c>
      <c r="K23" s="52" t="s">
        <v>146</v>
      </c>
      <c r="L23" s="52">
        <v>4000</v>
      </c>
      <c r="M23" s="52">
        <v>50</v>
      </c>
      <c r="N23" s="29">
        <v>1</v>
      </c>
      <c r="O23" s="30">
        <v>4662</v>
      </c>
      <c r="P23" s="30">
        <f t="shared" si="0"/>
        <v>4662</v>
      </c>
      <c r="Q23" s="30">
        <f t="shared" si="1"/>
        <v>3515.8371040723987</v>
      </c>
      <c r="R23" s="34" t="s">
        <v>164</v>
      </c>
      <c r="S23" s="29">
        <v>1400</v>
      </c>
      <c r="T23" s="30">
        <f t="shared" si="2"/>
        <v>1400</v>
      </c>
      <c r="U23" s="30">
        <f t="shared" si="3"/>
        <v>1055.8069381598796</v>
      </c>
      <c r="V23" s="34" t="s">
        <v>155</v>
      </c>
      <c r="W23" s="29">
        <f>50+380+125+100+380</f>
        <v>1035</v>
      </c>
      <c r="X23" s="30">
        <f t="shared" si="4"/>
        <v>1035</v>
      </c>
      <c r="Y23" s="30">
        <f t="shared" si="5"/>
        <v>780.54298642533945</v>
      </c>
      <c r="Z23" s="34" t="s">
        <v>159</v>
      </c>
      <c r="AA23" s="29">
        <f>125+380</f>
        <v>505</v>
      </c>
      <c r="AB23" s="29"/>
      <c r="AC23" s="30">
        <f t="shared" si="6"/>
        <v>505</v>
      </c>
      <c r="AD23" s="30">
        <f t="shared" si="7"/>
        <v>380.84464555052796</v>
      </c>
      <c r="AE23" s="34" t="s">
        <v>157</v>
      </c>
      <c r="AF23" s="29">
        <f>646+388+53+345</f>
        <v>1432</v>
      </c>
      <c r="AG23" s="30">
        <f t="shared" si="8"/>
        <v>1432</v>
      </c>
      <c r="AH23" s="30">
        <f t="shared" si="9"/>
        <v>1079.9396681749624</v>
      </c>
      <c r="AI23" s="37">
        <f t="shared" si="10"/>
        <v>0.44334365325077396</v>
      </c>
      <c r="AJ23" s="34" t="s">
        <v>150</v>
      </c>
    </row>
    <row r="24" spans="1:36" s="32" customFormat="1" ht="48" x14ac:dyDescent="0.2">
      <c r="A24" s="29" t="s">
        <v>51</v>
      </c>
      <c r="B24" s="29" t="s">
        <v>126</v>
      </c>
      <c r="C24" s="21" t="s">
        <v>38</v>
      </c>
      <c r="D24" s="29" t="s">
        <v>48</v>
      </c>
      <c r="E24" s="29" t="s">
        <v>32</v>
      </c>
      <c r="F24" s="29" t="s">
        <v>100</v>
      </c>
      <c r="G24" s="29" t="s">
        <v>130</v>
      </c>
      <c r="H24" s="29">
        <v>132.6</v>
      </c>
      <c r="I24" s="29" t="s">
        <v>38</v>
      </c>
      <c r="J24" s="29" t="s">
        <v>38</v>
      </c>
      <c r="K24" s="52" t="s">
        <v>146</v>
      </c>
      <c r="L24" s="52">
        <v>4000</v>
      </c>
      <c r="M24" s="52">
        <v>50</v>
      </c>
      <c r="N24" s="29">
        <v>1</v>
      </c>
      <c r="O24" s="30">
        <v>5065</v>
      </c>
      <c r="P24" s="30">
        <f t="shared" si="0"/>
        <v>5065</v>
      </c>
      <c r="Q24" s="30">
        <f t="shared" si="1"/>
        <v>3819.7586726998497</v>
      </c>
      <c r="R24" s="34" t="s">
        <v>164</v>
      </c>
      <c r="S24" s="29">
        <v>2100</v>
      </c>
      <c r="T24" s="30">
        <f t="shared" si="2"/>
        <v>2100</v>
      </c>
      <c r="U24" s="30">
        <f t="shared" si="3"/>
        <v>1583.7104072398192</v>
      </c>
      <c r="V24" s="34" t="s">
        <v>165</v>
      </c>
      <c r="W24" s="29">
        <f>50+570+400+100+190</f>
        <v>1310</v>
      </c>
      <c r="X24" s="30">
        <f t="shared" si="4"/>
        <v>1310</v>
      </c>
      <c r="Y24" s="30">
        <f t="shared" si="5"/>
        <v>987.93363499245868</v>
      </c>
      <c r="Z24" s="34" t="s">
        <v>159</v>
      </c>
      <c r="AA24" s="29">
        <f>125+760</f>
        <v>885</v>
      </c>
      <c r="AB24" s="29"/>
      <c r="AC24" s="30">
        <f t="shared" si="6"/>
        <v>885</v>
      </c>
      <c r="AD24" s="30">
        <f t="shared" si="7"/>
        <v>667.42081447963812</v>
      </c>
      <c r="AE24" s="34" t="s">
        <v>163</v>
      </c>
      <c r="AF24" s="29">
        <f>515+192+63</f>
        <v>770</v>
      </c>
      <c r="AG24" s="30">
        <f t="shared" si="8"/>
        <v>770</v>
      </c>
      <c r="AH24" s="30">
        <f t="shared" si="9"/>
        <v>580.6938159879337</v>
      </c>
      <c r="AI24" s="37">
        <f t="shared" si="10"/>
        <v>0.17927823050058206</v>
      </c>
      <c r="AJ24" s="34" t="s">
        <v>158</v>
      </c>
    </row>
    <row r="25" spans="1:36" s="32" customFormat="1" ht="48" x14ac:dyDescent="0.2">
      <c r="A25" s="29" t="s">
        <v>51</v>
      </c>
      <c r="B25" s="29" t="s">
        <v>126</v>
      </c>
      <c r="C25" s="21" t="s">
        <v>38</v>
      </c>
      <c r="D25" s="29" t="s">
        <v>48</v>
      </c>
      <c r="E25" s="29" t="s">
        <v>119</v>
      </c>
      <c r="F25" s="29" t="s">
        <v>100</v>
      </c>
      <c r="G25" s="29" t="s">
        <v>130</v>
      </c>
      <c r="H25" s="29">
        <v>132.6</v>
      </c>
      <c r="I25" s="29" t="s">
        <v>38</v>
      </c>
      <c r="J25" s="29" t="s">
        <v>38</v>
      </c>
      <c r="K25" s="52" t="s">
        <v>146</v>
      </c>
      <c r="L25" s="52">
        <v>190000</v>
      </c>
      <c r="M25" s="52" t="s">
        <v>166</v>
      </c>
      <c r="N25" s="29">
        <v>1</v>
      </c>
      <c r="O25" s="30">
        <v>5702</v>
      </c>
      <c r="P25" s="30">
        <f t="shared" si="0"/>
        <v>5702</v>
      </c>
      <c r="Q25" s="30">
        <f t="shared" si="1"/>
        <v>4300.1508295625945</v>
      </c>
      <c r="R25" s="34" t="s">
        <v>167</v>
      </c>
      <c r="S25" s="29">
        <v>1200</v>
      </c>
      <c r="T25" s="30">
        <f t="shared" si="2"/>
        <v>1200</v>
      </c>
      <c r="U25" s="30">
        <f t="shared" si="3"/>
        <v>904.97737556561094</v>
      </c>
      <c r="V25" s="34" t="s">
        <v>168</v>
      </c>
      <c r="W25" s="29">
        <f>50+1140+400+200+190</f>
        <v>1980</v>
      </c>
      <c r="X25" s="30">
        <f t="shared" si="4"/>
        <v>1980</v>
      </c>
      <c r="Y25" s="30">
        <f t="shared" si="5"/>
        <v>1493.2126696832581</v>
      </c>
      <c r="Z25" s="34" t="s">
        <v>153</v>
      </c>
      <c r="AA25" s="29">
        <f>75+60+1520</f>
        <v>1655</v>
      </c>
      <c r="AB25" s="30">
        <f>IFERROR(AA25/($H25/100),"")</f>
        <v>1248.1146304675717</v>
      </c>
      <c r="AC25" s="30">
        <f t="shared" si="6"/>
        <v>1655</v>
      </c>
      <c r="AD25" s="30">
        <f t="shared" si="7"/>
        <v>1248.1146304675717</v>
      </c>
      <c r="AE25" s="34" t="s">
        <v>163</v>
      </c>
      <c r="AF25" s="29">
        <f>580+217+70</f>
        <v>867</v>
      </c>
      <c r="AG25" s="30">
        <f t="shared" si="8"/>
        <v>867</v>
      </c>
      <c r="AH25" s="30">
        <f t="shared" si="9"/>
        <v>653.84615384615392</v>
      </c>
      <c r="AI25" s="37">
        <f t="shared" si="10"/>
        <v>0.17931747673216133</v>
      </c>
      <c r="AJ25" s="34" t="s">
        <v>158</v>
      </c>
    </row>
    <row r="26" spans="1:36" s="32" customFormat="1" ht="64" x14ac:dyDescent="0.2">
      <c r="A26" s="29" t="s">
        <v>37</v>
      </c>
      <c r="B26" s="29" t="s">
        <v>99</v>
      </c>
      <c r="C26" s="21" t="s">
        <v>38</v>
      </c>
      <c r="D26" s="29" t="s">
        <v>31</v>
      </c>
      <c r="E26" s="29" t="s">
        <v>119</v>
      </c>
      <c r="F26" s="29" t="s">
        <v>100</v>
      </c>
      <c r="G26" s="29" t="s">
        <v>169</v>
      </c>
      <c r="H26" s="29">
        <v>109</v>
      </c>
      <c r="I26" s="29" t="s">
        <v>38</v>
      </c>
      <c r="J26" s="29" t="s">
        <v>38</v>
      </c>
      <c r="K26" s="52">
        <v>6</v>
      </c>
      <c r="L26" s="52">
        <f>250*12000</f>
        <v>3000000</v>
      </c>
      <c r="M26" s="52">
        <v>100</v>
      </c>
      <c r="N26" s="29">
        <v>340</v>
      </c>
      <c r="O26" s="61">
        <v>224775</v>
      </c>
      <c r="P26" s="61">
        <f t="shared" si="0"/>
        <v>661.10294117647061</v>
      </c>
      <c r="Q26" s="61">
        <f t="shared" si="1"/>
        <v>606.51645979492707</v>
      </c>
      <c r="R26" s="34" t="s">
        <v>170</v>
      </c>
      <c r="S26" s="29" t="s">
        <v>38</v>
      </c>
      <c r="T26" s="30" t="str">
        <f t="shared" si="2"/>
        <v/>
      </c>
      <c r="U26" s="30" t="str">
        <f t="shared" si="3"/>
        <v/>
      </c>
      <c r="V26" s="34"/>
      <c r="W26" s="29" t="s">
        <v>38</v>
      </c>
      <c r="X26" s="30" t="str">
        <f t="shared" si="4"/>
        <v/>
      </c>
      <c r="Y26" s="30" t="str">
        <f t="shared" si="5"/>
        <v/>
      </c>
      <c r="Z26" s="34"/>
      <c r="AA26" s="29" t="s">
        <v>38</v>
      </c>
      <c r="AB26" s="29"/>
      <c r="AC26" s="30" t="str">
        <f t="shared" si="6"/>
        <v/>
      </c>
      <c r="AD26" s="30" t="str">
        <f t="shared" si="7"/>
        <v/>
      </c>
      <c r="AE26" s="34"/>
      <c r="AF26" s="29" t="s">
        <v>38</v>
      </c>
      <c r="AG26" s="30" t="str">
        <f t="shared" si="8"/>
        <v/>
      </c>
      <c r="AH26" s="30" t="str">
        <f t="shared" si="9"/>
        <v/>
      </c>
      <c r="AI26" s="37" t="str">
        <f t="shared" si="10"/>
        <v/>
      </c>
      <c r="AJ26" s="34"/>
    </row>
    <row r="27" spans="1:36" s="32" customFormat="1" ht="48" x14ac:dyDescent="0.2">
      <c r="A27" s="29" t="s">
        <v>37</v>
      </c>
      <c r="B27" s="29" t="s">
        <v>99</v>
      </c>
      <c r="C27" s="29" t="s">
        <v>38</v>
      </c>
      <c r="D27" s="29" t="s">
        <v>31</v>
      </c>
      <c r="E27" s="29" t="s">
        <v>32</v>
      </c>
      <c r="F27" s="29" t="s">
        <v>100</v>
      </c>
      <c r="G27" s="29" t="s">
        <v>169</v>
      </c>
      <c r="H27" s="29">
        <v>109</v>
      </c>
      <c r="I27" s="29" t="s">
        <v>133</v>
      </c>
      <c r="J27" s="29" t="s">
        <v>138</v>
      </c>
      <c r="K27" s="52">
        <v>6</v>
      </c>
      <c r="L27" s="52">
        <f>56*12000</f>
        <v>672000</v>
      </c>
      <c r="M27" s="52">
        <v>4000</v>
      </c>
      <c r="N27" s="29">
        <v>369</v>
      </c>
      <c r="O27" s="61">
        <v>506655</v>
      </c>
      <c r="P27" s="61">
        <f t="shared" si="0"/>
        <v>1373.0487804878048</v>
      </c>
      <c r="Q27" s="61">
        <f t="shared" si="1"/>
        <v>1259.6777802640411</v>
      </c>
      <c r="R27" s="34" t="s">
        <v>171</v>
      </c>
      <c r="S27" s="29" t="s">
        <v>38</v>
      </c>
      <c r="T27" s="30" t="str">
        <f t="shared" si="2"/>
        <v/>
      </c>
      <c r="U27" s="30" t="str">
        <f t="shared" si="3"/>
        <v/>
      </c>
      <c r="V27" s="34"/>
      <c r="W27" s="29" t="s">
        <v>38</v>
      </c>
      <c r="X27" s="30" t="str">
        <f t="shared" si="4"/>
        <v/>
      </c>
      <c r="Y27" s="30" t="str">
        <f t="shared" si="5"/>
        <v/>
      </c>
      <c r="Z27" s="34"/>
      <c r="AA27" s="29" t="s">
        <v>38</v>
      </c>
      <c r="AB27" s="29"/>
      <c r="AC27" s="30" t="str">
        <f t="shared" si="6"/>
        <v/>
      </c>
      <c r="AD27" s="30" t="str">
        <f t="shared" si="7"/>
        <v/>
      </c>
      <c r="AE27" s="34"/>
      <c r="AF27" s="29" t="s">
        <v>38</v>
      </c>
      <c r="AG27" s="30" t="str">
        <f t="shared" si="8"/>
        <v/>
      </c>
      <c r="AH27" s="30" t="str">
        <f t="shared" si="9"/>
        <v/>
      </c>
      <c r="AI27" s="37" t="str">
        <f t="shared" si="10"/>
        <v/>
      </c>
      <c r="AJ27" s="34"/>
    </row>
    <row r="28" spans="1:36" s="32" customFormat="1" ht="48" x14ac:dyDescent="0.2">
      <c r="A28" s="29" t="s">
        <v>37</v>
      </c>
      <c r="B28" s="29" t="s">
        <v>99</v>
      </c>
      <c r="C28" s="29" t="s">
        <v>38</v>
      </c>
      <c r="D28" s="29" t="s">
        <v>31</v>
      </c>
      <c r="E28" s="29" t="s">
        <v>32</v>
      </c>
      <c r="F28" s="29" t="s">
        <v>100</v>
      </c>
      <c r="G28" s="29" t="s">
        <v>169</v>
      </c>
      <c r="H28" s="29">
        <v>109</v>
      </c>
      <c r="I28" s="29" t="s">
        <v>133</v>
      </c>
      <c r="J28" s="29" t="s">
        <v>138</v>
      </c>
      <c r="K28" s="52">
        <v>6</v>
      </c>
      <c r="L28" s="52">
        <f>26*12000</f>
        <v>312000</v>
      </c>
      <c r="M28" s="52">
        <v>2000</v>
      </c>
      <c r="N28" s="29">
        <v>163</v>
      </c>
      <c r="O28" s="61">
        <v>371790</v>
      </c>
      <c r="P28" s="61">
        <f t="shared" si="0"/>
        <v>2280.9202453987732</v>
      </c>
      <c r="Q28" s="61">
        <f t="shared" si="1"/>
        <v>2092.5873810997919</v>
      </c>
      <c r="R28" s="34" t="s">
        <v>171</v>
      </c>
      <c r="S28" s="29" t="s">
        <v>38</v>
      </c>
      <c r="T28" s="30" t="str">
        <f t="shared" si="2"/>
        <v/>
      </c>
      <c r="U28" s="30" t="str">
        <f t="shared" si="3"/>
        <v/>
      </c>
      <c r="V28" s="34"/>
      <c r="W28" s="29" t="s">
        <v>38</v>
      </c>
      <c r="X28" s="30" t="str">
        <f t="shared" si="4"/>
        <v/>
      </c>
      <c r="Y28" s="30" t="str">
        <f t="shared" si="5"/>
        <v/>
      </c>
      <c r="Z28" s="34"/>
      <c r="AA28" s="29" t="s">
        <v>38</v>
      </c>
      <c r="AB28" s="29"/>
      <c r="AC28" s="30" t="str">
        <f t="shared" si="6"/>
        <v/>
      </c>
      <c r="AD28" s="30" t="str">
        <f t="shared" si="7"/>
        <v/>
      </c>
      <c r="AE28" s="34"/>
      <c r="AF28" s="29" t="s">
        <v>38</v>
      </c>
      <c r="AG28" s="30" t="str">
        <f t="shared" si="8"/>
        <v/>
      </c>
      <c r="AH28" s="30" t="str">
        <f t="shared" si="9"/>
        <v/>
      </c>
      <c r="AI28" s="37" t="str">
        <f t="shared" si="10"/>
        <v/>
      </c>
      <c r="AJ28" s="34"/>
    </row>
    <row r="29" spans="1:36" ht="96" x14ac:dyDescent="0.2">
      <c r="A29" s="29" t="s">
        <v>172</v>
      </c>
      <c r="B29" s="29" t="s">
        <v>126</v>
      </c>
      <c r="C29" s="41" t="s">
        <v>173</v>
      </c>
      <c r="D29" s="29" t="s">
        <v>48</v>
      </c>
      <c r="E29" s="29" t="s">
        <v>45</v>
      </c>
      <c r="F29" s="29" t="s">
        <v>100</v>
      </c>
      <c r="G29" s="42" t="s">
        <v>174</v>
      </c>
      <c r="H29" s="29">
        <v>110</v>
      </c>
      <c r="I29" s="29" t="s">
        <v>38</v>
      </c>
      <c r="J29" s="29" t="s">
        <v>38</v>
      </c>
      <c r="K29" s="29" t="s">
        <v>38</v>
      </c>
      <c r="L29" s="29" t="s">
        <v>38</v>
      </c>
      <c r="M29" s="29" t="s">
        <v>38</v>
      </c>
      <c r="N29" s="42">
        <v>1</v>
      </c>
      <c r="O29" s="29" t="s">
        <v>38</v>
      </c>
      <c r="P29" s="30" t="s">
        <v>38</v>
      </c>
      <c r="Q29" s="30" t="str">
        <f t="shared" si="1"/>
        <v/>
      </c>
      <c r="R29" s="34"/>
      <c r="S29" s="29" t="s">
        <v>38</v>
      </c>
      <c r="T29" s="30" t="str">
        <f t="shared" si="2"/>
        <v/>
      </c>
      <c r="U29" s="30" t="str">
        <f t="shared" si="3"/>
        <v/>
      </c>
      <c r="V29" s="34"/>
      <c r="W29" s="29" t="s">
        <v>38</v>
      </c>
      <c r="X29" s="30" t="str">
        <f t="shared" si="4"/>
        <v/>
      </c>
      <c r="Y29" s="30" t="str">
        <f t="shared" si="5"/>
        <v/>
      </c>
      <c r="Z29" s="38"/>
      <c r="AA29" s="29">
        <v>5750</v>
      </c>
      <c r="AB29" s="30">
        <f>IFERROR(AA29/($H29/100),"")</f>
        <v>5227.272727272727</v>
      </c>
      <c r="AC29" s="30">
        <f t="shared" si="6"/>
        <v>5750</v>
      </c>
      <c r="AD29" s="30">
        <f t="shared" si="7"/>
        <v>5227.272727272727</v>
      </c>
      <c r="AE29" s="34" t="s">
        <v>175</v>
      </c>
      <c r="AF29" s="29" t="s">
        <v>38</v>
      </c>
      <c r="AG29" s="30" t="str">
        <f t="shared" si="8"/>
        <v/>
      </c>
      <c r="AH29" s="30" t="str">
        <f t="shared" si="9"/>
        <v/>
      </c>
      <c r="AI29" s="37" t="str">
        <f t="shared" si="10"/>
        <v/>
      </c>
      <c r="AJ29" s="36"/>
    </row>
    <row r="30" spans="1:36" ht="32" x14ac:dyDescent="0.2">
      <c r="A30" s="29" t="s">
        <v>176</v>
      </c>
      <c r="B30" s="29" t="s">
        <v>105</v>
      </c>
      <c r="C30" s="29" t="s">
        <v>38</v>
      </c>
      <c r="D30" s="29" t="s">
        <v>48</v>
      </c>
      <c r="E30" s="29" t="s">
        <v>32</v>
      </c>
      <c r="F30" s="29" t="s">
        <v>100</v>
      </c>
      <c r="G30" s="29" t="s">
        <v>106</v>
      </c>
      <c r="H30" s="29">
        <v>100</v>
      </c>
      <c r="I30" s="29" t="s">
        <v>177</v>
      </c>
      <c r="J30" s="29" t="s">
        <v>178</v>
      </c>
      <c r="K30" s="52" t="s">
        <v>141</v>
      </c>
      <c r="L30" s="52">
        <v>4000</v>
      </c>
      <c r="M30" s="52">
        <v>50</v>
      </c>
      <c r="N30" s="29">
        <v>1</v>
      </c>
      <c r="O30" s="35" t="s">
        <v>38</v>
      </c>
      <c r="P30" s="30" t="str">
        <f t="shared" ref="P30:P73" si="11">IFERROR(O30/$N30,"")</f>
        <v/>
      </c>
      <c r="Q30" s="30" t="str">
        <f t="shared" si="1"/>
        <v/>
      </c>
      <c r="R30" s="34"/>
      <c r="S30" s="35">
        <v>1299</v>
      </c>
      <c r="T30" s="30">
        <f t="shared" si="2"/>
        <v>1299</v>
      </c>
      <c r="U30" s="30">
        <f t="shared" si="3"/>
        <v>1299</v>
      </c>
      <c r="V30" s="34" t="s">
        <v>179</v>
      </c>
      <c r="W30" s="35" t="s">
        <v>38</v>
      </c>
      <c r="X30" s="30" t="str">
        <f t="shared" si="4"/>
        <v/>
      </c>
      <c r="Y30" s="30" t="str">
        <f t="shared" si="5"/>
        <v/>
      </c>
      <c r="Z30" s="38"/>
      <c r="AA30" s="35" t="s">
        <v>38</v>
      </c>
      <c r="AB30" s="35"/>
      <c r="AC30" s="30" t="str">
        <f t="shared" si="6"/>
        <v/>
      </c>
      <c r="AD30" s="30" t="str">
        <f t="shared" si="7"/>
        <v/>
      </c>
      <c r="AE30" s="34"/>
      <c r="AF30" s="35" t="s">
        <v>38</v>
      </c>
      <c r="AG30" s="30" t="str">
        <f t="shared" si="8"/>
        <v/>
      </c>
      <c r="AH30" s="30" t="str">
        <f t="shared" si="9"/>
        <v/>
      </c>
      <c r="AI30" s="37" t="str">
        <f t="shared" si="10"/>
        <v/>
      </c>
      <c r="AJ30" s="36"/>
    </row>
    <row r="31" spans="1:36" s="31" customFormat="1" ht="32" x14ac:dyDescent="0.2">
      <c r="A31" s="29" t="s">
        <v>176</v>
      </c>
      <c r="B31" s="29" t="s">
        <v>105</v>
      </c>
      <c r="C31" s="29" t="s">
        <v>38</v>
      </c>
      <c r="D31" s="29" t="s">
        <v>48</v>
      </c>
      <c r="E31" s="29" t="s">
        <v>32</v>
      </c>
      <c r="F31" s="29" t="s">
        <v>100</v>
      </c>
      <c r="G31" s="29" t="s">
        <v>106</v>
      </c>
      <c r="H31" s="29">
        <v>100</v>
      </c>
      <c r="I31" s="29" t="s">
        <v>177</v>
      </c>
      <c r="J31" s="29" t="s">
        <v>180</v>
      </c>
      <c r="K31" s="52" t="s">
        <v>141</v>
      </c>
      <c r="L31" s="52">
        <v>4000</v>
      </c>
      <c r="M31" s="52">
        <v>65</v>
      </c>
      <c r="N31" s="29">
        <v>1</v>
      </c>
      <c r="O31" s="35" t="s">
        <v>38</v>
      </c>
      <c r="P31" s="30" t="str">
        <f t="shared" si="11"/>
        <v/>
      </c>
      <c r="Q31" s="30" t="str">
        <f t="shared" si="1"/>
        <v/>
      </c>
      <c r="R31" s="34"/>
      <c r="S31" s="35">
        <v>1749</v>
      </c>
      <c r="T31" s="30">
        <f t="shared" si="2"/>
        <v>1749</v>
      </c>
      <c r="U31" s="30">
        <f t="shared" si="3"/>
        <v>1749</v>
      </c>
      <c r="V31" s="34" t="s">
        <v>181</v>
      </c>
      <c r="W31" s="35" t="s">
        <v>38</v>
      </c>
      <c r="X31" s="30" t="str">
        <f t="shared" si="4"/>
        <v/>
      </c>
      <c r="Y31" s="30" t="str">
        <f t="shared" si="5"/>
        <v/>
      </c>
      <c r="Z31" s="38"/>
      <c r="AA31" s="35" t="s">
        <v>38</v>
      </c>
      <c r="AB31" s="35"/>
      <c r="AC31" s="30" t="str">
        <f t="shared" si="6"/>
        <v/>
      </c>
      <c r="AD31" s="30" t="str">
        <f t="shared" si="7"/>
        <v/>
      </c>
      <c r="AE31" s="34"/>
      <c r="AF31" s="35" t="s">
        <v>38</v>
      </c>
      <c r="AG31" s="30" t="str">
        <f t="shared" si="8"/>
        <v/>
      </c>
      <c r="AH31" s="30" t="str">
        <f t="shared" si="9"/>
        <v/>
      </c>
      <c r="AI31" s="37" t="str">
        <f t="shared" si="10"/>
        <v/>
      </c>
      <c r="AJ31" s="36"/>
    </row>
    <row r="32" spans="1:36" ht="32" x14ac:dyDescent="0.2">
      <c r="A32" s="29" t="s">
        <v>176</v>
      </c>
      <c r="B32" s="29" t="s">
        <v>105</v>
      </c>
      <c r="C32" s="29" t="s">
        <v>38</v>
      </c>
      <c r="D32" s="29" t="s">
        <v>48</v>
      </c>
      <c r="E32" s="29" t="s">
        <v>32</v>
      </c>
      <c r="F32" s="29" t="s">
        <v>100</v>
      </c>
      <c r="G32" s="29" t="s">
        <v>106</v>
      </c>
      <c r="H32" s="29">
        <v>100</v>
      </c>
      <c r="I32" s="29" t="s">
        <v>177</v>
      </c>
      <c r="J32" s="29" t="s">
        <v>182</v>
      </c>
      <c r="K32" s="52" t="s">
        <v>141</v>
      </c>
      <c r="L32" s="52">
        <v>4000</v>
      </c>
      <c r="M32" s="52">
        <v>80</v>
      </c>
      <c r="N32" s="29">
        <v>1</v>
      </c>
      <c r="O32" s="35" t="s">
        <v>38</v>
      </c>
      <c r="P32" s="30" t="str">
        <f t="shared" si="11"/>
        <v/>
      </c>
      <c r="Q32" s="30" t="str">
        <f t="shared" si="1"/>
        <v/>
      </c>
      <c r="R32" s="34"/>
      <c r="S32" s="35">
        <v>1999</v>
      </c>
      <c r="T32" s="30">
        <f t="shared" si="2"/>
        <v>1999</v>
      </c>
      <c r="U32" s="30">
        <f t="shared" si="3"/>
        <v>1999</v>
      </c>
      <c r="V32" s="34" t="s">
        <v>183</v>
      </c>
      <c r="W32" s="35" t="s">
        <v>38</v>
      </c>
      <c r="X32" s="30" t="str">
        <f t="shared" si="4"/>
        <v/>
      </c>
      <c r="Y32" s="30" t="str">
        <f t="shared" si="5"/>
        <v/>
      </c>
      <c r="Z32" s="38"/>
      <c r="AA32" s="35" t="s">
        <v>38</v>
      </c>
      <c r="AB32" s="35"/>
      <c r="AC32" s="30" t="str">
        <f t="shared" si="6"/>
        <v/>
      </c>
      <c r="AD32" s="30" t="str">
        <f t="shared" si="7"/>
        <v/>
      </c>
      <c r="AE32" s="34"/>
      <c r="AF32" s="35" t="s">
        <v>38</v>
      </c>
      <c r="AG32" s="30" t="str">
        <f t="shared" si="8"/>
        <v/>
      </c>
      <c r="AH32" s="30" t="str">
        <f t="shared" si="9"/>
        <v/>
      </c>
      <c r="AI32" s="37" t="str">
        <f t="shared" si="10"/>
        <v/>
      </c>
      <c r="AJ32" s="36"/>
    </row>
    <row r="33" spans="1:36" ht="16" x14ac:dyDescent="0.2">
      <c r="A33" s="29" t="s">
        <v>184</v>
      </c>
      <c r="B33" s="29" t="s">
        <v>126</v>
      </c>
      <c r="C33" s="29" t="s">
        <v>38</v>
      </c>
      <c r="D33" s="29" t="s">
        <v>38</v>
      </c>
      <c r="E33" s="29" t="s">
        <v>38</v>
      </c>
      <c r="F33" s="29" t="s">
        <v>38</v>
      </c>
      <c r="G33" s="29" t="s">
        <v>38</v>
      </c>
      <c r="H33" s="29" t="s">
        <v>38</v>
      </c>
      <c r="I33" s="29" t="s">
        <v>38</v>
      </c>
      <c r="J33" s="29" t="s">
        <v>38</v>
      </c>
      <c r="K33" s="52" t="s">
        <v>141</v>
      </c>
      <c r="L33" s="52" t="s">
        <v>141</v>
      </c>
      <c r="M33" s="52" t="s">
        <v>141</v>
      </c>
      <c r="N33" s="29" t="s">
        <v>38</v>
      </c>
      <c r="O33" s="29" t="s">
        <v>38</v>
      </c>
      <c r="P33" s="30" t="str">
        <f t="shared" si="11"/>
        <v/>
      </c>
      <c r="Q33" s="30" t="str">
        <f t="shared" si="1"/>
        <v/>
      </c>
      <c r="R33" s="29"/>
      <c r="S33" s="29" t="s">
        <v>38</v>
      </c>
      <c r="T33" s="30" t="str">
        <f t="shared" si="2"/>
        <v/>
      </c>
      <c r="U33" s="30" t="str">
        <f t="shared" si="3"/>
        <v/>
      </c>
      <c r="V33" s="34"/>
      <c r="W33" s="29" t="s">
        <v>38</v>
      </c>
      <c r="X33" s="30" t="str">
        <f t="shared" si="4"/>
        <v/>
      </c>
      <c r="Y33" s="30" t="str">
        <f t="shared" si="5"/>
        <v/>
      </c>
      <c r="Z33" s="38"/>
      <c r="AA33" s="29" t="s">
        <v>38</v>
      </c>
      <c r="AB33" s="29"/>
      <c r="AC33" s="30" t="str">
        <f t="shared" si="6"/>
        <v/>
      </c>
      <c r="AD33" s="30" t="str">
        <f t="shared" si="7"/>
        <v/>
      </c>
      <c r="AE33" s="34"/>
      <c r="AF33" s="35" t="s">
        <v>142</v>
      </c>
      <c r="AG33" s="30" t="str">
        <f t="shared" si="8"/>
        <v/>
      </c>
      <c r="AH33" s="30" t="str">
        <f t="shared" si="9"/>
        <v/>
      </c>
      <c r="AI33" s="37" t="str">
        <f t="shared" si="10"/>
        <v/>
      </c>
      <c r="AJ33" s="36" t="s">
        <v>185</v>
      </c>
    </row>
    <row r="34" spans="1:36" ht="48" x14ac:dyDescent="0.2">
      <c r="A34" s="29" t="s">
        <v>43</v>
      </c>
      <c r="B34" s="29" t="s">
        <v>99</v>
      </c>
      <c r="C34" s="29" t="s">
        <v>38</v>
      </c>
      <c r="D34" s="29" t="s">
        <v>31</v>
      </c>
      <c r="E34" s="29" t="s">
        <v>119</v>
      </c>
      <c r="F34" s="29" t="s">
        <v>100</v>
      </c>
      <c r="G34" s="29" t="s">
        <v>130</v>
      </c>
      <c r="H34" s="29">
        <v>132.6</v>
      </c>
      <c r="I34" s="29" t="s">
        <v>186</v>
      </c>
      <c r="J34" s="29" t="s">
        <v>38</v>
      </c>
      <c r="K34" s="52">
        <v>6</v>
      </c>
      <c r="L34" s="52" t="s">
        <v>141</v>
      </c>
      <c r="M34" s="52" t="s">
        <v>141</v>
      </c>
      <c r="N34" s="29">
        <v>105</v>
      </c>
      <c r="O34" s="29" t="s">
        <v>38</v>
      </c>
      <c r="P34" s="30" t="str">
        <f t="shared" si="11"/>
        <v/>
      </c>
      <c r="Q34" s="30" t="str">
        <f t="shared" ref="Q34:Q65" si="12">IFERROR(P34/($H34/100),"")</f>
        <v/>
      </c>
      <c r="R34" s="34" t="s">
        <v>187</v>
      </c>
      <c r="S34" s="33">
        <f>30580+14900</f>
        <v>45480</v>
      </c>
      <c r="T34" s="30">
        <f t="shared" ref="T34:T65" si="13">IFERROR(S34/$N34,"")</f>
        <v>433.14285714285717</v>
      </c>
      <c r="U34" s="30">
        <f t="shared" ref="U34:U65" si="14">IFERROR(T34/($H34/100),"")</f>
        <v>326.65373841844433</v>
      </c>
      <c r="V34" s="34" t="s">
        <v>188</v>
      </c>
      <c r="W34" s="29" t="s">
        <v>38</v>
      </c>
      <c r="X34" s="30" t="str">
        <f t="shared" ref="X34:X65" si="15">IFERROR(W34/$N34,"")</f>
        <v/>
      </c>
      <c r="Y34" s="30" t="str">
        <f t="shared" ref="Y34:Y65" si="16">IFERROR(X34/($H34/100),"")</f>
        <v/>
      </c>
      <c r="Z34" s="34"/>
      <c r="AA34" s="29" t="s">
        <v>38</v>
      </c>
      <c r="AB34" s="29"/>
      <c r="AC34" s="30" t="str">
        <f t="shared" ref="AC34:AC65" si="17">IFERROR(AA34/$N34,"")</f>
        <v/>
      </c>
      <c r="AD34" s="30" t="str">
        <f t="shared" ref="AD34:AD65" si="18">IFERROR(AC34/($H34/100),"")</f>
        <v/>
      </c>
      <c r="AE34" s="34"/>
      <c r="AF34" s="29" t="s">
        <v>38</v>
      </c>
      <c r="AG34" s="30" t="str">
        <f t="shared" ref="AG34:AG65" si="19">IFERROR(AF34/$N34,"")</f>
        <v/>
      </c>
      <c r="AH34" s="30" t="str">
        <f t="shared" ref="AH34:AH65" si="20">IFERROR(AG34/($H34/100),"")</f>
        <v/>
      </c>
      <c r="AI34" s="37" t="str">
        <f t="shared" si="10"/>
        <v/>
      </c>
      <c r="AJ34" s="34"/>
    </row>
    <row r="35" spans="1:36" ht="48" x14ac:dyDescent="0.2">
      <c r="A35" s="29" t="s">
        <v>43</v>
      </c>
      <c r="B35" s="29" t="s">
        <v>99</v>
      </c>
      <c r="C35" s="29" t="s">
        <v>38</v>
      </c>
      <c r="D35" s="29" t="s">
        <v>31</v>
      </c>
      <c r="E35" s="29" t="s">
        <v>121</v>
      </c>
      <c r="F35" s="29" t="s">
        <v>100</v>
      </c>
      <c r="G35" s="29" t="s">
        <v>130</v>
      </c>
      <c r="H35" s="29">
        <v>132.6</v>
      </c>
      <c r="I35" s="29" t="s">
        <v>186</v>
      </c>
      <c r="J35" s="29" t="s">
        <v>38</v>
      </c>
      <c r="K35" s="52">
        <v>6</v>
      </c>
      <c r="L35" s="52" t="s">
        <v>141</v>
      </c>
      <c r="M35" s="52" t="s">
        <v>141</v>
      </c>
      <c r="N35" s="29">
        <v>105</v>
      </c>
      <c r="O35" s="29" t="s">
        <v>38</v>
      </c>
      <c r="P35" s="30" t="str">
        <f t="shared" si="11"/>
        <v/>
      </c>
      <c r="Q35" s="30" t="str">
        <f t="shared" si="12"/>
        <v/>
      </c>
      <c r="R35" s="34" t="s">
        <v>189</v>
      </c>
      <c r="S35" s="33">
        <f>30580+14900</f>
        <v>45480</v>
      </c>
      <c r="T35" s="30">
        <f t="shared" si="13"/>
        <v>433.14285714285717</v>
      </c>
      <c r="U35" s="30">
        <f t="shared" si="14"/>
        <v>326.65373841844433</v>
      </c>
      <c r="V35" s="34" t="s">
        <v>188</v>
      </c>
      <c r="W35" s="29" t="s">
        <v>38</v>
      </c>
      <c r="X35" s="30" t="str">
        <f t="shared" si="15"/>
        <v/>
      </c>
      <c r="Y35" s="30" t="str">
        <f t="shared" si="16"/>
        <v/>
      </c>
      <c r="Z35" s="34"/>
      <c r="AA35" s="29" t="s">
        <v>38</v>
      </c>
      <c r="AB35" s="29"/>
      <c r="AC35" s="30" t="str">
        <f t="shared" si="17"/>
        <v/>
      </c>
      <c r="AD35" s="30" t="str">
        <f t="shared" si="18"/>
        <v/>
      </c>
      <c r="AE35" s="34"/>
      <c r="AF35" s="29" t="s">
        <v>38</v>
      </c>
      <c r="AG35" s="30" t="str">
        <f t="shared" si="19"/>
        <v/>
      </c>
      <c r="AH35" s="30" t="str">
        <f t="shared" si="20"/>
        <v/>
      </c>
      <c r="AI35" s="37" t="str">
        <f t="shared" si="10"/>
        <v/>
      </c>
      <c r="AJ35" s="34"/>
    </row>
    <row r="36" spans="1:36" ht="48" x14ac:dyDescent="0.2">
      <c r="A36" s="29" t="s">
        <v>43</v>
      </c>
      <c r="B36" s="29" t="s">
        <v>99</v>
      </c>
      <c r="C36" s="29" t="s">
        <v>38</v>
      </c>
      <c r="D36" s="29" t="s">
        <v>31</v>
      </c>
      <c r="E36" s="29" t="s">
        <v>32</v>
      </c>
      <c r="F36" s="29" t="s">
        <v>100</v>
      </c>
      <c r="G36" s="29" t="s">
        <v>130</v>
      </c>
      <c r="H36" s="29">
        <v>132.6</v>
      </c>
      <c r="I36" s="29" t="s">
        <v>133</v>
      </c>
      <c r="J36" s="29" t="s">
        <v>190</v>
      </c>
      <c r="K36" s="52">
        <v>6</v>
      </c>
      <c r="L36" s="52">
        <v>330000</v>
      </c>
      <c r="M36" s="52">
        <v>2000</v>
      </c>
      <c r="N36" s="29">
        <v>105</v>
      </c>
      <c r="O36" s="29" t="s">
        <v>142</v>
      </c>
      <c r="P36" s="30" t="str">
        <f t="shared" si="11"/>
        <v/>
      </c>
      <c r="Q36" s="30" t="str">
        <f t="shared" si="12"/>
        <v/>
      </c>
      <c r="R36" s="34" t="s">
        <v>191</v>
      </c>
      <c r="S36" s="30">
        <f>106820+29131+14104</f>
        <v>150055</v>
      </c>
      <c r="T36" s="30">
        <f t="shared" si="13"/>
        <v>1429.0952380952381</v>
      </c>
      <c r="U36" s="30">
        <f t="shared" si="14"/>
        <v>1077.7490483372837</v>
      </c>
      <c r="V36" s="34" t="s">
        <v>188</v>
      </c>
      <c r="W36" s="29" t="s">
        <v>38</v>
      </c>
      <c r="X36" s="30" t="str">
        <f t="shared" si="15"/>
        <v/>
      </c>
      <c r="Y36" s="30" t="str">
        <f t="shared" si="16"/>
        <v/>
      </c>
      <c r="Z36" s="34"/>
      <c r="AA36" s="29" t="s">
        <v>38</v>
      </c>
      <c r="AB36" s="29"/>
      <c r="AC36" s="30" t="str">
        <f t="shared" si="17"/>
        <v/>
      </c>
      <c r="AD36" s="30" t="str">
        <f t="shared" si="18"/>
        <v/>
      </c>
      <c r="AE36" s="34"/>
      <c r="AF36" s="29" t="s">
        <v>38</v>
      </c>
      <c r="AG36" s="30" t="str">
        <f t="shared" si="19"/>
        <v/>
      </c>
      <c r="AH36" s="30" t="str">
        <f t="shared" si="20"/>
        <v/>
      </c>
      <c r="AI36" s="37" t="str">
        <f t="shared" si="10"/>
        <v/>
      </c>
      <c r="AJ36" s="34"/>
    </row>
    <row r="37" spans="1:36" ht="16" x14ac:dyDescent="0.2">
      <c r="A37" s="29" t="s">
        <v>38</v>
      </c>
      <c r="B37" s="29" t="s">
        <v>99</v>
      </c>
      <c r="C37" s="29" t="s">
        <v>192</v>
      </c>
      <c r="D37" s="29" t="s">
        <v>54</v>
      </c>
      <c r="E37" s="29" t="s">
        <v>32</v>
      </c>
      <c r="F37" s="29" t="s">
        <v>100</v>
      </c>
      <c r="G37" s="29" t="s">
        <v>193</v>
      </c>
      <c r="H37" s="29">
        <v>127.5</v>
      </c>
      <c r="I37" s="29" t="s">
        <v>38</v>
      </c>
      <c r="J37" s="29" t="s">
        <v>38</v>
      </c>
      <c r="K37" s="52">
        <v>6</v>
      </c>
      <c r="L37" s="52">
        <v>104000</v>
      </c>
      <c r="M37" s="52">
        <f>26*80</f>
        <v>2080</v>
      </c>
      <c r="N37" s="29">
        <v>59</v>
      </c>
      <c r="O37" s="30" t="s">
        <v>38</v>
      </c>
      <c r="P37" s="30" t="str">
        <f t="shared" si="11"/>
        <v/>
      </c>
      <c r="Q37" s="30" t="str">
        <f t="shared" si="12"/>
        <v/>
      </c>
      <c r="R37" s="34"/>
      <c r="S37" s="35" t="s">
        <v>38</v>
      </c>
      <c r="T37" s="30" t="str">
        <f t="shared" si="13"/>
        <v/>
      </c>
      <c r="U37" s="30" t="str">
        <f t="shared" si="14"/>
        <v/>
      </c>
      <c r="V37" s="34"/>
      <c r="W37" s="29" t="s">
        <v>38</v>
      </c>
      <c r="X37" s="30" t="str">
        <f t="shared" si="15"/>
        <v/>
      </c>
      <c r="Y37" s="30" t="str">
        <f t="shared" si="16"/>
        <v/>
      </c>
      <c r="Z37" s="38"/>
      <c r="AA37" s="29">
        <v>32000</v>
      </c>
      <c r="AB37" s="29"/>
      <c r="AC37" s="30">
        <f t="shared" si="17"/>
        <v>542.37288135593224</v>
      </c>
      <c r="AD37" s="30">
        <f t="shared" si="18"/>
        <v>425.39049518112336</v>
      </c>
      <c r="AE37" s="34" t="s">
        <v>128</v>
      </c>
      <c r="AF37" s="35" t="s">
        <v>38</v>
      </c>
      <c r="AG37" s="30" t="str">
        <f t="shared" si="19"/>
        <v/>
      </c>
      <c r="AH37" s="30" t="str">
        <f t="shared" si="20"/>
        <v/>
      </c>
      <c r="AI37" s="37" t="str">
        <f t="shared" si="10"/>
        <v/>
      </c>
      <c r="AJ37" s="36"/>
    </row>
    <row r="38" spans="1:36" ht="80" x14ac:dyDescent="0.2">
      <c r="A38" s="29" t="s">
        <v>194</v>
      </c>
      <c r="B38" s="29" t="s">
        <v>126</v>
      </c>
      <c r="C38" s="29" t="s">
        <v>195</v>
      </c>
      <c r="D38" s="29" t="s">
        <v>48</v>
      </c>
      <c r="E38" s="29" t="s">
        <v>32</v>
      </c>
      <c r="F38" s="29" t="s">
        <v>100</v>
      </c>
      <c r="G38" s="29" t="s">
        <v>196</v>
      </c>
      <c r="H38" s="29">
        <v>93</v>
      </c>
      <c r="I38" s="29" t="s">
        <v>38</v>
      </c>
      <c r="J38" s="29" t="s">
        <v>38</v>
      </c>
      <c r="K38" s="52"/>
      <c r="L38" s="52"/>
      <c r="M38" s="52"/>
      <c r="N38" s="29">
        <v>1</v>
      </c>
      <c r="O38" s="30" t="s">
        <v>142</v>
      </c>
      <c r="P38" s="30" t="str">
        <f t="shared" si="11"/>
        <v/>
      </c>
      <c r="Q38" s="30" t="str">
        <f t="shared" si="12"/>
        <v/>
      </c>
      <c r="R38" s="34" t="s">
        <v>197</v>
      </c>
      <c r="S38" s="29" t="s">
        <v>38</v>
      </c>
      <c r="T38" s="30" t="str">
        <f t="shared" si="13"/>
        <v/>
      </c>
      <c r="U38" s="30" t="str">
        <f t="shared" si="14"/>
        <v/>
      </c>
      <c r="V38" s="34"/>
      <c r="W38" s="29" t="s">
        <v>38</v>
      </c>
      <c r="X38" s="30" t="str">
        <f t="shared" si="15"/>
        <v/>
      </c>
      <c r="Y38" s="30" t="str">
        <f t="shared" si="16"/>
        <v/>
      </c>
      <c r="Z38" s="34"/>
      <c r="AA38" s="29" t="s">
        <v>38</v>
      </c>
      <c r="AB38" s="29"/>
      <c r="AC38" s="30" t="str">
        <f t="shared" si="17"/>
        <v/>
      </c>
      <c r="AD38" s="30" t="str">
        <f t="shared" si="18"/>
        <v/>
      </c>
      <c r="AE38" s="34"/>
      <c r="AF38" s="29" t="s">
        <v>142</v>
      </c>
      <c r="AG38" s="30" t="str">
        <f t="shared" si="19"/>
        <v/>
      </c>
      <c r="AH38" s="30" t="str">
        <f t="shared" si="20"/>
        <v/>
      </c>
      <c r="AI38" s="37" t="str">
        <f t="shared" si="10"/>
        <v/>
      </c>
      <c r="AJ38" s="34" t="s">
        <v>198</v>
      </c>
    </row>
    <row r="39" spans="1:36" ht="16" x14ac:dyDescent="0.2">
      <c r="A39" s="29" t="s">
        <v>49</v>
      </c>
      <c r="B39" s="29" t="s">
        <v>126</v>
      </c>
      <c r="C39" s="29" t="s">
        <v>199</v>
      </c>
      <c r="D39" s="29" t="s">
        <v>48</v>
      </c>
      <c r="E39" s="29" t="s">
        <v>32</v>
      </c>
      <c r="F39" s="29" t="s">
        <v>100</v>
      </c>
      <c r="G39" s="29" t="s">
        <v>106</v>
      </c>
      <c r="H39" s="29">
        <v>100</v>
      </c>
      <c r="I39" s="29" t="s">
        <v>38</v>
      </c>
      <c r="J39" s="29" t="s">
        <v>38</v>
      </c>
      <c r="K39" s="52" t="s">
        <v>141</v>
      </c>
      <c r="L39" s="52" t="s">
        <v>141</v>
      </c>
      <c r="M39" s="52" t="s">
        <v>141</v>
      </c>
      <c r="N39" s="29">
        <v>1</v>
      </c>
      <c r="O39" s="30"/>
      <c r="P39" s="30">
        <f t="shared" si="11"/>
        <v>0</v>
      </c>
      <c r="Q39" s="30">
        <f t="shared" si="12"/>
        <v>0</v>
      </c>
      <c r="R39" s="34"/>
      <c r="S39" s="29">
        <v>1990</v>
      </c>
      <c r="T39" s="30">
        <f t="shared" si="13"/>
        <v>1990</v>
      </c>
      <c r="U39" s="30">
        <f t="shared" si="14"/>
        <v>1990</v>
      </c>
      <c r="V39" s="34" t="s">
        <v>200</v>
      </c>
      <c r="W39" s="29"/>
      <c r="X39" s="30">
        <f t="shared" si="15"/>
        <v>0</v>
      </c>
      <c r="Y39" s="30">
        <f t="shared" si="16"/>
        <v>0</v>
      </c>
      <c r="Z39" s="34"/>
      <c r="AA39" s="29"/>
      <c r="AB39" s="29"/>
      <c r="AC39" s="30">
        <f t="shared" si="17"/>
        <v>0</v>
      </c>
      <c r="AD39" s="30">
        <f t="shared" si="18"/>
        <v>0</v>
      </c>
      <c r="AE39" s="34"/>
      <c r="AF39" s="29"/>
      <c r="AG39" s="30">
        <f t="shared" si="19"/>
        <v>0</v>
      </c>
      <c r="AH39" s="30">
        <f t="shared" si="20"/>
        <v>0</v>
      </c>
      <c r="AI39" s="37"/>
      <c r="AJ39" s="34"/>
    </row>
    <row r="40" spans="1:36" ht="48" x14ac:dyDescent="0.2">
      <c r="A40" s="29" t="s">
        <v>55</v>
      </c>
      <c r="B40" s="29" t="s">
        <v>99</v>
      </c>
      <c r="C40" s="29" t="s">
        <v>56</v>
      </c>
      <c r="D40" s="29" t="s">
        <v>54</v>
      </c>
      <c r="E40" s="29" t="s">
        <v>32</v>
      </c>
      <c r="F40" s="29" t="s">
        <v>100</v>
      </c>
      <c r="G40" s="29" t="s">
        <v>201</v>
      </c>
      <c r="H40" s="29">
        <v>116.3</v>
      </c>
      <c r="I40" s="29" t="s">
        <v>177</v>
      </c>
      <c r="J40" s="29" t="s">
        <v>202</v>
      </c>
      <c r="K40" s="52">
        <v>4</v>
      </c>
      <c r="L40" s="52">
        <f>8*4000</f>
        <v>32000</v>
      </c>
      <c r="M40" s="52">
        <f>8*80</f>
        <v>640</v>
      </c>
      <c r="N40" s="29">
        <v>28</v>
      </c>
      <c r="O40" s="30">
        <v>65000</v>
      </c>
      <c r="P40" s="30">
        <f t="shared" si="11"/>
        <v>2321.4285714285716</v>
      </c>
      <c r="Q40" s="30">
        <f t="shared" si="12"/>
        <v>1996.0692789583591</v>
      </c>
      <c r="R40" s="34"/>
      <c r="S40" s="35">
        <v>15000</v>
      </c>
      <c r="T40" s="30">
        <f t="shared" si="13"/>
        <v>535.71428571428567</v>
      </c>
      <c r="U40" s="30">
        <f t="shared" si="14"/>
        <v>460.63137206731352</v>
      </c>
      <c r="V40" s="34" t="s">
        <v>203</v>
      </c>
      <c r="W40" s="35">
        <v>50000</v>
      </c>
      <c r="X40" s="30">
        <f t="shared" si="15"/>
        <v>1785.7142857142858</v>
      </c>
      <c r="Y40" s="30">
        <f t="shared" si="16"/>
        <v>1535.4379068910453</v>
      </c>
      <c r="Z40" s="34" t="s">
        <v>204</v>
      </c>
      <c r="AA40" s="29" t="s">
        <v>38</v>
      </c>
      <c r="AB40" s="29"/>
      <c r="AC40" s="30" t="str">
        <f t="shared" si="17"/>
        <v/>
      </c>
      <c r="AD40" s="30" t="str">
        <f t="shared" si="18"/>
        <v/>
      </c>
      <c r="AE40" s="34"/>
      <c r="AF40" s="29" t="s">
        <v>38</v>
      </c>
      <c r="AG40" s="30" t="str">
        <f t="shared" si="19"/>
        <v/>
      </c>
      <c r="AH40" s="30" t="str">
        <f t="shared" si="20"/>
        <v/>
      </c>
      <c r="AI40" s="37" t="str">
        <f t="shared" ref="AI40:AI76" si="21">IFERROR(AH40/(Q40-AH40),"")</f>
        <v/>
      </c>
      <c r="AJ40" s="34"/>
    </row>
    <row r="41" spans="1:36" ht="48" x14ac:dyDescent="0.2">
      <c r="A41" s="29" t="s">
        <v>55</v>
      </c>
      <c r="B41" s="29" t="s">
        <v>99</v>
      </c>
      <c r="C41" s="29" t="s">
        <v>56</v>
      </c>
      <c r="D41" s="29" t="s">
        <v>54</v>
      </c>
      <c r="E41" s="29" t="s">
        <v>32</v>
      </c>
      <c r="F41" s="29" t="s">
        <v>100</v>
      </c>
      <c r="G41" s="29" t="s">
        <v>201</v>
      </c>
      <c r="H41" s="29">
        <v>116.3</v>
      </c>
      <c r="I41" s="29" t="s">
        <v>115</v>
      </c>
      <c r="J41" s="29" t="s">
        <v>116</v>
      </c>
      <c r="K41" s="52">
        <v>4</v>
      </c>
      <c r="L41" s="52">
        <f>6*15400</f>
        <v>92400</v>
      </c>
      <c r="M41" s="52">
        <f>12*80</f>
        <v>960</v>
      </c>
      <c r="N41" s="29">
        <v>28</v>
      </c>
      <c r="O41" s="30">
        <v>86000</v>
      </c>
      <c r="P41" s="30">
        <f t="shared" si="11"/>
        <v>3071.4285714285716</v>
      </c>
      <c r="Q41" s="30">
        <f t="shared" si="12"/>
        <v>2640.9531998525981</v>
      </c>
      <c r="R41" s="34"/>
      <c r="S41" s="35">
        <v>36000</v>
      </c>
      <c r="T41" s="30">
        <f t="shared" si="13"/>
        <v>1285.7142857142858</v>
      </c>
      <c r="U41" s="30">
        <f t="shared" si="14"/>
        <v>1105.5152929615526</v>
      </c>
      <c r="V41" s="34" t="s">
        <v>203</v>
      </c>
      <c r="W41" s="35">
        <v>50000</v>
      </c>
      <c r="X41" s="30">
        <f t="shared" si="15"/>
        <v>1785.7142857142858</v>
      </c>
      <c r="Y41" s="30">
        <f t="shared" si="16"/>
        <v>1535.4379068910453</v>
      </c>
      <c r="Z41" s="34" t="s">
        <v>204</v>
      </c>
      <c r="AA41" s="29" t="s">
        <v>38</v>
      </c>
      <c r="AB41" s="29"/>
      <c r="AC41" s="30" t="str">
        <f t="shared" si="17"/>
        <v/>
      </c>
      <c r="AD41" s="30" t="str">
        <f t="shared" si="18"/>
        <v/>
      </c>
      <c r="AE41" s="34"/>
      <c r="AF41" s="29" t="s">
        <v>38</v>
      </c>
      <c r="AG41" s="30" t="str">
        <f t="shared" si="19"/>
        <v/>
      </c>
      <c r="AH41" s="30" t="str">
        <f t="shared" si="20"/>
        <v/>
      </c>
      <c r="AI41" s="37" t="str">
        <f t="shared" si="21"/>
        <v/>
      </c>
      <c r="AJ41" s="34"/>
    </row>
    <row r="42" spans="1:36" ht="32" x14ac:dyDescent="0.2">
      <c r="A42" s="29" t="s">
        <v>205</v>
      </c>
      <c r="B42" s="29" t="s">
        <v>105</v>
      </c>
      <c r="C42" s="29" t="s">
        <v>38</v>
      </c>
      <c r="D42" s="29" t="s">
        <v>48</v>
      </c>
      <c r="E42" s="29" t="s">
        <v>32</v>
      </c>
      <c r="F42" s="29" t="s">
        <v>100</v>
      </c>
      <c r="G42" s="29" t="s">
        <v>106</v>
      </c>
      <c r="H42" s="29">
        <v>100</v>
      </c>
      <c r="I42" s="29" t="s">
        <v>177</v>
      </c>
      <c r="J42" s="29" t="s">
        <v>206</v>
      </c>
      <c r="K42" s="52" t="s">
        <v>141</v>
      </c>
      <c r="L42" s="52">
        <v>4000</v>
      </c>
      <c r="M42" s="52">
        <v>50</v>
      </c>
      <c r="N42" s="29">
        <v>72</v>
      </c>
      <c r="O42" s="35" t="s">
        <v>38</v>
      </c>
      <c r="P42" s="30" t="str">
        <f t="shared" si="11"/>
        <v/>
      </c>
      <c r="Q42" s="30" t="str">
        <f t="shared" si="12"/>
        <v/>
      </c>
      <c r="R42" s="34"/>
      <c r="S42" s="35">
        <f>1222.5*72</f>
        <v>88020</v>
      </c>
      <c r="T42" s="30">
        <f t="shared" si="13"/>
        <v>1222.5</v>
      </c>
      <c r="U42" s="30">
        <f t="shared" si="14"/>
        <v>1222.5</v>
      </c>
      <c r="V42" s="34" t="s">
        <v>207</v>
      </c>
      <c r="W42" s="35" t="s">
        <v>38</v>
      </c>
      <c r="X42" s="30" t="str">
        <f t="shared" si="15"/>
        <v/>
      </c>
      <c r="Y42" s="30" t="str">
        <f t="shared" si="16"/>
        <v/>
      </c>
      <c r="Z42" s="38"/>
      <c r="AA42" s="35" t="s">
        <v>38</v>
      </c>
      <c r="AB42" s="35"/>
      <c r="AC42" s="30" t="str">
        <f t="shared" si="17"/>
        <v/>
      </c>
      <c r="AD42" s="30" t="str">
        <f t="shared" si="18"/>
        <v/>
      </c>
      <c r="AE42" s="34"/>
      <c r="AF42" s="35" t="s">
        <v>38</v>
      </c>
      <c r="AG42" s="30" t="str">
        <f t="shared" si="19"/>
        <v/>
      </c>
      <c r="AH42" s="30" t="str">
        <f t="shared" si="20"/>
        <v/>
      </c>
      <c r="AI42" s="37" t="str">
        <f t="shared" si="21"/>
        <v/>
      </c>
      <c r="AJ42" s="36"/>
    </row>
    <row r="43" spans="1:36" ht="32" x14ac:dyDescent="0.2">
      <c r="A43" s="29" t="s">
        <v>205</v>
      </c>
      <c r="B43" s="29" t="s">
        <v>105</v>
      </c>
      <c r="C43" s="29" t="s">
        <v>38</v>
      </c>
      <c r="D43" s="29" t="s">
        <v>48</v>
      </c>
      <c r="E43" s="29" t="s">
        <v>32</v>
      </c>
      <c r="F43" s="29" t="s">
        <v>100</v>
      </c>
      <c r="G43" s="29" t="s">
        <v>106</v>
      </c>
      <c r="H43" s="29">
        <v>100</v>
      </c>
      <c r="I43" s="29" t="s">
        <v>177</v>
      </c>
      <c r="J43" s="29" t="s">
        <v>103</v>
      </c>
      <c r="K43" s="52" t="s">
        <v>141</v>
      </c>
      <c r="L43" s="52">
        <v>4000</v>
      </c>
      <c r="M43" s="52">
        <v>50</v>
      </c>
      <c r="N43" s="29">
        <v>72</v>
      </c>
      <c r="O43" s="35" t="s">
        <v>38</v>
      </c>
      <c r="P43" s="30" t="str">
        <f t="shared" si="11"/>
        <v/>
      </c>
      <c r="Q43" s="30" t="str">
        <f t="shared" si="12"/>
        <v/>
      </c>
      <c r="R43" s="34"/>
      <c r="S43" s="35">
        <f>1360*72</f>
        <v>97920</v>
      </c>
      <c r="T43" s="30">
        <f t="shared" si="13"/>
        <v>1360</v>
      </c>
      <c r="U43" s="30">
        <f t="shared" si="14"/>
        <v>1360</v>
      </c>
      <c r="V43" s="34" t="s">
        <v>208</v>
      </c>
      <c r="W43" s="35" t="s">
        <v>38</v>
      </c>
      <c r="X43" s="30" t="str">
        <f t="shared" si="15"/>
        <v/>
      </c>
      <c r="Y43" s="30" t="str">
        <f t="shared" si="16"/>
        <v/>
      </c>
      <c r="Z43" s="38"/>
      <c r="AA43" s="35" t="s">
        <v>38</v>
      </c>
      <c r="AB43" s="35"/>
      <c r="AC43" s="30" t="str">
        <f t="shared" si="17"/>
        <v/>
      </c>
      <c r="AD43" s="30" t="str">
        <f t="shared" si="18"/>
        <v/>
      </c>
      <c r="AE43" s="34"/>
      <c r="AF43" s="35" t="s">
        <v>38</v>
      </c>
      <c r="AG43" s="30" t="str">
        <f t="shared" si="19"/>
        <v/>
      </c>
      <c r="AH43" s="30" t="str">
        <f t="shared" si="20"/>
        <v/>
      </c>
      <c r="AI43" s="37" t="str">
        <f t="shared" si="21"/>
        <v/>
      </c>
      <c r="AJ43" s="36"/>
    </row>
    <row r="44" spans="1:36" ht="32" x14ac:dyDescent="0.2">
      <c r="A44" s="29" t="s">
        <v>205</v>
      </c>
      <c r="B44" s="29" t="s">
        <v>105</v>
      </c>
      <c r="C44" s="29" t="s">
        <v>38</v>
      </c>
      <c r="D44" s="29" t="s">
        <v>48</v>
      </c>
      <c r="E44" s="29" t="s">
        <v>32</v>
      </c>
      <c r="F44" s="29" t="s">
        <v>100</v>
      </c>
      <c r="G44" s="29" t="s">
        <v>106</v>
      </c>
      <c r="H44" s="29">
        <v>100</v>
      </c>
      <c r="I44" s="29" t="s">
        <v>177</v>
      </c>
      <c r="J44" s="29" t="s">
        <v>209</v>
      </c>
      <c r="K44" s="52" t="s">
        <v>141</v>
      </c>
      <c r="L44" s="52">
        <v>4000</v>
      </c>
      <c r="M44" s="52">
        <v>65</v>
      </c>
      <c r="N44" s="29">
        <v>72</v>
      </c>
      <c r="O44" s="35" t="s">
        <v>38</v>
      </c>
      <c r="P44" s="30" t="str">
        <f t="shared" si="11"/>
        <v/>
      </c>
      <c r="Q44" s="30" t="str">
        <f t="shared" si="12"/>
        <v/>
      </c>
      <c r="R44" s="34"/>
      <c r="S44" s="35">
        <f>1566.25*72</f>
        <v>112770</v>
      </c>
      <c r="T44" s="30">
        <f t="shared" si="13"/>
        <v>1566.25</v>
      </c>
      <c r="U44" s="30">
        <f t="shared" si="14"/>
        <v>1566.25</v>
      </c>
      <c r="V44" s="34" t="s">
        <v>210</v>
      </c>
      <c r="W44" s="35" t="s">
        <v>38</v>
      </c>
      <c r="X44" s="30" t="str">
        <f t="shared" si="15"/>
        <v/>
      </c>
      <c r="Y44" s="30" t="str">
        <f t="shared" si="16"/>
        <v/>
      </c>
      <c r="Z44" s="38"/>
      <c r="AA44" s="35" t="s">
        <v>38</v>
      </c>
      <c r="AB44" s="35"/>
      <c r="AC44" s="30" t="str">
        <f t="shared" si="17"/>
        <v/>
      </c>
      <c r="AD44" s="30" t="str">
        <f t="shared" si="18"/>
        <v/>
      </c>
      <c r="AE44" s="34"/>
      <c r="AF44" s="35" t="s">
        <v>38</v>
      </c>
      <c r="AG44" s="30" t="str">
        <f t="shared" si="19"/>
        <v/>
      </c>
      <c r="AH44" s="30" t="str">
        <f t="shared" si="20"/>
        <v/>
      </c>
      <c r="AI44" s="37" t="str">
        <f t="shared" si="21"/>
        <v/>
      </c>
      <c r="AJ44" s="36"/>
    </row>
    <row r="45" spans="1:36" ht="32" x14ac:dyDescent="0.2">
      <c r="A45" s="29" t="s">
        <v>205</v>
      </c>
      <c r="B45" s="29" t="s">
        <v>105</v>
      </c>
      <c r="C45" s="29" t="s">
        <v>38</v>
      </c>
      <c r="D45" s="29" t="s">
        <v>48</v>
      </c>
      <c r="E45" s="29" t="s">
        <v>32</v>
      </c>
      <c r="F45" s="29" t="s">
        <v>100</v>
      </c>
      <c r="G45" s="29" t="s">
        <v>106</v>
      </c>
      <c r="H45" s="29">
        <v>100</v>
      </c>
      <c r="I45" s="29" t="s">
        <v>177</v>
      </c>
      <c r="J45" s="29" t="s">
        <v>211</v>
      </c>
      <c r="K45" s="52" t="s">
        <v>141</v>
      </c>
      <c r="L45" s="52">
        <v>4000</v>
      </c>
      <c r="M45" s="52">
        <v>65</v>
      </c>
      <c r="N45" s="29">
        <v>72</v>
      </c>
      <c r="O45" s="35" t="s">
        <v>38</v>
      </c>
      <c r="P45" s="30" t="str">
        <f t="shared" si="11"/>
        <v/>
      </c>
      <c r="Q45" s="30" t="str">
        <f t="shared" si="12"/>
        <v/>
      </c>
      <c r="R45" s="34"/>
      <c r="S45" s="35">
        <f>1703.75*72</f>
        <v>122670</v>
      </c>
      <c r="T45" s="30">
        <f t="shared" si="13"/>
        <v>1703.75</v>
      </c>
      <c r="U45" s="30">
        <f t="shared" si="14"/>
        <v>1703.75</v>
      </c>
      <c r="V45" s="34" t="s">
        <v>212</v>
      </c>
      <c r="W45" s="35" t="s">
        <v>38</v>
      </c>
      <c r="X45" s="30" t="str">
        <f t="shared" si="15"/>
        <v/>
      </c>
      <c r="Y45" s="30" t="str">
        <f t="shared" si="16"/>
        <v/>
      </c>
      <c r="Z45" s="38"/>
      <c r="AA45" s="35" t="s">
        <v>38</v>
      </c>
      <c r="AB45" s="35"/>
      <c r="AC45" s="30" t="str">
        <f t="shared" si="17"/>
        <v/>
      </c>
      <c r="AD45" s="30" t="str">
        <f t="shared" si="18"/>
        <v/>
      </c>
      <c r="AE45" s="34"/>
      <c r="AF45" s="35" t="s">
        <v>38</v>
      </c>
      <c r="AG45" s="30" t="str">
        <f t="shared" si="19"/>
        <v/>
      </c>
      <c r="AH45" s="30" t="str">
        <f t="shared" si="20"/>
        <v/>
      </c>
      <c r="AI45" s="37" t="str">
        <f t="shared" si="21"/>
        <v/>
      </c>
      <c r="AJ45" s="36"/>
    </row>
    <row r="46" spans="1:36" ht="32" x14ac:dyDescent="0.2">
      <c r="A46" s="29" t="s">
        <v>205</v>
      </c>
      <c r="B46" s="29" t="s">
        <v>105</v>
      </c>
      <c r="C46" s="29" t="s">
        <v>38</v>
      </c>
      <c r="D46" s="29" t="s">
        <v>48</v>
      </c>
      <c r="E46" s="29" t="s">
        <v>32</v>
      </c>
      <c r="F46" s="29" t="s">
        <v>100</v>
      </c>
      <c r="G46" s="29" t="s">
        <v>106</v>
      </c>
      <c r="H46" s="29">
        <v>100</v>
      </c>
      <c r="I46" s="29" t="s">
        <v>177</v>
      </c>
      <c r="J46" s="29" t="s">
        <v>213</v>
      </c>
      <c r="K46" s="52" t="s">
        <v>141</v>
      </c>
      <c r="L46" s="52">
        <v>4000</v>
      </c>
      <c r="M46" s="52">
        <v>80</v>
      </c>
      <c r="N46" s="29">
        <v>72</v>
      </c>
      <c r="O46" s="35" t="s">
        <v>38</v>
      </c>
      <c r="P46" s="30" t="str">
        <f t="shared" si="11"/>
        <v/>
      </c>
      <c r="Q46" s="30" t="str">
        <f t="shared" si="12"/>
        <v/>
      </c>
      <c r="R46" s="34"/>
      <c r="S46" s="35">
        <f>1910*72</f>
        <v>137520</v>
      </c>
      <c r="T46" s="30">
        <f t="shared" si="13"/>
        <v>1910</v>
      </c>
      <c r="U46" s="30">
        <f t="shared" si="14"/>
        <v>1910</v>
      </c>
      <c r="V46" s="34" t="s">
        <v>214</v>
      </c>
      <c r="W46" s="35" t="s">
        <v>38</v>
      </c>
      <c r="X46" s="30" t="str">
        <f t="shared" si="15"/>
        <v/>
      </c>
      <c r="Y46" s="30" t="str">
        <f t="shared" si="16"/>
        <v/>
      </c>
      <c r="Z46" s="38"/>
      <c r="AA46" s="35" t="s">
        <v>38</v>
      </c>
      <c r="AB46" s="35"/>
      <c r="AC46" s="30" t="str">
        <f t="shared" si="17"/>
        <v/>
      </c>
      <c r="AD46" s="30" t="str">
        <f t="shared" si="18"/>
        <v/>
      </c>
      <c r="AE46" s="34"/>
      <c r="AF46" s="35" t="s">
        <v>38</v>
      </c>
      <c r="AG46" s="30" t="str">
        <f t="shared" si="19"/>
        <v/>
      </c>
      <c r="AH46" s="30" t="str">
        <f t="shared" si="20"/>
        <v/>
      </c>
      <c r="AI46" s="37" t="str">
        <f t="shared" si="21"/>
        <v/>
      </c>
      <c r="AJ46" s="36"/>
    </row>
    <row r="47" spans="1:36" ht="32" x14ac:dyDescent="0.2">
      <c r="A47" s="29" t="s">
        <v>205</v>
      </c>
      <c r="B47" s="29" t="s">
        <v>105</v>
      </c>
      <c r="C47" s="29" t="s">
        <v>38</v>
      </c>
      <c r="D47" s="29" t="s">
        <v>48</v>
      </c>
      <c r="E47" s="29" t="s">
        <v>32</v>
      </c>
      <c r="F47" s="29" t="s">
        <v>100</v>
      </c>
      <c r="G47" s="29" t="s">
        <v>106</v>
      </c>
      <c r="H47" s="29">
        <v>100</v>
      </c>
      <c r="I47" s="29" t="s">
        <v>177</v>
      </c>
      <c r="J47" s="29" t="s">
        <v>215</v>
      </c>
      <c r="K47" s="52" t="s">
        <v>141</v>
      </c>
      <c r="L47" s="52">
        <v>4000</v>
      </c>
      <c r="M47" s="52">
        <v>80</v>
      </c>
      <c r="N47" s="29">
        <v>72</v>
      </c>
      <c r="O47" s="35" t="s">
        <v>38</v>
      </c>
      <c r="P47" s="30" t="str">
        <f t="shared" si="11"/>
        <v/>
      </c>
      <c r="Q47" s="30" t="str">
        <f t="shared" si="12"/>
        <v/>
      </c>
      <c r="R47" s="34"/>
      <c r="S47" s="35">
        <f>2047.5*72</f>
        <v>147420</v>
      </c>
      <c r="T47" s="30">
        <f t="shared" si="13"/>
        <v>2047.5</v>
      </c>
      <c r="U47" s="30">
        <f t="shared" si="14"/>
        <v>2047.5</v>
      </c>
      <c r="V47" s="34" t="s">
        <v>216</v>
      </c>
      <c r="W47" s="35" t="s">
        <v>38</v>
      </c>
      <c r="X47" s="30" t="str">
        <f t="shared" si="15"/>
        <v/>
      </c>
      <c r="Y47" s="30" t="str">
        <f t="shared" si="16"/>
        <v/>
      </c>
      <c r="Z47" s="38"/>
      <c r="AA47" s="35" t="s">
        <v>38</v>
      </c>
      <c r="AB47" s="35"/>
      <c r="AC47" s="30" t="str">
        <f t="shared" si="17"/>
        <v/>
      </c>
      <c r="AD47" s="30" t="str">
        <f t="shared" si="18"/>
        <v/>
      </c>
      <c r="AE47" s="34"/>
      <c r="AF47" s="35" t="s">
        <v>38</v>
      </c>
      <c r="AG47" s="30" t="str">
        <f t="shared" si="19"/>
        <v/>
      </c>
      <c r="AH47" s="30" t="str">
        <f t="shared" si="20"/>
        <v/>
      </c>
      <c r="AI47" s="37" t="str">
        <f t="shared" si="21"/>
        <v/>
      </c>
      <c r="AJ47" s="36"/>
    </row>
    <row r="48" spans="1:36" ht="32" x14ac:dyDescent="0.2">
      <c r="A48" s="29" t="s">
        <v>35</v>
      </c>
      <c r="B48" s="29" t="s">
        <v>99</v>
      </c>
      <c r="C48" s="29" t="s">
        <v>36</v>
      </c>
      <c r="D48" s="29" t="s">
        <v>31</v>
      </c>
      <c r="E48" s="29" t="s">
        <v>32</v>
      </c>
      <c r="F48" s="29" t="s">
        <v>100</v>
      </c>
      <c r="G48" s="29" t="s">
        <v>217</v>
      </c>
      <c r="H48" s="29">
        <v>102.6</v>
      </c>
      <c r="I48" s="29" t="s">
        <v>218</v>
      </c>
      <c r="J48" s="29" t="s">
        <v>38</v>
      </c>
      <c r="K48" s="52">
        <v>3</v>
      </c>
      <c r="L48" s="52">
        <v>36000</v>
      </c>
      <c r="M48" s="52"/>
      <c r="N48" s="29">
        <v>24</v>
      </c>
      <c r="O48" s="35" t="s">
        <v>142</v>
      </c>
      <c r="P48" s="30" t="str">
        <f t="shared" si="11"/>
        <v/>
      </c>
      <c r="Q48" s="30" t="str">
        <f t="shared" si="12"/>
        <v/>
      </c>
      <c r="R48" s="34" t="s">
        <v>219</v>
      </c>
      <c r="S48" s="30">
        <f>3677*1.04</f>
        <v>3824.08</v>
      </c>
      <c r="T48" s="30">
        <f t="shared" si="13"/>
        <v>159.33666666666667</v>
      </c>
      <c r="U48" s="30">
        <f t="shared" si="14"/>
        <v>155.29889538661467</v>
      </c>
      <c r="V48" s="34" t="s">
        <v>220</v>
      </c>
      <c r="W48" s="30">
        <f>(4939.2-3677)*1.04+2006.25</f>
        <v>3318.9380000000001</v>
      </c>
      <c r="X48" s="30">
        <f t="shared" si="15"/>
        <v>138.28908333333334</v>
      </c>
      <c r="Y48" s="30">
        <f t="shared" si="16"/>
        <v>134.78468161143599</v>
      </c>
      <c r="Z48" s="34" t="s">
        <v>221</v>
      </c>
      <c r="AA48" s="29" t="s">
        <v>38</v>
      </c>
      <c r="AB48" s="29"/>
      <c r="AC48" s="30" t="str">
        <f t="shared" si="17"/>
        <v/>
      </c>
      <c r="AD48" s="30" t="str">
        <f t="shared" si="18"/>
        <v/>
      </c>
      <c r="AE48" s="34"/>
      <c r="AF48" s="29">
        <f>1250+375+1315.2</f>
        <v>2940.2</v>
      </c>
      <c r="AG48" s="30">
        <f t="shared" si="19"/>
        <v>122.50833333333333</v>
      </c>
      <c r="AH48" s="30">
        <f t="shared" si="20"/>
        <v>119.40383365821961</v>
      </c>
      <c r="AI48" s="37" t="str">
        <f t="shared" si="21"/>
        <v/>
      </c>
      <c r="AJ48" s="34" t="s">
        <v>222</v>
      </c>
    </row>
    <row r="49" spans="1:36" ht="32" x14ac:dyDescent="0.2">
      <c r="A49" s="42" t="s">
        <v>223</v>
      </c>
      <c r="B49" s="42" t="s">
        <v>126</v>
      </c>
      <c r="C49" s="29" t="s">
        <v>224</v>
      </c>
      <c r="D49" s="29" t="s">
        <v>38</v>
      </c>
      <c r="E49" s="42" t="s">
        <v>45</v>
      </c>
      <c r="F49" s="29" t="s">
        <v>100</v>
      </c>
      <c r="G49" s="42" t="s">
        <v>174</v>
      </c>
      <c r="H49" s="42">
        <v>110</v>
      </c>
      <c r="I49" s="42" t="s">
        <v>38</v>
      </c>
      <c r="J49" s="42" t="s">
        <v>38</v>
      </c>
      <c r="K49" s="52" t="s">
        <v>141</v>
      </c>
      <c r="L49" s="52" t="s">
        <v>141</v>
      </c>
      <c r="M49" s="52" t="s">
        <v>141</v>
      </c>
      <c r="N49" s="42" t="s">
        <v>38</v>
      </c>
      <c r="O49" s="29" t="s">
        <v>38</v>
      </c>
      <c r="P49" s="30" t="str">
        <f t="shared" si="11"/>
        <v/>
      </c>
      <c r="Q49" s="30" t="str">
        <f t="shared" si="12"/>
        <v/>
      </c>
      <c r="R49" s="34"/>
      <c r="S49" s="29" t="s">
        <v>38</v>
      </c>
      <c r="T49" s="30" t="str">
        <f t="shared" si="13"/>
        <v/>
      </c>
      <c r="U49" s="30" t="str">
        <f t="shared" si="14"/>
        <v/>
      </c>
      <c r="V49" s="34"/>
      <c r="W49" s="29" t="s">
        <v>38</v>
      </c>
      <c r="X49" s="30" t="str">
        <f t="shared" si="15"/>
        <v/>
      </c>
      <c r="Y49" s="30" t="str">
        <f t="shared" si="16"/>
        <v/>
      </c>
      <c r="Z49" s="38"/>
      <c r="AA49" s="29" t="s">
        <v>142</v>
      </c>
      <c r="AB49" s="30" t="str">
        <f>IFERROR(AA49/($H49/100),"")</f>
        <v/>
      </c>
      <c r="AC49" s="30" t="str">
        <f t="shared" si="17"/>
        <v/>
      </c>
      <c r="AD49" s="30" t="str">
        <f t="shared" si="18"/>
        <v/>
      </c>
      <c r="AE49" s="45" t="s">
        <v>225</v>
      </c>
      <c r="AF49" s="29" t="s">
        <v>38</v>
      </c>
      <c r="AG49" s="30" t="str">
        <f t="shared" si="19"/>
        <v/>
      </c>
      <c r="AH49" s="30" t="str">
        <f t="shared" si="20"/>
        <v/>
      </c>
      <c r="AI49" s="37" t="str">
        <f t="shared" si="21"/>
        <v/>
      </c>
      <c r="AJ49" s="36"/>
    </row>
    <row r="50" spans="1:36" ht="96" x14ac:dyDescent="0.2">
      <c r="A50" s="42" t="s">
        <v>223</v>
      </c>
      <c r="B50" s="42" t="s">
        <v>126</v>
      </c>
      <c r="C50" s="42" t="s">
        <v>226</v>
      </c>
      <c r="D50" s="42" t="s">
        <v>38</v>
      </c>
      <c r="E50" s="42" t="s">
        <v>45</v>
      </c>
      <c r="F50" s="42" t="s">
        <v>100</v>
      </c>
      <c r="G50" s="42" t="s">
        <v>174</v>
      </c>
      <c r="H50" s="42">
        <v>110</v>
      </c>
      <c r="I50" s="42" t="s">
        <v>38</v>
      </c>
      <c r="J50" s="42" t="s">
        <v>38</v>
      </c>
      <c r="K50" s="52" t="s">
        <v>141</v>
      </c>
      <c r="L50" s="52" t="s">
        <v>141</v>
      </c>
      <c r="M50" s="52" t="s">
        <v>141</v>
      </c>
      <c r="N50" s="42" t="s">
        <v>38</v>
      </c>
      <c r="O50" s="29" t="s">
        <v>38</v>
      </c>
      <c r="P50" s="30" t="str">
        <f t="shared" si="11"/>
        <v/>
      </c>
      <c r="Q50" s="30" t="str">
        <f t="shared" si="12"/>
        <v/>
      </c>
      <c r="R50" s="34"/>
      <c r="S50" s="29" t="s">
        <v>38</v>
      </c>
      <c r="T50" s="30" t="str">
        <f t="shared" si="13"/>
        <v/>
      </c>
      <c r="U50" s="30" t="str">
        <f t="shared" si="14"/>
        <v/>
      </c>
      <c r="V50" s="34"/>
      <c r="W50" s="29" t="s">
        <v>38</v>
      </c>
      <c r="X50" s="30" t="str">
        <f t="shared" si="15"/>
        <v/>
      </c>
      <c r="Y50" s="30" t="str">
        <f t="shared" si="16"/>
        <v/>
      </c>
      <c r="Z50" s="38"/>
      <c r="AA50" s="29">
        <v>16567</v>
      </c>
      <c r="AB50" s="30">
        <f>IFERROR(AA50/($H50/100),"")</f>
        <v>15060.90909090909</v>
      </c>
      <c r="AC50" s="30" t="str">
        <f t="shared" si="17"/>
        <v/>
      </c>
      <c r="AD50" s="30" t="str">
        <f t="shared" si="18"/>
        <v/>
      </c>
      <c r="AE50" s="45" t="s">
        <v>227</v>
      </c>
      <c r="AF50" s="29" t="s">
        <v>38</v>
      </c>
      <c r="AG50" s="30" t="str">
        <f t="shared" si="19"/>
        <v/>
      </c>
      <c r="AH50" s="30" t="str">
        <f t="shared" si="20"/>
        <v/>
      </c>
      <c r="AI50" s="37" t="str">
        <f t="shared" si="21"/>
        <v/>
      </c>
      <c r="AJ50" s="36"/>
    </row>
    <row r="51" spans="1:36" ht="48" x14ac:dyDescent="0.2">
      <c r="A51" s="29" t="s">
        <v>39</v>
      </c>
      <c r="B51" s="29" t="s">
        <v>99</v>
      </c>
      <c r="C51" s="29" t="s">
        <v>40</v>
      </c>
      <c r="D51" s="29" t="s">
        <v>31</v>
      </c>
      <c r="E51" s="29" t="s">
        <v>119</v>
      </c>
      <c r="F51" s="29" t="s">
        <v>100</v>
      </c>
      <c r="G51" s="29" t="s">
        <v>228</v>
      </c>
      <c r="H51" s="29">
        <v>127.7</v>
      </c>
      <c r="I51" s="29" t="s">
        <v>186</v>
      </c>
      <c r="J51" s="29" t="s">
        <v>38</v>
      </c>
      <c r="K51" s="52">
        <v>6</v>
      </c>
      <c r="L51" s="52" t="s">
        <v>229</v>
      </c>
      <c r="M51" s="52">
        <v>320</v>
      </c>
      <c r="N51" s="29">
        <v>71</v>
      </c>
      <c r="O51" s="33">
        <f>101000*1.06</f>
        <v>107060</v>
      </c>
      <c r="P51" s="30">
        <f t="shared" si="11"/>
        <v>1507.8873239436621</v>
      </c>
      <c r="Q51" s="30">
        <f t="shared" si="12"/>
        <v>1180.8044823364619</v>
      </c>
      <c r="R51" s="34" t="s">
        <v>230</v>
      </c>
      <c r="S51" s="35">
        <v>101000</v>
      </c>
      <c r="T51" s="30">
        <f t="shared" si="13"/>
        <v>1422.5352112676057</v>
      </c>
      <c r="U51" s="30">
        <f t="shared" si="14"/>
        <v>1113.9664927702472</v>
      </c>
      <c r="V51" s="34" t="s">
        <v>231</v>
      </c>
      <c r="W51" s="29" t="s">
        <v>38</v>
      </c>
      <c r="X51" s="30" t="str">
        <f t="shared" si="15"/>
        <v/>
      </c>
      <c r="Y51" s="30" t="str">
        <f t="shared" si="16"/>
        <v/>
      </c>
      <c r="Z51" s="34"/>
      <c r="AA51" s="29" t="s">
        <v>38</v>
      </c>
      <c r="AB51" s="29"/>
      <c r="AC51" s="30" t="str">
        <f t="shared" si="17"/>
        <v/>
      </c>
      <c r="AD51" s="30" t="str">
        <f t="shared" si="18"/>
        <v/>
      </c>
      <c r="AE51" s="34"/>
      <c r="AF51" s="35">
        <f>8460*(101000/141000)</f>
        <v>6060</v>
      </c>
      <c r="AG51" s="30">
        <f t="shared" si="19"/>
        <v>85.352112676056336</v>
      </c>
      <c r="AH51" s="30">
        <f t="shared" si="20"/>
        <v>66.837989566214816</v>
      </c>
      <c r="AI51" s="37">
        <f t="shared" si="21"/>
        <v>0.06</v>
      </c>
      <c r="AJ51" s="36" t="s">
        <v>232</v>
      </c>
    </row>
    <row r="52" spans="1:36" ht="48" x14ac:dyDescent="0.2">
      <c r="A52" s="29" t="s">
        <v>39</v>
      </c>
      <c r="B52" s="29" t="s">
        <v>99</v>
      </c>
      <c r="C52" s="29" t="s">
        <v>40</v>
      </c>
      <c r="D52" s="29" t="s">
        <v>31</v>
      </c>
      <c r="E52" s="29" t="s">
        <v>121</v>
      </c>
      <c r="F52" s="29" t="s">
        <v>100</v>
      </c>
      <c r="G52" s="29" t="s">
        <v>228</v>
      </c>
      <c r="H52" s="29">
        <v>127.7</v>
      </c>
      <c r="I52" s="29" t="s">
        <v>186</v>
      </c>
      <c r="J52" s="29" t="s">
        <v>38</v>
      </c>
      <c r="K52" s="52">
        <v>6</v>
      </c>
      <c r="L52" s="52" t="s">
        <v>229</v>
      </c>
      <c r="M52" s="52">
        <v>320</v>
      </c>
      <c r="N52" s="29">
        <v>71</v>
      </c>
      <c r="O52" s="33">
        <v>149460</v>
      </c>
      <c r="P52" s="30">
        <f t="shared" si="11"/>
        <v>2105.0704225352115</v>
      </c>
      <c r="Q52" s="30">
        <f t="shared" si="12"/>
        <v>1648.4498218756548</v>
      </c>
      <c r="R52" s="34" t="s">
        <v>122</v>
      </c>
      <c r="S52" s="35">
        <v>101000</v>
      </c>
      <c r="T52" s="30">
        <f t="shared" si="13"/>
        <v>1422.5352112676057</v>
      </c>
      <c r="U52" s="30">
        <f t="shared" si="14"/>
        <v>1113.9664927702472</v>
      </c>
      <c r="V52" s="34" t="s">
        <v>231</v>
      </c>
      <c r="W52" s="29" t="s">
        <v>38</v>
      </c>
      <c r="X52" s="30" t="str">
        <f t="shared" si="15"/>
        <v/>
      </c>
      <c r="Y52" s="30" t="str">
        <f t="shared" si="16"/>
        <v/>
      </c>
      <c r="Z52" s="34"/>
      <c r="AA52" s="35">
        <v>40000</v>
      </c>
      <c r="AB52" s="30">
        <f>IFERROR(AA52/($H52/100),"")</f>
        <v>31323.414252153481</v>
      </c>
      <c r="AC52" s="30">
        <f t="shared" si="17"/>
        <v>563.38028169014081</v>
      </c>
      <c r="AD52" s="30">
        <f t="shared" si="18"/>
        <v>441.17484862188002</v>
      </c>
      <c r="AE52" s="34" t="s">
        <v>233</v>
      </c>
      <c r="AF52" s="35">
        <v>8460</v>
      </c>
      <c r="AG52" s="30">
        <f t="shared" si="19"/>
        <v>119.15492957746478</v>
      </c>
      <c r="AH52" s="30">
        <f t="shared" si="20"/>
        <v>93.308480483527617</v>
      </c>
      <c r="AI52" s="37">
        <f t="shared" si="21"/>
        <v>5.9999999999999984E-2</v>
      </c>
      <c r="AJ52" s="36" t="s">
        <v>232</v>
      </c>
    </row>
    <row r="53" spans="1:36" ht="32" x14ac:dyDescent="0.2">
      <c r="A53" s="21" t="s">
        <v>39</v>
      </c>
      <c r="B53" s="29" t="s">
        <v>99</v>
      </c>
      <c r="C53" s="29" t="s">
        <v>40</v>
      </c>
      <c r="D53" s="29" t="s">
        <v>54</v>
      </c>
      <c r="E53" s="29" t="s">
        <v>32</v>
      </c>
      <c r="F53" s="29" t="s">
        <v>100</v>
      </c>
      <c r="G53" s="29" t="s">
        <v>228</v>
      </c>
      <c r="H53" s="29">
        <v>127.7</v>
      </c>
      <c r="I53" s="29" t="s">
        <v>177</v>
      </c>
      <c r="J53" s="29" t="s">
        <v>38</v>
      </c>
      <c r="K53" s="52">
        <v>6</v>
      </c>
      <c r="L53" s="52">
        <v>4000</v>
      </c>
      <c r="M53" s="52">
        <v>65</v>
      </c>
      <c r="N53" s="29">
        <v>71</v>
      </c>
      <c r="O53" s="30">
        <v>152526</v>
      </c>
      <c r="P53" s="30">
        <f t="shared" si="11"/>
        <v>2148.2535211267605</v>
      </c>
      <c r="Q53" s="30">
        <f t="shared" si="12"/>
        <v>1682.2658740225218</v>
      </c>
      <c r="R53" s="34"/>
      <c r="S53" s="29">
        <f>98352</f>
        <v>98352</v>
      </c>
      <c r="T53" s="30">
        <f t="shared" si="13"/>
        <v>1385.2394366197184</v>
      </c>
      <c r="U53" s="30">
        <f t="shared" si="14"/>
        <v>1084.7607177914786</v>
      </c>
      <c r="V53" s="34" t="s">
        <v>234</v>
      </c>
      <c r="W53" s="29">
        <v>29340</v>
      </c>
      <c r="X53" s="30">
        <f t="shared" si="15"/>
        <v>413.23943661971833</v>
      </c>
      <c r="Y53" s="30">
        <f t="shared" si="16"/>
        <v>323.601751464149</v>
      </c>
      <c r="Z53" s="34" t="s">
        <v>235</v>
      </c>
      <c r="AA53" s="29">
        <v>16200</v>
      </c>
      <c r="AB53" s="29"/>
      <c r="AC53" s="30">
        <f t="shared" si="17"/>
        <v>228.16901408450704</v>
      </c>
      <c r="AD53" s="30">
        <f t="shared" si="18"/>
        <v>178.67581369186141</v>
      </c>
      <c r="AE53" s="34" t="s">
        <v>236</v>
      </c>
      <c r="AF53" s="29">
        <v>8634</v>
      </c>
      <c r="AG53" s="30">
        <f t="shared" si="19"/>
        <v>121.6056338028169</v>
      </c>
      <c r="AH53" s="30">
        <f t="shared" si="20"/>
        <v>95.227591075032805</v>
      </c>
      <c r="AI53" s="37">
        <f t="shared" si="21"/>
        <v>6.000333583520974E-2</v>
      </c>
      <c r="AJ53" s="36" t="s">
        <v>232</v>
      </c>
    </row>
    <row r="54" spans="1:36" ht="48" x14ac:dyDescent="0.2">
      <c r="A54" s="29" t="s">
        <v>39</v>
      </c>
      <c r="B54" s="29" t="s">
        <v>99</v>
      </c>
      <c r="C54" s="29" t="s">
        <v>40</v>
      </c>
      <c r="D54" s="29" t="s">
        <v>31</v>
      </c>
      <c r="E54" s="29" t="s">
        <v>32</v>
      </c>
      <c r="F54" s="29" t="s">
        <v>100</v>
      </c>
      <c r="G54" s="29" t="s">
        <v>228</v>
      </c>
      <c r="H54" s="29">
        <v>127.7</v>
      </c>
      <c r="I54" s="29" t="s">
        <v>133</v>
      </c>
      <c r="J54" s="29" t="s">
        <v>138</v>
      </c>
      <c r="K54" s="52">
        <v>6</v>
      </c>
      <c r="L54" s="52">
        <f>12*2*12000</f>
        <v>288000</v>
      </c>
      <c r="M54" s="52">
        <v>500</v>
      </c>
      <c r="N54" s="29">
        <v>71</v>
      </c>
      <c r="O54" s="33">
        <v>202460</v>
      </c>
      <c r="P54" s="30">
        <f t="shared" si="11"/>
        <v>2851.5492957746478</v>
      </c>
      <c r="Q54" s="30">
        <f t="shared" si="12"/>
        <v>2233.0064962996457</v>
      </c>
      <c r="R54" s="34"/>
      <c r="S54" s="35">
        <v>191000</v>
      </c>
      <c r="T54" s="30">
        <f t="shared" si="13"/>
        <v>2690.1408450704225</v>
      </c>
      <c r="U54" s="30">
        <f t="shared" si="14"/>
        <v>2106.6099021694772</v>
      </c>
      <c r="V54" s="34" t="s">
        <v>237</v>
      </c>
      <c r="W54" s="29" t="s">
        <v>38</v>
      </c>
      <c r="X54" s="30" t="str">
        <f t="shared" si="15"/>
        <v/>
      </c>
      <c r="Y54" s="30" t="str">
        <f t="shared" si="16"/>
        <v/>
      </c>
      <c r="Z54" s="34"/>
      <c r="AA54" s="29" t="s">
        <v>38</v>
      </c>
      <c r="AB54" s="29"/>
      <c r="AC54" s="30" t="str">
        <f t="shared" si="17"/>
        <v/>
      </c>
      <c r="AD54" s="30" t="str">
        <f t="shared" si="18"/>
        <v/>
      </c>
      <c r="AE54" s="34"/>
      <c r="AF54" s="35">
        <v>11460</v>
      </c>
      <c r="AG54" s="30">
        <f t="shared" si="19"/>
        <v>161.40845070422534</v>
      </c>
      <c r="AH54" s="30">
        <f t="shared" si="20"/>
        <v>126.39659413016862</v>
      </c>
      <c r="AI54" s="37">
        <f t="shared" si="21"/>
        <v>0.06</v>
      </c>
      <c r="AJ54" s="36" t="s">
        <v>232</v>
      </c>
    </row>
    <row r="55" spans="1:36" ht="48" x14ac:dyDescent="0.2">
      <c r="A55" s="29" t="s">
        <v>39</v>
      </c>
      <c r="B55" s="29" t="s">
        <v>99</v>
      </c>
      <c r="C55" s="29" t="s">
        <v>40</v>
      </c>
      <c r="D55" s="29" t="s">
        <v>31</v>
      </c>
      <c r="E55" s="29" t="s">
        <v>32</v>
      </c>
      <c r="F55" s="29" t="s">
        <v>100</v>
      </c>
      <c r="G55" s="29" t="s">
        <v>228</v>
      </c>
      <c r="H55" s="29">
        <v>127.7</v>
      </c>
      <c r="I55" s="29" t="s">
        <v>133</v>
      </c>
      <c r="J55" s="29" t="s">
        <v>138</v>
      </c>
      <c r="K55" s="52">
        <v>6</v>
      </c>
      <c r="L55" s="52">
        <f>15*12000</f>
        <v>180000</v>
      </c>
      <c r="M55" s="52">
        <v>1950</v>
      </c>
      <c r="N55" s="29">
        <v>71</v>
      </c>
      <c r="O55" s="30">
        <v>210940</v>
      </c>
      <c r="P55" s="30">
        <f t="shared" si="11"/>
        <v>2970.9859154929577</v>
      </c>
      <c r="Q55" s="30">
        <f t="shared" si="12"/>
        <v>2326.5355642074842</v>
      </c>
      <c r="R55" s="34"/>
      <c r="S55" s="35">
        <v>199000</v>
      </c>
      <c r="T55" s="30">
        <f t="shared" si="13"/>
        <v>2802.8169014084506</v>
      </c>
      <c r="U55" s="30">
        <f t="shared" si="14"/>
        <v>2194.844871893853</v>
      </c>
      <c r="V55" s="34" t="s">
        <v>237</v>
      </c>
      <c r="W55" s="29" t="s">
        <v>38</v>
      </c>
      <c r="X55" s="30" t="str">
        <f t="shared" si="15"/>
        <v/>
      </c>
      <c r="Y55" s="30" t="str">
        <f t="shared" si="16"/>
        <v/>
      </c>
      <c r="Z55" s="38" t="s">
        <v>238</v>
      </c>
      <c r="AA55" s="29" t="s">
        <v>38</v>
      </c>
      <c r="AB55" s="29"/>
      <c r="AC55" s="30" t="str">
        <f t="shared" si="17"/>
        <v/>
      </c>
      <c r="AD55" s="30" t="str">
        <f t="shared" si="18"/>
        <v/>
      </c>
      <c r="AE55" s="34"/>
      <c r="AF55" s="35">
        <v>11940</v>
      </c>
      <c r="AG55" s="30">
        <f t="shared" si="19"/>
        <v>168.16901408450704</v>
      </c>
      <c r="AH55" s="30">
        <f t="shared" si="20"/>
        <v>131.69069231363119</v>
      </c>
      <c r="AI55" s="37">
        <f t="shared" si="21"/>
        <v>6.0000000000000005E-2</v>
      </c>
      <c r="AJ55" s="36" t="s">
        <v>232</v>
      </c>
    </row>
    <row r="56" spans="1:36" ht="32" x14ac:dyDescent="0.2">
      <c r="A56" s="29" t="s">
        <v>39</v>
      </c>
      <c r="B56" s="29" t="s">
        <v>99</v>
      </c>
      <c r="C56" s="29" t="s">
        <v>40</v>
      </c>
      <c r="D56" s="29" t="s">
        <v>48</v>
      </c>
      <c r="E56" s="29" t="s">
        <v>32</v>
      </c>
      <c r="F56" s="29" t="s">
        <v>100</v>
      </c>
      <c r="G56" s="29" t="s">
        <v>228</v>
      </c>
      <c r="H56" s="29">
        <v>127.7</v>
      </c>
      <c r="I56" s="29" t="s">
        <v>177</v>
      </c>
      <c r="J56" s="29" t="s">
        <v>38</v>
      </c>
      <c r="K56" s="52">
        <v>6</v>
      </c>
      <c r="L56" s="52">
        <v>4000</v>
      </c>
      <c r="M56" s="52">
        <v>65</v>
      </c>
      <c r="N56" s="29">
        <v>71</v>
      </c>
      <c r="O56" s="33">
        <v>274925</v>
      </c>
      <c r="P56" s="30">
        <f t="shared" si="11"/>
        <v>3872.1830985915494</v>
      </c>
      <c r="Q56" s="30">
        <f t="shared" si="12"/>
        <v>3032.2498814342594</v>
      </c>
      <c r="R56" s="34"/>
      <c r="S56" s="40">
        <v>169548</v>
      </c>
      <c r="T56" s="30">
        <f t="shared" si="13"/>
        <v>2388</v>
      </c>
      <c r="U56" s="30">
        <f t="shared" si="14"/>
        <v>1870.0078308535628</v>
      </c>
      <c r="V56" s="38" t="s">
        <v>239</v>
      </c>
      <c r="W56" s="29">
        <v>57865</v>
      </c>
      <c r="X56" s="30">
        <f t="shared" si="15"/>
        <v>815</v>
      </c>
      <c r="Y56" s="30">
        <f t="shared" si="16"/>
        <v>638.2145653876272</v>
      </c>
      <c r="Z56" s="34" t="s">
        <v>235</v>
      </c>
      <c r="AA56" s="29">
        <v>31950</v>
      </c>
      <c r="AB56" s="29"/>
      <c r="AC56" s="30">
        <f t="shared" si="17"/>
        <v>450</v>
      </c>
      <c r="AD56" s="30">
        <f t="shared" si="18"/>
        <v>352.38841033672668</v>
      </c>
      <c r="AE56" s="38" t="s">
        <v>240</v>
      </c>
      <c r="AF56" s="35">
        <v>15562</v>
      </c>
      <c r="AG56" s="30">
        <f t="shared" si="19"/>
        <v>219.18309859154928</v>
      </c>
      <c r="AH56" s="30">
        <f t="shared" si="20"/>
        <v>171.6390748563424</v>
      </c>
      <c r="AI56" s="37">
        <f t="shared" si="21"/>
        <v>6.0000848232014577E-2</v>
      </c>
      <c r="AJ56" s="36" t="s">
        <v>232</v>
      </c>
    </row>
    <row r="57" spans="1:36" ht="48" x14ac:dyDescent="0.2">
      <c r="A57" s="29" t="s">
        <v>39</v>
      </c>
      <c r="B57" s="29" t="s">
        <v>99</v>
      </c>
      <c r="C57" s="29" t="s">
        <v>40</v>
      </c>
      <c r="D57" s="29" t="s">
        <v>31</v>
      </c>
      <c r="E57" s="29" t="s">
        <v>32</v>
      </c>
      <c r="F57" s="29" t="s">
        <v>100</v>
      </c>
      <c r="G57" s="29" t="s">
        <v>228</v>
      </c>
      <c r="H57" s="29">
        <v>127.7</v>
      </c>
      <c r="I57" s="29" t="s">
        <v>133</v>
      </c>
      <c r="J57" s="29" t="s">
        <v>138</v>
      </c>
      <c r="K57" s="52">
        <v>6</v>
      </c>
      <c r="L57" s="52">
        <f>15*2*12000</f>
        <v>360000</v>
      </c>
      <c r="M57" s="52">
        <v>1225</v>
      </c>
      <c r="N57" s="29">
        <v>71</v>
      </c>
      <c r="O57" s="33">
        <v>285140</v>
      </c>
      <c r="P57" s="30">
        <f t="shared" si="11"/>
        <v>4016.0563380281692</v>
      </c>
      <c r="Q57" s="30">
        <f t="shared" si="12"/>
        <v>3144.9149084010719</v>
      </c>
      <c r="R57" s="34"/>
      <c r="S57" s="35">
        <v>269000</v>
      </c>
      <c r="T57" s="30">
        <f t="shared" si="13"/>
        <v>3788.7323943661972</v>
      </c>
      <c r="U57" s="30">
        <f t="shared" si="14"/>
        <v>2966.9008569821431</v>
      </c>
      <c r="V57" s="34" t="s">
        <v>237</v>
      </c>
      <c r="W57" s="29" t="s">
        <v>38</v>
      </c>
      <c r="X57" s="30" t="str">
        <f t="shared" si="15"/>
        <v/>
      </c>
      <c r="Y57" s="30" t="str">
        <f t="shared" si="16"/>
        <v/>
      </c>
      <c r="Z57" s="34"/>
      <c r="AA57" s="29" t="s">
        <v>38</v>
      </c>
      <c r="AB57" s="29"/>
      <c r="AC57" s="30" t="str">
        <f t="shared" si="17"/>
        <v/>
      </c>
      <c r="AD57" s="30" t="str">
        <f t="shared" si="18"/>
        <v/>
      </c>
      <c r="AE57" s="34"/>
      <c r="AF57" s="35">
        <v>16140</v>
      </c>
      <c r="AG57" s="30">
        <f t="shared" si="19"/>
        <v>227.32394366197184</v>
      </c>
      <c r="AH57" s="30">
        <f t="shared" si="20"/>
        <v>178.0140514189286</v>
      </c>
      <c r="AI57" s="37">
        <f t="shared" si="21"/>
        <v>0.06</v>
      </c>
      <c r="AJ57" s="36" t="s">
        <v>232</v>
      </c>
    </row>
    <row r="58" spans="1:36" ht="80" x14ac:dyDescent="0.2">
      <c r="A58" s="42" t="s">
        <v>241</v>
      </c>
      <c r="B58" s="29" t="s">
        <v>126</v>
      </c>
      <c r="C58" s="29" t="s">
        <v>38</v>
      </c>
      <c r="D58" s="29" t="s">
        <v>31</v>
      </c>
      <c r="E58" s="29" t="s">
        <v>45</v>
      </c>
      <c r="F58" s="29" t="s">
        <v>100</v>
      </c>
      <c r="G58" s="29" t="s">
        <v>106</v>
      </c>
      <c r="H58" s="29">
        <v>100</v>
      </c>
      <c r="I58" s="29" t="s">
        <v>38</v>
      </c>
      <c r="J58" s="29" t="s">
        <v>38</v>
      </c>
      <c r="K58" s="52" t="s">
        <v>141</v>
      </c>
      <c r="L58" s="52" t="s">
        <v>141</v>
      </c>
      <c r="M58" s="52" t="s">
        <v>141</v>
      </c>
      <c r="N58" s="42">
        <v>167</v>
      </c>
      <c r="O58" s="33" t="s">
        <v>38</v>
      </c>
      <c r="P58" s="30" t="str">
        <f t="shared" si="11"/>
        <v/>
      </c>
      <c r="Q58" s="30" t="str">
        <f t="shared" si="12"/>
        <v/>
      </c>
      <c r="R58" s="34"/>
      <c r="S58" s="43">
        <v>19900</v>
      </c>
      <c r="T58" s="30">
        <f t="shared" si="13"/>
        <v>119.16167664670658</v>
      </c>
      <c r="U58" s="30">
        <f t="shared" si="14"/>
        <v>119.16167664670658</v>
      </c>
      <c r="V58" s="38" t="s">
        <v>242</v>
      </c>
      <c r="W58" s="33" t="s">
        <v>38</v>
      </c>
      <c r="X58" s="30" t="str">
        <f t="shared" si="15"/>
        <v/>
      </c>
      <c r="Y58" s="30" t="str">
        <f t="shared" si="16"/>
        <v/>
      </c>
      <c r="Z58" s="34"/>
      <c r="AA58" s="33" t="s">
        <v>38</v>
      </c>
      <c r="AB58" s="33"/>
      <c r="AC58" s="30" t="str">
        <f t="shared" si="17"/>
        <v/>
      </c>
      <c r="AD58" s="30" t="str">
        <f t="shared" si="18"/>
        <v/>
      </c>
      <c r="AE58" s="38"/>
      <c r="AF58" s="35" t="s">
        <v>38</v>
      </c>
      <c r="AG58" s="30" t="str">
        <f t="shared" si="19"/>
        <v/>
      </c>
      <c r="AH58" s="30" t="str">
        <f t="shared" si="20"/>
        <v/>
      </c>
      <c r="AI58" s="37" t="str">
        <f t="shared" si="21"/>
        <v/>
      </c>
      <c r="AJ58" s="44"/>
    </row>
    <row r="59" spans="1:36" ht="80" x14ac:dyDescent="0.2">
      <c r="A59" s="42" t="s">
        <v>241</v>
      </c>
      <c r="B59" s="29" t="s">
        <v>126</v>
      </c>
      <c r="C59" s="29" t="s">
        <v>38</v>
      </c>
      <c r="D59" s="29" t="s">
        <v>31</v>
      </c>
      <c r="E59" s="29" t="s">
        <v>45</v>
      </c>
      <c r="F59" s="29" t="s">
        <v>100</v>
      </c>
      <c r="G59" s="29" t="s">
        <v>106</v>
      </c>
      <c r="H59" s="29">
        <v>100</v>
      </c>
      <c r="I59" s="29" t="s">
        <v>38</v>
      </c>
      <c r="J59" s="29" t="s">
        <v>38</v>
      </c>
      <c r="K59" s="52" t="s">
        <v>141</v>
      </c>
      <c r="L59" s="52" t="s">
        <v>141</v>
      </c>
      <c r="M59" s="52" t="s">
        <v>141</v>
      </c>
      <c r="N59" s="42">
        <v>87</v>
      </c>
      <c r="O59" s="33" t="s">
        <v>38</v>
      </c>
      <c r="P59" s="30" t="str">
        <f t="shared" si="11"/>
        <v/>
      </c>
      <c r="Q59" s="30" t="str">
        <f t="shared" si="12"/>
        <v/>
      </c>
      <c r="R59" s="34"/>
      <c r="S59" s="43">
        <v>12000</v>
      </c>
      <c r="T59" s="30">
        <f t="shared" si="13"/>
        <v>137.93103448275863</v>
      </c>
      <c r="U59" s="30">
        <f t="shared" si="14"/>
        <v>137.93103448275863</v>
      </c>
      <c r="V59" s="38" t="s">
        <v>243</v>
      </c>
      <c r="W59" s="33" t="s">
        <v>38</v>
      </c>
      <c r="X59" s="30" t="str">
        <f t="shared" si="15"/>
        <v/>
      </c>
      <c r="Y59" s="30" t="str">
        <f t="shared" si="16"/>
        <v/>
      </c>
      <c r="Z59" s="34"/>
      <c r="AA59" s="33" t="s">
        <v>38</v>
      </c>
      <c r="AB59" s="33"/>
      <c r="AC59" s="30" t="str">
        <f t="shared" si="17"/>
        <v/>
      </c>
      <c r="AD59" s="30" t="str">
        <f t="shared" si="18"/>
        <v/>
      </c>
      <c r="AE59" s="38"/>
      <c r="AF59" s="35" t="s">
        <v>38</v>
      </c>
      <c r="AG59" s="30" t="str">
        <f t="shared" si="19"/>
        <v/>
      </c>
      <c r="AH59" s="30" t="str">
        <f t="shared" si="20"/>
        <v/>
      </c>
      <c r="AI59" s="37" t="str">
        <f t="shared" si="21"/>
        <v/>
      </c>
      <c r="AJ59" s="44"/>
    </row>
    <row r="60" spans="1:36" ht="64" x14ac:dyDescent="0.2">
      <c r="A60" s="42" t="s">
        <v>241</v>
      </c>
      <c r="B60" s="29" t="s">
        <v>126</v>
      </c>
      <c r="C60" s="29" t="s">
        <v>38</v>
      </c>
      <c r="D60" s="29" t="s">
        <v>31</v>
      </c>
      <c r="E60" s="29" t="s">
        <v>45</v>
      </c>
      <c r="F60" s="29" t="s">
        <v>100</v>
      </c>
      <c r="G60" s="29" t="s">
        <v>106</v>
      </c>
      <c r="H60" s="29">
        <v>100</v>
      </c>
      <c r="I60" s="29" t="s">
        <v>38</v>
      </c>
      <c r="J60" s="29" t="s">
        <v>38</v>
      </c>
      <c r="K60" s="52" t="s">
        <v>141</v>
      </c>
      <c r="L60" s="52" t="s">
        <v>141</v>
      </c>
      <c r="M60" s="52" t="s">
        <v>141</v>
      </c>
      <c r="N60" s="42">
        <v>25</v>
      </c>
      <c r="O60" s="33" t="s">
        <v>38</v>
      </c>
      <c r="P60" s="30" t="str">
        <f t="shared" si="11"/>
        <v/>
      </c>
      <c r="Q60" s="30" t="str">
        <f t="shared" si="12"/>
        <v/>
      </c>
      <c r="R60" s="34"/>
      <c r="S60" s="43">
        <v>3850</v>
      </c>
      <c r="T60" s="30">
        <f t="shared" si="13"/>
        <v>154</v>
      </c>
      <c r="U60" s="30">
        <f t="shared" si="14"/>
        <v>154</v>
      </c>
      <c r="V60" s="38" t="s">
        <v>244</v>
      </c>
      <c r="W60" s="33" t="s">
        <v>38</v>
      </c>
      <c r="X60" s="30" t="str">
        <f t="shared" si="15"/>
        <v/>
      </c>
      <c r="Y60" s="30" t="str">
        <f t="shared" si="16"/>
        <v/>
      </c>
      <c r="Z60" s="34"/>
      <c r="AA60" s="33" t="s">
        <v>38</v>
      </c>
      <c r="AB60" s="33"/>
      <c r="AC60" s="30" t="str">
        <f t="shared" si="17"/>
        <v/>
      </c>
      <c r="AD60" s="30" t="str">
        <f t="shared" si="18"/>
        <v/>
      </c>
      <c r="AE60" s="38"/>
      <c r="AF60" s="35" t="s">
        <v>38</v>
      </c>
      <c r="AG60" s="30" t="str">
        <f t="shared" si="19"/>
        <v/>
      </c>
      <c r="AH60" s="30" t="str">
        <f t="shared" si="20"/>
        <v/>
      </c>
      <c r="AI60" s="37" t="str">
        <f t="shared" si="21"/>
        <v/>
      </c>
      <c r="AJ60" s="44"/>
    </row>
    <row r="61" spans="1:36" ht="80" x14ac:dyDescent="0.2">
      <c r="A61" s="42" t="s">
        <v>241</v>
      </c>
      <c r="B61" s="29" t="s">
        <v>126</v>
      </c>
      <c r="C61" s="29" t="s">
        <v>38</v>
      </c>
      <c r="D61" s="29" t="s">
        <v>31</v>
      </c>
      <c r="E61" s="29" t="s">
        <v>45</v>
      </c>
      <c r="F61" s="29" t="s">
        <v>100</v>
      </c>
      <c r="G61" s="29" t="s">
        <v>106</v>
      </c>
      <c r="H61" s="29">
        <v>100</v>
      </c>
      <c r="I61" s="29" t="s">
        <v>38</v>
      </c>
      <c r="J61" s="29" t="s">
        <v>38</v>
      </c>
      <c r="K61" s="52" t="s">
        <v>141</v>
      </c>
      <c r="L61" s="52" t="s">
        <v>141</v>
      </c>
      <c r="M61" s="52" t="s">
        <v>141</v>
      </c>
      <c r="N61" s="42">
        <v>67</v>
      </c>
      <c r="O61" s="33" t="s">
        <v>38</v>
      </c>
      <c r="P61" s="30" t="str">
        <f t="shared" si="11"/>
        <v/>
      </c>
      <c r="Q61" s="30" t="str">
        <f t="shared" si="12"/>
        <v/>
      </c>
      <c r="R61" s="34"/>
      <c r="S61" s="43">
        <v>10800</v>
      </c>
      <c r="T61" s="30">
        <f t="shared" si="13"/>
        <v>161.19402985074626</v>
      </c>
      <c r="U61" s="30">
        <f t="shared" si="14"/>
        <v>161.19402985074626</v>
      </c>
      <c r="V61" s="38" t="s">
        <v>245</v>
      </c>
      <c r="W61" s="33" t="s">
        <v>38</v>
      </c>
      <c r="X61" s="30" t="str">
        <f t="shared" si="15"/>
        <v/>
      </c>
      <c r="Y61" s="30" t="str">
        <f t="shared" si="16"/>
        <v/>
      </c>
      <c r="Z61" s="34"/>
      <c r="AA61" s="33" t="s">
        <v>38</v>
      </c>
      <c r="AB61" s="33"/>
      <c r="AC61" s="30" t="str">
        <f t="shared" si="17"/>
        <v/>
      </c>
      <c r="AD61" s="30" t="str">
        <f t="shared" si="18"/>
        <v/>
      </c>
      <c r="AE61" s="38"/>
      <c r="AF61" s="35" t="s">
        <v>38</v>
      </c>
      <c r="AG61" s="30" t="str">
        <f t="shared" si="19"/>
        <v/>
      </c>
      <c r="AH61" s="30" t="str">
        <f t="shared" si="20"/>
        <v/>
      </c>
      <c r="AI61" s="37" t="str">
        <f t="shared" si="21"/>
        <v/>
      </c>
      <c r="AJ61" s="44"/>
    </row>
    <row r="62" spans="1:36" ht="80" x14ac:dyDescent="0.2">
      <c r="A62" s="42" t="s">
        <v>241</v>
      </c>
      <c r="B62" s="29" t="s">
        <v>126</v>
      </c>
      <c r="C62" s="29" t="s">
        <v>38</v>
      </c>
      <c r="D62" s="29" t="s">
        <v>31</v>
      </c>
      <c r="E62" s="29" t="s">
        <v>45</v>
      </c>
      <c r="F62" s="29" t="s">
        <v>100</v>
      </c>
      <c r="G62" s="29" t="s">
        <v>106</v>
      </c>
      <c r="H62" s="29">
        <v>100</v>
      </c>
      <c r="I62" s="29" t="s">
        <v>38</v>
      </c>
      <c r="J62" s="29" t="s">
        <v>38</v>
      </c>
      <c r="K62" s="52" t="s">
        <v>141</v>
      </c>
      <c r="L62" s="52" t="s">
        <v>141</v>
      </c>
      <c r="M62" s="52" t="s">
        <v>141</v>
      </c>
      <c r="N62" s="42">
        <v>52</v>
      </c>
      <c r="O62" s="33" t="s">
        <v>38</v>
      </c>
      <c r="P62" s="30" t="str">
        <f t="shared" si="11"/>
        <v/>
      </c>
      <c r="Q62" s="30" t="str">
        <f t="shared" si="12"/>
        <v/>
      </c>
      <c r="R62" s="34"/>
      <c r="S62" s="43">
        <v>10300</v>
      </c>
      <c r="T62" s="30">
        <f t="shared" si="13"/>
        <v>198.07692307692307</v>
      </c>
      <c r="U62" s="30">
        <f t="shared" si="14"/>
        <v>198.07692307692307</v>
      </c>
      <c r="V62" s="38" t="s">
        <v>246</v>
      </c>
      <c r="W62" s="33" t="s">
        <v>38</v>
      </c>
      <c r="X62" s="30" t="str">
        <f t="shared" si="15"/>
        <v/>
      </c>
      <c r="Y62" s="30" t="str">
        <f t="shared" si="16"/>
        <v/>
      </c>
      <c r="Z62" s="34"/>
      <c r="AA62" s="33" t="s">
        <v>38</v>
      </c>
      <c r="AB62" s="33"/>
      <c r="AC62" s="30" t="str">
        <f t="shared" si="17"/>
        <v/>
      </c>
      <c r="AD62" s="30" t="str">
        <f t="shared" si="18"/>
        <v/>
      </c>
      <c r="AE62" s="38"/>
      <c r="AF62" s="35" t="s">
        <v>38</v>
      </c>
      <c r="AG62" s="30" t="str">
        <f t="shared" si="19"/>
        <v/>
      </c>
      <c r="AH62" s="30" t="str">
        <f t="shared" si="20"/>
        <v/>
      </c>
      <c r="AI62" s="37" t="str">
        <f t="shared" si="21"/>
        <v/>
      </c>
      <c r="AJ62" s="44"/>
    </row>
    <row r="63" spans="1:36" ht="80" x14ac:dyDescent="0.2">
      <c r="A63" s="42" t="s">
        <v>241</v>
      </c>
      <c r="B63" s="29" t="s">
        <v>126</v>
      </c>
      <c r="C63" s="29" t="s">
        <v>38</v>
      </c>
      <c r="D63" s="29" t="s">
        <v>31</v>
      </c>
      <c r="E63" s="29" t="s">
        <v>45</v>
      </c>
      <c r="F63" s="29" t="s">
        <v>100</v>
      </c>
      <c r="G63" s="29" t="s">
        <v>106</v>
      </c>
      <c r="H63" s="29">
        <v>100</v>
      </c>
      <c r="I63" s="29" t="s">
        <v>38</v>
      </c>
      <c r="J63" s="29" t="s">
        <v>38</v>
      </c>
      <c r="K63" s="52" t="s">
        <v>141</v>
      </c>
      <c r="L63" s="52" t="s">
        <v>141</v>
      </c>
      <c r="M63" s="52" t="s">
        <v>141</v>
      </c>
      <c r="N63" s="42">
        <v>40</v>
      </c>
      <c r="O63" s="33" t="s">
        <v>38</v>
      </c>
      <c r="P63" s="30" t="str">
        <f t="shared" si="11"/>
        <v/>
      </c>
      <c r="Q63" s="30" t="str">
        <f t="shared" si="12"/>
        <v/>
      </c>
      <c r="R63" s="34"/>
      <c r="S63" s="43">
        <v>7975</v>
      </c>
      <c r="T63" s="30">
        <f t="shared" si="13"/>
        <v>199.375</v>
      </c>
      <c r="U63" s="30">
        <f t="shared" si="14"/>
        <v>199.375</v>
      </c>
      <c r="V63" s="38" t="s">
        <v>247</v>
      </c>
      <c r="W63" s="33" t="s">
        <v>38</v>
      </c>
      <c r="X63" s="30" t="str">
        <f t="shared" si="15"/>
        <v/>
      </c>
      <c r="Y63" s="30" t="str">
        <f t="shared" si="16"/>
        <v/>
      </c>
      <c r="Z63" s="34"/>
      <c r="AA63" s="33" t="s">
        <v>38</v>
      </c>
      <c r="AB63" s="33"/>
      <c r="AC63" s="30" t="str">
        <f t="shared" si="17"/>
        <v/>
      </c>
      <c r="AD63" s="30" t="str">
        <f t="shared" si="18"/>
        <v/>
      </c>
      <c r="AE63" s="38"/>
      <c r="AF63" s="35" t="s">
        <v>38</v>
      </c>
      <c r="AG63" s="30" t="str">
        <f t="shared" si="19"/>
        <v/>
      </c>
      <c r="AH63" s="30" t="str">
        <f t="shared" si="20"/>
        <v/>
      </c>
      <c r="AI63" s="37" t="str">
        <f t="shared" si="21"/>
        <v/>
      </c>
      <c r="AJ63" s="44"/>
    </row>
    <row r="64" spans="1:36" ht="64" x14ac:dyDescent="0.2">
      <c r="A64" s="42" t="s">
        <v>241</v>
      </c>
      <c r="B64" s="29" t="s">
        <v>126</v>
      </c>
      <c r="C64" s="29" t="s">
        <v>38</v>
      </c>
      <c r="D64" s="29" t="s">
        <v>31</v>
      </c>
      <c r="E64" s="29" t="s">
        <v>45</v>
      </c>
      <c r="F64" s="29" t="s">
        <v>100</v>
      </c>
      <c r="G64" s="29" t="s">
        <v>106</v>
      </c>
      <c r="H64" s="29">
        <v>100</v>
      </c>
      <c r="I64" s="29" t="s">
        <v>38</v>
      </c>
      <c r="J64" s="29" t="s">
        <v>38</v>
      </c>
      <c r="K64" s="52" t="s">
        <v>141</v>
      </c>
      <c r="L64" s="52" t="s">
        <v>141</v>
      </c>
      <c r="M64" s="52" t="s">
        <v>141</v>
      </c>
      <c r="N64" s="42">
        <v>33</v>
      </c>
      <c r="O64" s="33" t="s">
        <v>38</v>
      </c>
      <c r="P64" s="30" t="str">
        <f t="shared" si="11"/>
        <v/>
      </c>
      <c r="Q64" s="30" t="str">
        <f t="shared" si="12"/>
        <v/>
      </c>
      <c r="R64" s="34"/>
      <c r="S64" s="43">
        <v>7750</v>
      </c>
      <c r="T64" s="30">
        <f t="shared" si="13"/>
        <v>234.84848484848484</v>
      </c>
      <c r="U64" s="30">
        <f t="shared" si="14"/>
        <v>234.84848484848484</v>
      </c>
      <c r="V64" s="38" t="s">
        <v>248</v>
      </c>
      <c r="W64" s="33" t="s">
        <v>38</v>
      </c>
      <c r="X64" s="30" t="str">
        <f t="shared" si="15"/>
        <v/>
      </c>
      <c r="Y64" s="30" t="str">
        <f t="shared" si="16"/>
        <v/>
      </c>
      <c r="Z64" s="34"/>
      <c r="AA64" s="33" t="s">
        <v>38</v>
      </c>
      <c r="AB64" s="33"/>
      <c r="AC64" s="30" t="str">
        <f t="shared" si="17"/>
        <v/>
      </c>
      <c r="AD64" s="30" t="str">
        <f t="shared" si="18"/>
        <v/>
      </c>
      <c r="AE64" s="38"/>
      <c r="AF64" s="35" t="s">
        <v>38</v>
      </c>
      <c r="AG64" s="30" t="str">
        <f t="shared" si="19"/>
        <v/>
      </c>
      <c r="AH64" s="30" t="str">
        <f t="shared" si="20"/>
        <v/>
      </c>
      <c r="AI64" s="37" t="str">
        <f t="shared" si="21"/>
        <v/>
      </c>
      <c r="AJ64" s="44"/>
    </row>
    <row r="65" spans="1:36" ht="16" x14ac:dyDescent="0.2">
      <c r="A65" s="29" t="s">
        <v>241</v>
      </c>
      <c r="B65" s="29" t="s">
        <v>126</v>
      </c>
      <c r="C65" s="29" t="s">
        <v>38</v>
      </c>
      <c r="D65" s="29" t="s">
        <v>48</v>
      </c>
      <c r="E65" s="29" t="s">
        <v>32</v>
      </c>
      <c r="F65" s="29" t="s">
        <v>100</v>
      </c>
      <c r="G65" s="29" t="s">
        <v>106</v>
      </c>
      <c r="H65" s="29">
        <v>100</v>
      </c>
      <c r="I65" s="29" t="s">
        <v>38</v>
      </c>
      <c r="J65" s="29" t="s">
        <v>38</v>
      </c>
      <c r="K65" s="52" t="s">
        <v>141</v>
      </c>
      <c r="L65" s="52" t="s">
        <v>141</v>
      </c>
      <c r="M65" s="52" t="s">
        <v>141</v>
      </c>
      <c r="N65" s="29">
        <v>1</v>
      </c>
      <c r="O65" s="29" t="s">
        <v>38</v>
      </c>
      <c r="P65" s="30" t="str">
        <f t="shared" si="11"/>
        <v/>
      </c>
      <c r="Q65" s="30" t="str">
        <f t="shared" si="12"/>
        <v/>
      </c>
      <c r="R65" s="34"/>
      <c r="S65" s="29" t="s">
        <v>38</v>
      </c>
      <c r="T65" s="30" t="str">
        <f t="shared" si="13"/>
        <v/>
      </c>
      <c r="U65" s="30" t="str">
        <f t="shared" si="14"/>
        <v/>
      </c>
      <c r="V65" s="34"/>
      <c r="W65" s="29" t="s">
        <v>38</v>
      </c>
      <c r="X65" s="30" t="str">
        <f t="shared" si="15"/>
        <v/>
      </c>
      <c r="Y65" s="30" t="str">
        <f t="shared" si="16"/>
        <v/>
      </c>
      <c r="Z65" s="38"/>
      <c r="AA65" s="29">
        <v>124.5</v>
      </c>
      <c r="AB65" s="29"/>
      <c r="AC65" s="30">
        <f t="shared" si="17"/>
        <v>124.5</v>
      </c>
      <c r="AD65" s="30">
        <f t="shared" si="18"/>
        <v>124.5</v>
      </c>
      <c r="AE65" s="34" t="s">
        <v>249</v>
      </c>
      <c r="AF65" s="35" t="s">
        <v>142</v>
      </c>
      <c r="AG65" s="30" t="str">
        <f t="shared" si="19"/>
        <v/>
      </c>
      <c r="AH65" s="30" t="str">
        <f t="shared" si="20"/>
        <v/>
      </c>
      <c r="AI65" s="37" t="str">
        <f t="shared" si="21"/>
        <v/>
      </c>
      <c r="AJ65" s="36" t="s">
        <v>250</v>
      </c>
    </row>
    <row r="66" spans="1:36" ht="32" x14ac:dyDescent="0.2">
      <c r="A66" s="42" t="s">
        <v>241</v>
      </c>
      <c r="B66" s="29" t="s">
        <v>126</v>
      </c>
      <c r="C66" s="29" t="s">
        <v>38</v>
      </c>
      <c r="D66" s="29" t="s">
        <v>48</v>
      </c>
      <c r="E66" s="29" t="s">
        <v>45</v>
      </c>
      <c r="F66" s="29" t="s">
        <v>100</v>
      </c>
      <c r="G66" s="29" t="s">
        <v>106</v>
      </c>
      <c r="H66" s="29">
        <v>100</v>
      </c>
      <c r="I66" s="29" t="s">
        <v>38</v>
      </c>
      <c r="J66" s="29" t="s">
        <v>38</v>
      </c>
      <c r="K66" s="52" t="s">
        <v>141</v>
      </c>
      <c r="L66" s="52" t="s">
        <v>141</v>
      </c>
      <c r="M66" s="52" t="s">
        <v>141</v>
      </c>
      <c r="N66" s="42">
        <v>1</v>
      </c>
      <c r="O66" s="33" t="s">
        <v>38</v>
      </c>
      <c r="P66" s="30" t="str">
        <f t="shared" si="11"/>
        <v/>
      </c>
      <c r="Q66" s="30" t="str">
        <f t="shared" ref="Q66:Q79" si="22">IFERROR(P66/($H66/100),"")</f>
        <v/>
      </c>
      <c r="R66" s="34"/>
      <c r="S66" s="43">
        <v>1946</v>
      </c>
      <c r="T66" s="30">
        <f t="shared" ref="T66:T79" si="23">IFERROR(S66/$N66,"")</f>
        <v>1946</v>
      </c>
      <c r="U66" s="30">
        <f t="shared" ref="U66:U79" si="24">IFERROR(T66/($H66/100),"")</f>
        <v>1946</v>
      </c>
      <c r="V66" s="38" t="s">
        <v>251</v>
      </c>
      <c r="W66" s="33" t="s">
        <v>38</v>
      </c>
      <c r="X66" s="30" t="str">
        <f t="shared" ref="X66:X79" si="25">IFERROR(W66/$N66,"")</f>
        <v/>
      </c>
      <c r="Y66" s="30" t="str">
        <f t="shared" ref="Y66:Y79" si="26">IFERROR(X66/($H66/100),"")</f>
        <v/>
      </c>
      <c r="Z66" s="34"/>
      <c r="AA66" s="33" t="s">
        <v>38</v>
      </c>
      <c r="AB66" s="33"/>
      <c r="AC66" s="30" t="str">
        <f t="shared" ref="AC66:AC79" si="27">IFERROR(AA66/$N66,"")</f>
        <v/>
      </c>
      <c r="AD66" s="30" t="str">
        <f t="shared" ref="AD66:AD79" si="28">IFERROR(AC66/($H66/100),"")</f>
        <v/>
      </c>
      <c r="AE66" s="38"/>
      <c r="AF66" s="35" t="s">
        <v>38</v>
      </c>
      <c r="AG66" s="30" t="str">
        <f t="shared" ref="AG66:AG75" si="29">IFERROR(AF66/$N66,"")</f>
        <v/>
      </c>
      <c r="AH66" s="30" t="str">
        <f t="shared" ref="AH66:AH79" si="30">IFERROR(AG66/($H66/100),"")</f>
        <v/>
      </c>
      <c r="AI66" s="37" t="str">
        <f t="shared" si="21"/>
        <v/>
      </c>
      <c r="AJ66" s="44"/>
    </row>
    <row r="67" spans="1:36" ht="32" x14ac:dyDescent="0.2">
      <c r="A67" s="42" t="s">
        <v>252</v>
      </c>
      <c r="B67" s="29" t="s">
        <v>105</v>
      </c>
      <c r="C67" s="29" t="s">
        <v>38</v>
      </c>
      <c r="D67" s="29" t="s">
        <v>31</v>
      </c>
      <c r="E67" s="29" t="s">
        <v>32</v>
      </c>
      <c r="F67" s="29" t="s">
        <v>100</v>
      </c>
      <c r="G67" s="29" t="s">
        <v>106</v>
      </c>
      <c r="H67" s="29">
        <v>100</v>
      </c>
      <c r="I67" s="29" t="s">
        <v>253</v>
      </c>
      <c r="J67" s="29" t="s">
        <v>254</v>
      </c>
      <c r="K67" s="52" t="s">
        <v>141</v>
      </c>
      <c r="L67" s="52" t="s">
        <v>141</v>
      </c>
      <c r="M67" s="52" t="s">
        <v>141</v>
      </c>
      <c r="N67" s="33" t="s">
        <v>38</v>
      </c>
      <c r="O67" s="33" t="s">
        <v>38</v>
      </c>
      <c r="P67" s="30" t="str">
        <f t="shared" si="11"/>
        <v/>
      </c>
      <c r="Q67" s="30" t="str">
        <f t="shared" si="22"/>
        <v/>
      </c>
      <c r="R67" s="34"/>
      <c r="S67" s="43">
        <f>29000*1.05</f>
        <v>30450</v>
      </c>
      <c r="T67" s="30" t="str">
        <f t="shared" si="23"/>
        <v/>
      </c>
      <c r="U67" s="30" t="str">
        <f t="shared" si="24"/>
        <v/>
      </c>
      <c r="V67" s="38" t="s">
        <v>255</v>
      </c>
      <c r="W67" s="33" t="s">
        <v>38</v>
      </c>
      <c r="X67" s="30" t="str">
        <f t="shared" si="25"/>
        <v/>
      </c>
      <c r="Y67" s="30" t="str">
        <f t="shared" si="26"/>
        <v/>
      </c>
      <c r="Z67" s="34"/>
      <c r="AA67" s="33" t="s">
        <v>38</v>
      </c>
      <c r="AB67" s="33"/>
      <c r="AC67" s="30" t="str">
        <f t="shared" si="27"/>
        <v/>
      </c>
      <c r="AD67" s="30" t="str">
        <f t="shared" si="28"/>
        <v/>
      </c>
      <c r="AE67" s="38"/>
      <c r="AF67" s="35" t="s">
        <v>38</v>
      </c>
      <c r="AG67" s="30" t="str">
        <f t="shared" si="29"/>
        <v/>
      </c>
      <c r="AH67" s="30" t="str">
        <f t="shared" si="30"/>
        <v/>
      </c>
      <c r="AI67" s="37" t="str">
        <f t="shared" si="21"/>
        <v/>
      </c>
      <c r="AJ67" s="44"/>
    </row>
    <row r="68" spans="1:36" ht="32" x14ac:dyDescent="0.2">
      <c r="A68" s="42" t="s">
        <v>252</v>
      </c>
      <c r="B68" s="29" t="s">
        <v>105</v>
      </c>
      <c r="C68" s="29" t="s">
        <v>38</v>
      </c>
      <c r="D68" s="29" t="s">
        <v>31</v>
      </c>
      <c r="E68" s="29" t="s">
        <v>32</v>
      </c>
      <c r="F68" s="29" t="s">
        <v>100</v>
      </c>
      <c r="G68" s="29" t="s">
        <v>106</v>
      </c>
      <c r="H68" s="29">
        <v>100</v>
      </c>
      <c r="I68" s="29" t="s">
        <v>253</v>
      </c>
      <c r="J68" s="29" t="s">
        <v>256</v>
      </c>
      <c r="K68" s="52" t="s">
        <v>141</v>
      </c>
      <c r="L68" s="52" t="s">
        <v>141</v>
      </c>
      <c r="M68" s="52" t="s">
        <v>141</v>
      </c>
      <c r="N68" s="33" t="s">
        <v>38</v>
      </c>
      <c r="O68" s="33" t="s">
        <v>38</v>
      </c>
      <c r="P68" s="30" t="str">
        <f t="shared" si="11"/>
        <v/>
      </c>
      <c r="Q68" s="30" t="str">
        <f t="shared" si="22"/>
        <v/>
      </c>
      <c r="R68" s="34"/>
      <c r="S68" s="43">
        <f>36000*1.05</f>
        <v>37800</v>
      </c>
      <c r="T68" s="30" t="str">
        <f t="shared" si="23"/>
        <v/>
      </c>
      <c r="U68" s="30" t="str">
        <f t="shared" si="24"/>
        <v/>
      </c>
      <c r="V68" s="38" t="s">
        <v>255</v>
      </c>
      <c r="W68" s="33" t="s">
        <v>38</v>
      </c>
      <c r="X68" s="30" t="str">
        <f t="shared" si="25"/>
        <v/>
      </c>
      <c r="Y68" s="30" t="str">
        <f t="shared" si="26"/>
        <v/>
      </c>
      <c r="Z68" s="34"/>
      <c r="AA68" s="33" t="s">
        <v>38</v>
      </c>
      <c r="AB68" s="33"/>
      <c r="AC68" s="30" t="str">
        <f t="shared" si="27"/>
        <v/>
      </c>
      <c r="AD68" s="30" t="str">
        <f t="shared" si="28"/>
        <v/>
      </c>
      <c r="AE68" s="38"/>
      <c r="AF68" s="35" t="s">
        <v>38</v>
      </c>
      <c r="AG68" s="30" t="str">
        <f t="shared" si="29"/>
        <v/>
      </c>
      <c r="AH68" s="30" t="str">
        <f t="shared" si="30"/>
        <v/>
      </c>
      <c r="AI68" s="37" t="str">
        <f t="shared" si="21"/>
        <v/>
      </c>
      <c r="AJ68" s="44"/>
    </row>
    <row r="69" spans="1:36" ht="32" x14ac:dyDescent="0.2">
      <c r="A69" s="42" t="s">
        <v>252</v>
      </c>
      <c r="B69" s="29" t="s">
        <v>105</v>
      </c>
      <c r="C69" s="29" t="s">
        <v>38</v>
      </c>
      <c r="D69" s="29" t="s">
        <v>31</v>
      </c>
      <c r="E69" s="29" t="s">
        <v>32</v>
      </c>
      <c r="F69" s="29" t="s">
        <v>100</v>
      </c>
      <c r="G69" s="29" t="s">
        <v>106</v>
      </c>
      <c r="H69" s="29">
        <v>100</v>
      </c>
      <c r="I69" s="29" t="s">
        <v>253</v>
      </c>
      <c r="J69" s="29" t="s">
        <v>257</v>
      </c>
      <c r="K69" s="52" t="s">
        <v>141</v>
      </c>
      <c r="L69" s="52" t="s">
        <v>141</v>
      </c>
      <c r="M69" s="52" t="s">
        <v>141</v>
      </c>
      <c r="N69" s="33" t="s">
        <v>38</v>
      </c>
      <c r="O69" s="33" t="s">
        <v>38</v>
      </c>
      <c r="P69" s="30" t="str">
        <f t="shared" si="11"/>
        <v/>
      </c>
      <c r="Q69" s="30" t="str">
        <f t="shared" si="22"/>
        <v/>
      </c>
      <c r="R69" s="34"/>
      <c r="S69" s="43">
        <f>50000*1.05</f>
        <v>52500</v>
      </c>
      <c r="T69" s="30" t="str">
        <f t="shared" si="23"/>
        <v/>
      </c>
      <c r="U69" s="30" t="str">
        <f t="shared" si="24"/>
        <v/>
      </c>
      <c r="V69" s="38" t="s">
        <v>255</v>
      </c>
      <c r="W69" s="33" t="s">
        <v>38</v>
      </c>
      <c r="X69" s="30" t="str">
        <f t="shared" si="25"/>
        <v/>
      </c>
      <c r="Y69" s="30" t="str">
        <f t="shared" si="26"/>
        <v/>
      </c>
      <c r="Z69" s="34"/>
      <c r="AA69" s="33" t="s">
        <v>38</v>
      </c>
      <c r="AB69" s="33"/>
      <c r="AC69" s="30" t="str">
        <f t="shared" si="27"/>
        <v/>
      </c>
      <c r="AD69" s="30" t="str">
        <f t="shared" si="28"/>
        <v/>
      </c>
      <c r="AE69" s="38"/>
      <c r="AF69" s="35" t="s">
        <v>38</v>
      </c>
      <c r="AG69" s="30" t="str">
        <f t="shared" si="29"/>
        <v/>
      </c>
      <c r="AH69" s="30" t="str">
        <f t="shared" si="30"/>
        <v/>
      </c>
      <c r="AI69" s="37" t="str">
        <f t="shared" si="21"/>
        <v/>
      </c>
      <c r="AJ69" s="44"/>
    </row>
    <row r="70" spans="1:36" ht="80" x14ac:dyDescent="0.2">
      <c r="A70" s="42" t="s">
        <v>258</v>
      </c>
      <c r="B70" s="29" t="s">
        <v>99</v>
      </c>
      <c r="C70" s="29" t="s">
        <v>38</v>
      </c>
      <c r="D70" s="29" t="s">
        <v>48</v>
      </c>
      <c r="E70" s="29" t="s">
        <v>32</v>
      </c>
      <c r="F70" s="29" t="s">
        <v>129</v>
      </c>
      <c r="G70" s="29" t="s">
        <v>228</v>
      </c>
      <c r="H70" s="29">
        <v>127.7</v>
      </c>
      <c r="I70" s="29" t="s">
        <v>38</v>
      </c>
      <c r="J70" s="29" t="s">
        <v>38</v>
      </c>
      <c r="K70" s="52" t="s">
        <v>141</v>
      </c>
      <c r="L70" s="52" t="s">
        <v>141</v>
      </c>
      <c r="M70" s="52" t="s">
        <v>141</v>
      </c>
      <c r="N70" s="33">
        <v>1</v>
      </c>
      <c r="O70" s="33" t="s">
        <v>38</v>
      </c>
      <c r="P70" s="30" t="str">
        <f t="shared" si="11"/>
        <v/>
      </c>
      <c r="Q70" s="30" t="str">
        <f t="shared" si="22"/>
        <v/>
      </c>
      <c r="R70" s="34"/>
      <c r="S70" s="43">
        <v>4875</v>
      </c>
      <c r="T70" s="30">
        <f t="shared" si="23"/>
        <v>4875</v>
      </c>
      <c r="U70" s="30">
        <f t="shared" si="24"/>
        <v>3817.5411119812056</v>
      </c>
      <c r="V70" s="38" t="s">
        <v>259</v>
      </c>
      <c r="W70" s="33" t="s">
        <v>38</v>
      </c>
      <c r="X70" s="30" t="str">
        <f t="shared" si="25"/>
        <v/>
      </c>
      <c r="Y70" s="30" t="str">
        <f t="shared" si="26"/>
        <v/>
      </c>
      <c r="Z70" s="34"/>
      <c r="AA70" s="33" t="s">
        <v>38</v>
      </c>
      <c r="AB70" s="33"/>
      <c r="AC70" s="30" t="str">
        <f t="shared" si="27"/>
        <v/>
      </c>
      <c r="AD70" s="30" t="str">
        <f t="shared" si="28"/>
        <v/>
      </c>
      <c r="AE70" s="38"/>
      <c r="AF70" s="35" t="s">
        <v>38</v>
      </c>
      <c r="AG70" s="30" t="str">
        <f t="shared" si="29"/>
        <v/>
      </c>
      <c r="AH70" s="30" t="str">
        <f t="shared" si="30"/>
        <v/>
      </c>
      <c r="AI70" s="37" t="str">
        <f t="shared" si="21"/>
        <v/>
      </c>
      <c r="AJ70" s="44"/>
    </row>
    <row r="71" spans="1:36" ht="96" x14ac:dyDescent="0.2">
      <c r="A71" s="42" t="s">
        <v>260</v>
      </c>
      <c r="B71" s="42" t="s">
        <v>126</v>
      </c>
      <c r="C71" s="42" t="s">
        <v>261</v>
      </c>
      <c r="D71" s="42" t="s">
        <v>38</v>
      </c>
      <c r="E71" s="42" t="s">
        <v>45</v>
      </c>
      <c r="F71" s="42" t="s">
        <v>100</v>
      </c>
      <c r="G71" s="42" t="s">
        <v>140</v>
      </c>
      <c r="H71" s="42">
        <v>112.1</v>
      </c>
      <c r="I71" s="42" t="s">
        <v>38</v>
      </c>
      <c r="J71" s="42" t="s">
        <v>38</v>
      </c>
      <c r="K71" s="52" t="s">
        <v>141</v>
      </c>
      <c r="L71" s="52" t="s">
        <v>141</v>
      </c>
      <c r="M71" s="52" t="s">
        <v>141</v>
      </c>
      <c r="N71" s="42">
        <v>1</v>
      </c>
      <c r="O71" s="29" t="s">
        <v>38</v>
      </c>
      <c r="P71" s="30" t="str">
        <f t="shared" si="11"/>
        <v/>
      </c>
      <c r="Q71" s="30" t="str">
        <f t="shared" si="22"/>
        <v/>
      </c>
      <c r="R71" s="34"/>
      <c r="S71" s="29" t="s">
        <v>38</v>
      </c>
      <c r="T71" s="30" t="str">
        <f t="shared" si="23"/>
        <v/>
      </c>
      <c r="U71" s="30" t="str">
        <f t="shared" si="24"/>
        <v/>
      </c>
      <c r="V71" s="34"/>
      <c r="W71" s="29" t="s">
        <v>38</v>
      </c>
      <c r="X71" s="30" t="str">
        <f t="shared" si="25"/>
        <v/>
      </c>
      <c r="Y71" s="30" t="str">
        <f t="shared" si="26"/>
        <v/>
      </c>
      <c r="Z71" s="38"/>
      <c r="AA71" s="29">
        <v>2675</v>
      </c>
      <c r="AB71" s="30">
        <f>IFERROR(AA71/($H71/100),"")</f>
        <v>2386.2622658340765</v>
      </c>
      <c r="AC71" s="30">
        <f t="shared" si="27"/>
        <v>2675</v>
      </c>
      <c r="AD71" s="30">
        <f t="shared" si="28"/>
        <v>2386.2622658340765</v>
      </c>
      <c r="AE71" s="34" t="s">
        <v>262</v>
      </c>
      <c r="AF71" s="29" t="s">
        <v>38</v>
      </c>
      <c r="AG71" s="30" t="str">
        <f t="shared" si="29"/>
        <v/>
      </c>
      <c r="AH71" s="30" t="str">
        <f t="shared" si="30"/>
        <v/>
      </c>
      <c r="AI71" s="37" t="str">
        <f t="shared" si="21"/>
        <v/>
      </c>
      <c r="AJ71" s="36"/>
    </row>
    <row r="72" spans="1:36" ht="48" x14ac:dyDescent="0.2">
      <c r="A72" s="42" t="s">
        <v>263</v>
      </c>
      <c r="B72" s="29" t="s">
        <v>126</v>
      </c>
      <c r="C72" s="41" t="s">
        <v>264</v>
      </c>
      <c r="D72" s="29" t="s">
        <v>38</v>
      </c>
      <c r="E72" s="29" t="s">
        <v>45</v>
      </c>
      <c r="F72" s="29" t="s">
        <v>100</v>
      </c>
      <c r="G72" s="42" t="s">
        <v>265</v>
      </c>
      <c r="H72" s="29">
        <v>110</v>
      </c>
      <c r="I72" s="29" t="s">
        <v>38</v>
      </c>
      <c r="J72" s="29" t="s">
        <v>38</v>
      </c>
      <c r="K72" s="52" t="s">
        <v>141</v>
      </c>
      <c r="L72" s="52" t="s">
        <v>141</v>
      </c>
      <c r="M72" s="52" t="s">
        <v>141</v>
      </c>
      <c r="N72" s="42" t="s">
        <v>38</v>
      </c>
      <c r="O72" s="29" t="s">
        <v>38</v>
      </c>
      <c r="P72" s="30" t="str">
        <f t="shared" si="11"/>
        <v/>
      </c>
      <c r="Q72" s="30" t="str">
        <f t="shared" si="22"/>
        <v/>
      </c>
      <c r="R72" s="34"/>
      <c r="S72" s="29" t="s">
        <v>38</v>
      </c>
      <c r="T72" s="30" t="str">
        <f t="shared" si="23"/>
        <v/>
      </c>
      <c r="U72" s="30" t="str">
        <f t="shared" si="24"/>
        <v/>
      </c>
      <c r="V72" s="34"/>
      <c r="W72" s="29" t="s">
        <v>38</v>
      </c>
      <c r="X72" s="30" t="str">
        <f t="shared" si="25"/>
        <v/>
      </c>
      <c r="Y72" s="30" t="str">
        <f t="shared" si="26"/>
        <v/>
      </c>
      <c r="Z72" s="38"/>
      <c r="AA72" s="29" t="s">
        <v>142</v>
      </c>
      <c r="AB72" s="30" t="str">
        <f>IFERROR(AA72/($H72/100),"")</f>
        <v/>
      </c>
      <c r="AC72" s="30" t="str">
        <f t="shared" si="27"/>
        <v/>
      </c>
      <c r="AD72" s="30" t="str">
        <f t="shared" si="28"/>
        <v/>
      </c>
      <c r="AE72" s="45" t="s">
        <v>266</v>
      </c>
      <c r="AF72" s="29" t="s">
        <v>38</v>
      </c>
      <c r="AG72" s="30" t="str">
        <f t="shared" si="29"/>
        <v/>
      </c>
      <c r="AH72" s="30" t="str">
        <f t="shared" si="30"/>
        <v/>
      </c>
      <c r="AI72" s="37" t="str">
        <f t="shared" si="21"/>
        <v/>
      </c>
      <c r="AJ72" s="36"/>
    </row>
    <row r="73" spans="1:36" ht="96" x14ac:dyDescent="0.2">
      <c r="A73" s="42" t="s">
        <v>263</v>
      </c>
      <c r="B73" s="29" t="s">
        <v>99</v>
      </c>
      <c r="C73" s="41" t="s">
        <v>264</v>
      </c>
      <c r="D73" s="29" t="s">
        <v>38</v>
      </c>
      <c r="E73" s="29" t="s">
        <v>45</v>
      </c>
      <c r="F73" s="29" t="s">
        <v>100</v>
      </c>
      <c r="G73" s="29" t="s">
        <v>267</v>
      </c>
      <c r="H73" s="29">
        <v>123.1</v>
      </c>
      <c r="I73" s="29" t="s">
        <v>38</v>
      </c>
      <c r="J73" s="29" t="s">
        <v>38</v>
      </c>
      <c r="K73" s="52" t="s">
        <v>141</v>
      </c>
      <c r="L73" s="52" t="s">
        <v>141</v>
      </c>
      <c r="M73" s="52" t="s">
        <v>141</v>
      </c>
      <c r="N73" s="29">
        <v>1</v>
      </c>
      <c r="O73" s="29" t="s">
        <v>38</v>
      </c>
      <c r="P73" s="30" t="str">
        <f t="shared" si="11"/>
        <v/>
      </c>
      <c r="Q73" s="30" t="str">
        <f t="shared" si="22"/>
        <v/>
      </c>
      <c r="R73" s="34"/>
      <c r="S73" s="29" t="s">
        <v>38</v>
      </c>
      <c r="T73" s="30" t="str">
        <f t="shared" si="23"/>
        <v/>
      </c>
      <c r="U73" s="30" t="str">
        <f t="shared" si="24"/>
        <v/>
      </c>
      <c r="V73" s="34"/>
      <c r="W73" s="29" t="s">
        <v>38</v>
      </c>
      <c r="X73" s="30" t="str">
        <f t="shared" si="25"/>
        <v/>
      </c>
      <c r="Y73" s="30" t="str">
        <f t="shared" si="26"/>
        <v/>
      </c>
      <c r="Z73" s="38"/>
      <c r="AA73" s="29">
        <v>11771</v>
      </c>
      <c r="AB73" s="30">
        <f>IFERROR(AA73/($H73/100),"")</f>
        <v>9562.1445978878965</v>
      </c>
      <c r="AC73" s="30">
        <f t="shared" si="27"/>
        <v>11771</v>
      </c>
      <c r="AD73" s="30">
        <f t="shared" si="28"/>
        <v>9562.1445978878965</v>
      </c>
      <c r="AE73" s="45" t="s">
        <v>268</v>
      </c>
      <c r="AF73" s="29" t="s">
        <v>38</v>
      </c>
      <c r="AG73" s="30" t="str">
        <f t="shared" si="29"/>
        <v/>
      </c>
      <c r="AH73" s="30" t="str">
        <f t="shared" si="30"/>
        <v/>
      </c>
      <c r="AI73" s="37" t="str">
        <f t="shared" si="21"/>
        <v/>
      </c>
      <c r="AJ73" s="36"/>
    </row>
    <row r="74" spans="1:36" ht="64" x14ac:dyDescent="0.2">
      <c r="A74" s="29" t="s">
        <v>269</v>
      </c>
      <c r="B74" s="29" t="s">
        <v>126</v>
      </c>
      <c r="C74" s="60" t="s">
        <v>270</v>
      </c>
      <c r="D74" s="29" t="s">
        <v>38</v>
      </c>
      <c r="E74" s="29" t="s">
        <v>32</v>
      </c>
      <c r="F74" s="29" t="s">
        <v>100</v>
      </c>
      <c r="G74" s="42" t="s">
        <v>271</v>
      </c>
      <c r="H74" s="29">
        <v>125.7</v>
      </c>
      <c r="I74" s="29" t="s">
        <v>38</v>
      </c>
      <c r="J74" s="29" t="s">
        <v>38</v>
      </c>
      <c r="K74" s="54" t="s">
        <v>146</v>
      </c>
      <c r="L74" s="52">
        <v>4000</v>
      </c>
      <c r="M74" s="52">
        <v>50</v>
      </c>
      <c r="N74" s="42">
        <v>8</v>
      </c>
      <c r="O74" s="29" t="s">
        <v>38</v>
      </c>
      <c r="P74" s="30" t="s">
        <v>38</v>
      </c>
      <c r="Q74" s="30" t="str">
        <f t="shared" si="22"/>
        <v/>
      </c>
      <c r="R74" s="34"/>
      <c r="S74" s="29" t="s">
        <v>38</v>
      </c>
      <c r="T74" s="30" t="str">
        <f t="shared" si="23"/>
        <v/>
      </c>
      <c r="U74" s="30" t="str">
        <f t="shared" si="24"/>
        <v/>
      </c>
      <c r="V74" s="34"/>
      <c r="W74" s="29" t="s">
        <v>38</v>
      </c>
      <c r="X74" s="30" t="str">
        <f t="shared" si="25"/>
        <v/>
      </c>
      <c r="Y74" s="30" t="str">
        <f t="shared" si="26"/>
        <v/>
      </c>
      <c r="Z74" s="38"/>
      <c r="AA74" s="29">
        <v>4256</v>
      </c>
      <c r="AB74" s="29"/>
      <c r="AC74" s="30">
        <f t="shared" si="27"/>
        <v>532</v>
      </c>
      <c r="AD74" s="30">
        <f t="shared" si="28"/>
        <v>423.22991249005565</v>
      </c>
      <c r="AE74" s="34" t="s">
        <v>272</v>
      </c>
      <c r="AF74" s="29" t="s">
        <v>38</v>
      </c>
      <c r="AG74" s="30" t="str">
        <f t="shared" si="29"/>
        <v/>
      </c>
      <c r="AH74" s="30" t="str">
        <f t="shared" si="30"/>
        <v/>
      </c>
      <c r="AI74" s="37" t="str">
        <f t="shared" si="21"/>
        <v/>
      </c>
      <c r="AJ74" s="36"/>
    </row>
    <row r="75" spans="1:36" ht="64" x14ac:dyDescent="0.2">
      <c r="A75" s="29" t="s">
        <v>269</v>
      </c>
      <c r="B75" s="29" t="s">
        <v>126</v>
      </c>
      <c r="C75" s="60" t="s">
        <v>270</v>
      </c>
      <c r="D75" s="29" t="s">
        <v>38</v>
      </c>
      <c r="E75" s="29" t="s">
        <v>45</v>
      </c>
      <c r="F75" s="29" t="s">
        <v>100</v>
      </c>
      <c r="G75" s="42" t="s">
        <v>271</v>
      </c>
      <c r="H75" s="29">
        <v>125.7</v>
      </c>
      <c r="I75" s="29" t="s">
        <v>38</v>
      </c>
      <c r="J75" s="29" t="s">
        <v>38</v>
      </c>
      <c r="K75" s="52" t="s">
        <v>38</v>
      </c>
      <c r="L75" s="52" t="s">
        <v>38</v>
      </c>
      <c r="M75" s="52" t="s">
        <v>38</v>
      </c>
      <c r="N75" s="42">
        <v>1</v>
      </c>
      <c r="O75" s="29" t="s">
        <v>38</v>
      </c>
      <c r="P75" s="30" t="s">
        <v>38</v>
      </c>
      <c r="Q75" s="30" t="str">
        <f t="shared" si="22"/>
        <v/>
      </c>
      <c r="R75" s="34"/>
      <c r="S75" s="29" t="s">
        <v>38</v>
      </c>
      <c r="T75" s="30" t="str">
        <f t="shared" si="23"/>
        <v/>
      </c>
      <c r="U75" s="30" t="str">
        <f t="shared" si="24"/>
        <v/>
      </c>
      <c r="V75" s="34"/>
      <c r="W75" s="29" t="s">
        <v>38</v>
      </c>
      <c r="X75" s="30" t="str">
        <f t="shared" si="25"/>
        <v/>
      </c>
      <c r="Y75" s="30" t="str">
        <f t="shared" si="26"/>
        <v/>
      </c>
      <c r="Z75" s="38"/>
      <c r="AA75" s="29">
        <f>848+4343+850+1000</f>
        <v>7041</v>
      </c>
      <c r="AB75" s="30">
        <f>IFERROR(AA75/($H75/100),"")</f>
        <v>5601.4319809069211</v>
      </c>
      <c r="AC75" s="30">
        <f t="shared" si="27"/>
        <v>7041</v>
      </c>
      <c r="AD75" s="30">
        <f t="shared" si="28"/>
        <v>5601.4319809069211</v>
      </c>
      <c r="AE75" s="34" t="s">
        <v>273</v>
      </c>
      <c r="AF75" s="29" t="s">
        <v>38</v>
      </c>
      <c r="AG75" s="30" t="str">
        <f t="shared" si="29"/>
        <v/>
      </c>
      <c r="AH75" s="30" t="str">
        <f t="shared" si="30"/>
        <v/>
      </c>
      <c r="AI75" s="37" t="str">
        <f t="shared" si="21"/>
        <v/>
      </c>
      <c r="AJ75" s="36"/>
    </row>
    <row r="76" spans="1:36" ht="80" x14ac:dyDescent="0.2">
      <c r="A76" s="29" t="s">
        <v>269</v>
      </c>
      <c r="B76" s="29" t="s">
        <v>126</v>
      </c>
      <c r="C76" s="60" t="s">
        <v>270</v>
      </c>
      <c r="D76" s="29" t="s">
        <v>38</v>
      </c>
      <c r="E76" s="29" t="s">
        <v>45</v>
      </c>
      <c r="F76" s="29" t="s">
        <v>100</v>
      </c>
      <c r="G76" s="42" t="s">
        <v>271</v>
      </c>
      <c r="H76" s="29">
        <v>125.7</v>
      </c>
      <c r="I76" s="29" t="s">
        <v>38</v>
      </c>
      <c r="J76" s="29" t="s">
        <v>38</v>
      </c>
      <c r="K76" s="52" t="s">
        <v>38</v>
      </c>
      <c r="L76" s="52" t="s">
        <v>38</v>
      </c>
      <c r="M76" s="52" t="s">
        <v>38</v>
      </c>
      <c r="N76" s="42">
        <v>8</v>
      </c>
      <c r="O76" s="29" t="s">
        <v>38</v>
      </c>
      <c r="P76" s="30" t="s">
        <v>38</v>
      </c>
      <c r="Q76" s="30" t="str">
        <f t="shared" si="22"/>
        <v/>
      </c>
      <c r="R76" s="34"/>
      <c r="S76" s="29" t="s">
        <v>38</v>
      </c>
      <c r="T76" s="30" t="str">
        <f t="shared" si="23"/>
        <v/>
      </c>
      <c r="U76" s="30" t="str">
        <f t="shared" si="24"/>
        <v/>
      </c>
      <c r="V76" s="34"/>
      <c r="W76" s="29" t="s">
        <v>38</v>
      </c>
      <c r="X76" s="30" t="str">
        <f t="shared" si="25"/>
        <v/>
      </c>
      <c r="Y76" s="30" t="str">
        <f t="shared" si="26"/>
        <v/>
      </c>
      <c r="Z76" s="38"/>
      <c r="AA76" s="29">
        <f>25097-7496</f>
        <v>17601</v>
      </c>
      <c r="AB76" s="30">
        <f>IFERROR(AA76/($H76/100),"")</f>
        <v>14002.386634844868</v>
      </c>
      <c r="AC76" s="30">
        <f t="shared" si="27"/>
        <v>2200.125</v>
      </c>
      <c r="AD76" s="30">
        <f t="shared" si="28"/>
        <v>1750.2983293556085</v>
      </c>
      <c r="AE76" s="34" t="s">
        <v>274</v>
      </c>
      <c r="AF76" s="29" t="s">
        <v>38</v>
      </c>
      <c r="AG76" s="30">
        <f>5343/1.257</f>
        <v>4250.596658711218</v>
      </c>
      <c r="AH76" s="30">
        <f t="shared" si="30"/>
        <v>3381.5406990542701</v>
      </c>
      <c r="AI76" s="37" t="str">
        <f t="shared" si="21"/>
        <v/>
      </c>
      <c r="AJ76" s="36"/>
    </row>
    <row r="77" spans="1:36" ht="80" x14ac:dyDescent="0.2">
      <c r="A77" s="29" t="s">
        <v>46</v>
      </c>
      <c r="B77" s="29" t="s">
        <v>99</v>
      </c>
      <c r="C77" s="29" t="s">
        <v>47</v>
      </c>
      <c r="D77" s="29" t="s">
        <v>31</v>
      </c>
      <c r="E77" s="29" t="s">
        <v>119</v>
      </c>
      <c r="F77" s="29" t="s">
        <v>100</v>
      </c>
      <c r="G77" s="29" t="s">
        <v>140</v>
      </c>
      <c r="H77" s="29">
        <v>112.1</v>
      </c>
      <c r="I77" s="29" t="s">
        <v>38</v>
      </c>
      <c r="J77" s="29" t="s">
        <v>38</v>
      </c>
      <c r="K77" s="52">
        <v>9</v>
      </c>
      <c r="L77" s="52" t="s">
        <v>229</v>
      </c>
      <c r="M77" s="52" t="s">
        <v>229</v>
      </c>
      <c r="N77" s="29">
        <v>64</v>
      </c>
      <c r="O77" s="30">
        <v>127058</v>
      </c>
      <c r="P77" s="30">
        <f>IFERROR(O77/$N77,"")</f>
        <v>1985.28125</v>
      </c>
      <c r="Q77" s="30">
        <f t="shared" si="22"/>
        <v>1770.9913024085638</v>
      </c>
      <c r="R77" s="34" t="s">
        <v>120</v>
      </c>
      <c r="S77" s="29" t="s">
        <v>38</v>
      </c>
      <c r="T77" s="30" t="str">
        <f t="shared" si="23"/>
        <v/>
      </c>
      <c r="U77" s="30" t="str">
        <f t="shared" si="24"/>
        <v/>
      </c>
      <c r="V77" s="34"/>
      <c r="W77" s="29" t="s">
        <v>38</v>
      </c>
      <c r="X77" s="30" t="str">
        <f t="shared" si="25"/>
        <v/>
      </c>
      <c r="Y77" s="30" t="str">
        <f t="shared" si="26"/>
        <v/>
      </c>
      <c r="Z77" s="34"/>
      <c r="AA77" s="29" t="s">
        <v>38</v>
      </c>
      <c r="AB77" s="29"/>
      <c r="AC77" s="30" t="str">
        <f t="shared" si="27"/>
        <v/>
      </c>
      <c r="AD77" s="30" t="str">
        <f t="shared" si="28"/>
        <v/>
      </c>
      <c r="AE77" s="34"/>
      <c r="AF77" s="29">
        <f>9600+9600+12838+25227+3819+2902</f>
        <v>63986</v>
      </c>
      <c r="AG77" s="30">
        <f>IFERROR(AF77/$N77,"")</f>
        <v>999.78125</v>
      </c>
      <c r="AH77" s="30">
        <f t="shared" si="30"/>
        <v>891.86552185548612</v>
      </c>
      <c r="AI77" s="37"/>
      <c r="AJ77" s="34" t="s">
        <v>275</v>
      </c>
    </row>
    <row r="78" spans="1:36" ht="96" x14ac:dyDescent="0.2">
      <c r="A78" s="29" t="s">
        <v>46</v>
      </c>
      <c r="B78" s="29" t="s">
        <v>99</v>
      </c>
      <c r="C78" s="29" t="s">
        <v>47</v>
      </c>
      <c r="D78" s="29" t="s">
        <v>31</v>
      </c>
      <c r="E78" s="29" t="s">
        <v>121</v>
      </c>
      <c r="F78" s="29" t="s">
        <v>100</v>
      </c>
      <c r="G78" s="29" t="s">
        <v>140</v>
      </c>
      <c r="H78" s="29">
        <v>112.1</v>
      </c>
      <c r="I78" s="29" t="s">
        <v>38</v>
      </c>
      <c r="J78" s="29" t="s">
        <v>38</v>
      </c>
      <c r="K78" s="52">
        <v>9</v>
      </c>
      <c r="L78" s="52" t="s">
        <v>229</v>
      </c>
      <c r="M78" s="52" t="s">
        <v>229</v>
      </c>
      <c r="N78" s="29">
        <v>64</v>
      </c>
      <c r="O78" s="30">
        <v>312241</v>
      </c>
      <c r="P78" s="30">
        <f>IFERROR(O78/$N78,"")</f>
        <v>4878.765625</v>
      </c>
      <c r="Q78" s="30">
        <f t="shared" si="22"/>
        <v>4352.1548840321138</v>
      </c>
      <c r="R78" s="34" t="s">
        <v>122</v>
      </c>
      <c r="S78" s="29" t="s">
        <v>38</v>
      </c>
      <c r="T78" s="30" t="str">
        <f t="shared" si="23"/>
        <v/>
      </c>
      <c r="U78" s="30" t="str">
        <f t="shared" si="24"/>
        <v/>
      </c>
      <c r="V78" s="34"/>
      <c r="W78" s="29" t="s">
        <v>38</v>
      </c>
      <c r="X78" s="30" t="str">
        <f t="shared" si="25"/>
        <v/>
      </c>
      <c r="Y78" s="30" t="str">
        <f t="shared" si="26"/>
        <v/>
      </c>
      <c r="Z78" s="34"/>
      <c r="AA78" s="29">
        <f>62956+20000+55000+3000</f>
        <v>140956</v>
      </c>
      <c r="AB78" s="30">
        <f>IFERROR(AA78/($H78/100),"")</f>
        <v>125741.30240856379</v>
      </c>
      <c r="AC78" s="30">
        <f t="shared" si="27"/>
        <v>2202.4375</v>
      </c>
      <c r="AD78" s="30">
        <f t="shared" si="28"/>
        <v>1964.7078501338092</v>
      </c>
      <c r="AE78" s="34" t="s">
        <v>276</v>
      </c>
      <c r="AF78" s="29">
        <f>9600+9600+12838+25227+3819+2902</f>
        <v>63986</v>
      </c>
      <c r="AG78" s="30">
        <f>IFERROR(AF78/$N78,"")</f>
        <v>999.78125</v>
      </c>
      <c r="AH78" s="30">
        <f t="shared" si="30"/>
        <v>891.86552185548612</v>
      </c>
      <c r="AI78" s="37">
        <f>IFERROR(AH78/(Q78-AH78),"")</f>
        <v>0.25774304646432095</v>
      </c>
      <c r="AJ78" s="34" t="s">
        <v>277</v>
      </c>
    </row>
    <row r="79" spans="1:36" ht="64" x14ac:dyDescent="0.2">
      <c r="A79" s="29" t="s">
        <v>46</v>
      </c>
      <c r="B79" s="29" t="s">
        <v>99</v>
      </c>
      <c r="C79" s="29" t="s">
        <v>47</v>
      </c>
      <c r="D79" s="29" t="s">
        <v>48</v>
      </c>
      <c r="E79" s="29" t="s">
        <v>32</v>
      </c>
      <c r="F79" s="29" t="s">
        <v>100</v>
      </c>
      <c r="G79" s="29" t="s">
        <v>140</v>
      </c>
      <c r="H79" s="29">
        <v>112.1</v>
      </c>
      <c r="I79" s="29" t="s">
        <v>38</v>
      </c>
      <c r="J79" s="29" t="s">
        <v>38</v>
      </c>
      <c r="K79" s="52">
        <v>9</v>
      </c>
      <c r="L79" s="52">
        <v>4000</v>
      </c>
      <c r="M79" s="52">
        <v>50</v>
      </c>
      <c r="N79" s="29">
        <v>64</v>
      </c>
      <c r="O79" s="30" t="s">
        <v>142</v>
      </c>
      <c r="P79" s="30" t="str">
        <f>IFERROR(O79/$N79,"")</f>
        <v/>
      </c>
      <c r="Q79" s="30" t="str">
        <f t="shared" si="22"/>
        <v/>
      </c>
      <c r="R79" s="34" t="s">
        <v>278</v>
      </c>
      <c r="S79" s="29" t="s">
        <v>38</v>
      </c>
      <c r="T79" s="30" t="str">
        <f t="shared" si="23"/>
        <v/>
      </c>
      <c r="U79" s="30" t="str">
        <f t="shared" si="24"/>
        <v/>
      </c>
      <c r="V79" s="34"/>
      <c r="W79" s="29" t="s">
        <v>38</v>
      </c>
      <c r="X79" s="30" t="str">
        <f t="shared" si="25"/>
        <v/>
      </c>
      <c r="Y79" s="30" t="str">
        <f t="shared" si="26"/>
        <v/>
      </c>
      <c r="Z79" s="34"/>
      <c r="AA79" s="35">
        <v>5000</v>
      </c>
      <c r="AB79" s="35"/>
      <c r="AC79" s="30">
        <f t="shared" si="27"/>
        <v>78.125</v>
      </c>
      <c r="AD79" s="30">
        <f t="shared" si="28"/>
        <v>69.692239072256911</v>
      </c>
      <c r="AE79" s="34" t="s">
        <v>279</v>
      </c>
      <c r="AF79" s="35">
        <f>9600+9600+15222+(9970+19940)+4528+3441</f>
        <v>72301</v>
      </c>
      <c r="AG79" s="30">
        <f>IFERROR(AF79/$N79,"")</f>
        <v>1129.703125</v>
      </c>
      <c r="AH79" s="30">
        <f t="shared" si="30"/>
        <v>1007.7637154326494</v>
      </c>
      <c r="AI79" s="37" t="str">
        <f>IFERROR(AH79/(Q79-AH79),"")</f>
        <v/>
      </c>
      <c r="AJ79" s="45" t="s">
        <v>280</v>
      </c>
    </row>
    <row r="80" spans="1:36" x14ac:dyDescent="0.2">
      <c r="P80" s="23"/>
      <c r="Q80" s="23"/>
      <c r="T80" s="23"/>
      <c r="U80" s="23"/>
      <c r="X80" s="23"/>
      <c r="Y80" s="23"/>
      <c r="AC80" s="23"/>
      <c r="AD80" s="23"/>
      <c r="AG80" s="23"/>
      <c r="AH80" s="23"/>
      <c r="AI80" s="23"/>
    </row>
    <row r="82" spans="17:30" x14ac:dyDescent="0.2">
      <c r="Q82" s="59"/>
      <c r="U82" s="59"/>
      <c r="Y82" s="59"/>
      <c r="AD82" s="59"/>
    </row>
  </sheetData>
  <autoFilter ref="A1:AJ79" xr:uid="{25BBF4C3-1FC4-40C8-842A-943B46F4F955}">
    <sortState xmlns:xlrd2="http://schemas.microsoft.com/office/spreadsheetml/2017/richdata2" ref="A2:AJ79">
      <sortCondition ref="A1:A79"/>
    </sortState>
  </autoFilter>
  <hyperlinks>
    <hyperlink ref="C29" r:id="rId1" xr:uid="{48C26E1A-442C-46A9-8029-EBA683F294F4}"/>
    <hyperlink ref="C76" r:id="rId2" display="https://cityofpaloalto.org/civicax/filebank/documents/66742" xr:uid="{482A29CF-4B98-4144-A0A9-632E256532B4}"/>
    <hyperlink ref="C74" r:id="rId3" display="https://cityofpaloalto.org/civicax/filebank/documents/66742" xr:uid="{A60686EE-3E4A-4924-8E1F-3ED644CDD650}"/>
    <hyperlink ref="C73" r:id="rId4" xr:uid="{A642F435-30FB-43CA-92C3-5009F52D4503}"/>
    <hyperlink ref="C72" r:id="rId5" xr:uid="{4386D8D9-396E-4078-90D8-A5B2EB2DFC59}"/>
    <hyperlink ref="C75" r:id="rId6" display="https://cityofpaloalto.org/civicax/filebank/documents/66742" xr:uid="{9F572C30-220B-4968-AF45-EE0F006F7BA2}"/>
  </hyperlinks>
  <pageMargins left="0.7" right="0.7" top="0.75" bottom="0.75" header="0.3" footer="0.3"/>
  <pageSetup orientation="portrait" r:id="rId7"/>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1781-8C5A-47D9-986E-4C3C956169B5}">
  <dimension ref="A1:P27"/>
  <sheetViews>
    <sheetView workbookViewId="0">
      <selection activeCell="G22" sqref="G22"/>
    </sheetView>
  </sheetViews>
  <sheetFormatPr baseColWidth="10" defaultColWidth="8.83203125" defaultRowHeight="15" x14ac:dyDescent="0.2"/>
  <cols>
    <col min="1" max="1" width="15.33203125" customWidth="1"/>
    <col min="2" max="2" width="15.33203125" bestFit="1" customWidth="1"/>
    <col min="3" max="3" width="13.83203125" bestFit="1" customWidth="1"/>
    <col min="4" max="4" width="6.6640625" bestFit="1" customWidth="1"/>
    <col min="5" max="5" width="4.5" bestFit="1" customWidth="1"/>
    <col min="6" max="6" width="13.5" bestFit="1" customWidth="1"/>
    <col min="7" max="7" width="15" bestFit="1" customWidth="1"/>
    <col min="8" max="8" width="18.33203125" bestFit="1" customWidth="1"/>
    <col min="9" max="9" width="6" bestFit="1" customWidth="1"/>
    <col min="10" max="10" width="9.5" bestFit="1" customWidth="1"/>
    <col min="11" max="11" width="8" bestFit="1" customWidth="1"/>
    <col min="12" max="12" width="16.6640625" bestFit="1" customWidth="1"/>
    <col min="13" max="13" width="8.33203125" bestFit="1" customWidth="1"/>
    <col min="14" max="14" width="5.5" bestFit="1" customWidth="1"/>
    <col min="15" max="15" width="13.33203125" bestFit="1" customWidth="1"/>
    <col min="16" max="16" width="36.83203125" bestFit="1" customWidth="1"/>
  </cols>
  <sheetData>
    <row r="1" spans="1:16" ht="43.25" customHeight="1" x14ac:dyDescent="0.2">
      <c r="A1" s="95" t="s">
        <v>281</v>
      </c>
      <c r="B1" s="95"/>
      <c r="C1" s="95"/>
      <c r="D1" s="95"/>
      <c r="E1" s="95"/>
      <c r="F1" s="95"/>
      <c r="G1" s="95"/>
      <c r="H1" s="95"/>
      <c r="I1" s="95"/>
      <c r="J1" s="95"/>
      <c r="K1" s="95"/>
      <c r="L1" s="95"/>
    </row>
    <row r="3" spans="1:16" x14ac:dyDescent="0.2">
      <c r="A3" s="29"/>
      <c r="B3" s="29" t="s">
        <v>69</v>
      </c>
      <c r="C3" s="29" t="s">
        <v>282</v>
      </c>
      <c r="D3" s="29" t="s">
        <v>13</v>
      </c>
      <c r="E3" s="29" t="s">
        <v>283</v>
      </c>
      <c r="F3" s="29" t="s">
        <v>284</v>
      </c>
      <c r="G3" s="29" t="s">
        <v>285</v>
      </c>
      <c r="H3" s="29" t="s">
        <v>286</v>
      </c>
      <c r="I3" s="29" t="s">
        <v>287</v>
      </c>
      <c r="J3" s="29" t="s">
        <v>288</v>
      </c>
      <c r="K3" s="29" t="s">
        <v>289</v>
      </c>
      <c r="L3" s="29" t="s">
        <v>290</v>
      </c>
      <c r="M3" s="29" t="s">
        <v>291</v>
      </c>
      <c r="N3" s="29" t="s">
        <v>292</v>
      </c>
      <c r="O3" s="29" t="s">
        <v>293</v>
      </c>
      <c r="P3" s="29" t="s">
        <v>65</v>
      </c>
    </row>
    <row r="4" spans="1:16" x14ac:dyDescent="0.2">
      <c r="A4" s="29" t="s">
        <v>294</v>
      </c>
      <c r="B4" s="29" t="s">
        <v>267</v>
      </c>
      <c r="C4" s="29">
        <v>123.1</v>
      </c>
      <c r="D4" s="29">
        <v>1</v>
      </c>
      <c r="E4" s="29"/>
      <c r="F4" s="29"/>
      <c r="G4" s="29"/>
      <c r="H4" s="29"/>
      <c r="I4" s="29"/>
      <c r="J4" s="29">
        <v>-2998</v>
      </c>
      <c r="K4" s="29">
        <v>11771</v>
      </c>
      <c r="L4" s="40">
        <f>IFERROR(K4/(C4/100),"")</f>
        <v>9562.1445978878965</v>
      </c>
      <c r="M4" s="29" t="s">
        <v>295</v>
      </c>
      <c r="N4" s="29" t="s">
        <v>33</v>
      </c>
      <c r="O4" s="29" t="s">
        <v>33</v>
      </c>
      <c r="P4" s="29"/>
    </row>
    <row r="5" spans="1:16" x14ac:dyDescent="0.2">
      <c r="A5" s="42" t="s">
        <v>223</v>
      </c>
      <c r="B5" s="42" t="s">
        <v>174</v>
      </c>
      <c r="C5" s="29">
        <v>110</v>
      </c>
      <c r="D5" s="29">
        <v>1</v>
      </c>
      <c r="E5" s="29">
        <v>850</v>
      </c>
      <c r="F5" s="29"/>
      <c r="G5" s="29"/>
      <c r="H5" s="29">
        <v>9200</v>
      </c>
      <c r="I5" s="29">
        <v>300</v>
      </c>
      <c r="J5" s="29"/>
      <c r="K5" s="29">
        <f>SUM(E5:J5)</f>
        <v>10350</v>
      </c>
      <c r="L5" s="40">
        <f>IFERROR(K5/(C5/100),"")</f>
        <v>9409.0909090909081</v>
      </c>
      <c r="M5" s="29" t="s">
        <v>295</v>
      </c>
      <c r="N5" s="29" t="s">
        <v>33</v>
      </c>
      <c r="O5" s="29" t="s">
        <v>34</v>
      </c>
      <c r="P5" s="29"/>
    </row>
    <row r="6" spans="1:16" x14ac:dyDescent="0.2">
      <c r="A6" s="29" t="s">
        <v>296</v>
      </c>
      <c r="B6" s="42" t="s">
        <v>174</v>
      </c>
      <c r="C6" s="29">
        <v>110</v>
      </c>
      <c r="D6" s="29">
        <v>1</v>
      </c>
      <c r="E6" s="29"/>
      <c r="F6" s="82">
        <v>10000</v>
      </c>
      <c r="G6" s="82"/>
      <c r="H6" s="29">
        <v>1686</v>
      </c>
      <c r="I6" s="29">
        <v>150</v>
      </c>
      <c r="J6" s="29">
        <v>-6086</v>
      </c>
      <c r="K6" s="29">
        <v>5750</v>
      </c>
      <c r="L6" s="40">
        <f>IFERROR(K6/(C6/100),"")</f>
        <v>5227.272727272727</v>
      </c>
      <c r="M6" s="29" t="s">
        <v>295</v>
      </c>
      <c r="N6" s="29" t="s">
        <v>33</v>
      </c>
      <c r="O6" s="29" t="s">
        <v>33</v>
      </c>
      <c r="P6" s="29"/>
    </row>
    <row r="7" spans="1:16" x14ac:dyDescent="0.2">
      <c r="A7" s="29" t="s">
        <v>297</v>
      </c>
      <c r="B7" s="29" t="s">
        <v>130</v>
      </c>
      <c r="C7" s="29">
        <v>132.6</v>
      </c>
      <c r="D7" s="29">
        <v>1</v>
      </c>
      <c r="E7" s="29"/>
      <c r="F7" s="29" t="s">
        <v>30</v>
      </c>
      <c r="G7" s="29"/>
      <c r="H7" s="29"/>
      <c r="I7" s="29"/>
      <c r="J7" s="29"/>
      <c r="K7" s="29">
        <v>1200</v>
      </c>
      <c r="L7" s="40">
        <f>IFERROR(K7/(C7/100),"")*1.18</f>
        <v>1067.8733031674208</v>
      </c>
      <c r="M7" s="29" t="s">
        <v>295</v>
      </c>
      <c r="N7" s="29" t="s">
        <v>34</v>
      </c>
      <c r="O7" s="29" t="s">
        <v>34</v>
      </c>
      <c r="P7" s="29"/>
    </row>
    <row r="8" spans="1:16" x14ac:dyDescent="0.2">
      <c r="A8" s="29" t="s">
        <v>298</v>
      </c>
      <c r="B8" s="42" t="s">
        <v>140</v>
      </c>
      <c r="C8" s="42">
        <v>112.1</v>
      </c>
      <c r="D8" s="29">
        <v>1</v>
      </c>
      <c r="E8" s="29"/>
      <c r="F8" s="29" t="s">
        <v>30</v>
      </c>
      <c r="G8" s="29"/>
      <c r="H8" s="29"/>
      <c r="I8" s="29"/>
      <c r="J8" s="29">
        <v>-1398</v>
      </c>
      <c r="K8" s="29">
        <v>2675</v>
      </c>
      <c r="L8" s="40">
        <f>IFERROR(K8/(C8/100),"")</f>
        <v>2386.2622658340765</v>
      </c>
      <c r="M8" s="29" t="s">
        <v>295</v>
      </c>
      <c r="N8" s="29" t="s">
        <v>33</v>
      </c>
      <c r="O8" s="29" t="s">
        <v>34</v>
      </c>
      <c r="P8" s="29"/>
    </row>
    <row r="9" spans="1:16" x14ac:dyDescent="0.2">
      <c r="A9" s="29" t="s">
        <v>125</v>
      </c>
      <c r="B9" s="29" t="s">
        <v>106</v>
      </c>
      <c r="C9" s="29">
        <v>100</v>
      </c>
      <c r="D9" s="29">
        <v>1</v>
      </c>
      <c r="E9" s="29"/>
      <c r="F9" s="29" t="s">
        <v>30</v>
      </c>
      <c r="G9" s="29"/>
      <c r="H9" s="29"/>
      <c r="I9" s="29"/>
      <c r="J9" s="29"/>
      <c r="K9" s="29">
        <v>1400</v>
      </c>
      <c r="L9" s="40">
        <f>IFERROR(K9/(C9/100),"")</f>
        <v>1400</v>
      </c>
      <c r="M9" s="29" t="s">
        <v>295</v>
      </c>
      <c r="N9" s="29" t="s">
        <v>33</v>
      </c>
      <c r="O9" s="29" t="s">
        <v>34</v>
      </c>
      <c r="P9" s="29"/>
    </row>
    <row r="10" spans="1:16" x14ac:dyDescent="0.2">
      <c r="A10" s="42" t="s">
        <v>223</v>
      </c>
      <c r="B10" s="29" t="s">
        <v>174</v>
      </c>
      <c r="C10" s="29">
        <v>110</v>
      </c>
      <c r="D10" s="29"/>
      <c r="E10" s="29">
        <v>850</v>
      </c>
      <c r="F10" s="29"/>
      <c r="G10" s="29"/>
      <c r="H10" s="29">
        <v>1850</v>
      </c>
      <c r="I10" s="29">
        <v>300</v>
      </c>
      <c r="J10" s="29"/>
      <c r="K10" s="29">
        <f>SUM(E10:J10)</f>
        <v>3000</v>
      </c>
      <c r="L10" s="40">
        <f>IFERROR(K10/(C10/100),"")</f>
        <v>2727.272727272727</v>
      </c>
      <c r="M10" s="29" t="s">
        <v>295</v>
      </c>
      <c r="N10" s="29" t="s">
        <v>33</v>
      </c>
      <c r="O10" s="29" t="s">
        <v>34</v>
      </c>
      <c r="P10" s="29"/>
    </row>
    <row r="11" spans="1:16" x14ac:dyDescent="0.2">
      <c r="A11" s="29" t="s">
        <v>299</v>
      </c>
      <c r="B11" s="42" t="s">
        <v>271</v>
      </c>
      <c r="C11" s="29">
        <v>125.7</v>
      </c>
      <c r="D11" s="29">
        <v>1</v>
      </c>
      <c r="E11" s="29">
        <v>848</v>
      </c>
      <c r="F11" s="29" t="s">
        <v>30</v>
      </c>
      <c r="G11" s="97">
        <v>5343</v>
      </c>
      <c r="H11" s="97"/>
      <c r="I11" s="29">
        <v>850</v>
      </c>
      <c r="J11" s="29"/>
      <c r="K11" s="29">
        <v>7041</v>
      </c>
      <c r="L11" s="40">
        <f>IFERROR(K11/(C11/100),"")</f>
        <v>5601.4319809069211</v>
      </c>
      <c r="M11" s="29" t="s">
        <v>295</v>
      </c>
      <c r="N11" s="29" t="s">
        <v>33</v>
      </c>
      <c r="O11" s="29" t="s">
        <v>34</v>
      </c>
      <c r="P11" s="29"/>
    </row>
    <row r="12" spans="1:16" x14ac:dyDescent="0.2">
      <c r="A12" s="47" t="s">
        <v>300</v>
      </c>
      <c r="B12" s="48"/>
      <c r="C12" s="48"/>
      <c r="D12" s="48"/>
      <c r="E12" s="48"/>
      <c r="F12" s="48"/>
      <c r="G12" s="50"/>
      <c r="H12" s="50"/>
      <c r="I12" s="48"/>
      <c r="J12" s="48"/>
      <c r="K12" s="48"/>
      <c r="L12" s="49">
        <f>AVERAGE(L4:L6)</f>
        <v>8066.1694114171769</v>
      </c>
      <c r="M12" s="48"/>
      <c r="N12" s="48"/>
      <c r="O12" s="48"/>
      <c r="P12" s="48"/>
    </row>
    <row r="13" spans="1:16" x14ac:dyDescent="0.2">
      <c r="A13" s="47" t="s">
        <v>301</v>
      </c>
      <c r="B13" s="48"/>
      <c r="C13" s="48"/>
      <c r="D13" s="48"/>
      <c r="E13" s="48"/>
      <c r="F13" s="48"/>
      <c r="G13" s="48"/>
      <c r="H13" s="48"/>
      <c r="I13" s="48"/>
      <c r="J13" s="48"/>
      <c r="K13" s="48"/>
      <c r="L13" s="49">
        <f>AVERAGE(L7:L11)</f>
        <v>2636.5680554362289</v>
      </c>
      <c r="M13" s="48"/>
      <c r="N13" s="48"/>
      <c r="O13" s="48"/>
      <c r="P13" s="48"/>
    </row>
    <row r="14" spans="1:16" x14ac:dyDescent="0.2">
      <c r="A14" s="29" t="s">
        <v>302</v>
      </c>
      <c r="B14" s="42" t="s">
        <v>271</v>
      </c>
      <c r="C14" s="29">
        <v>125.7</v>
      </c>
      <c r="D14" s="29">
        <v>8</v>
      </c>
      <c r="E14" s="29">
        <v>848</v>
      </c>
      <c r="F14" s="29" t="s">
        <v>30</v>
      </c>
      <c r="G14" s="97">
        <v>6250</v>
      </c>
      <c r="H14" s="97"/>
      <c r="I14" s="29">
        <v>10503</v>
      </c>
      <c r="J14" s="29"/>
      <c r="K14" s="29">
        <v>17601</v>
      </c>
      <c r="L14" s="40">
        <f>IFERROR(K14/(C14/100),"")</f>
        <v>14002.386634844868</v>
      </c>
      <c r="M14" s="29" t="s">
        <v>303</v>
      </c>
      <c r="N14" s="29" t="s">
        <v>33</v>
      </c>
      <c r="O14" s="29" t="s">
        <v>34</v>
      </c>
      <c r="P14" s="29"/>
    </row>
    <row r="15" spans="1:16" x14ac:dyDescent="0.2">
      <c r="A15" s="42" t="s">
        <v>223</v>
      </c>
      <c r="B15" s="42" t="s">
        <v>174</v>
      </c>
      <c r="C15" s="29">
        <v>110</v>
      </c>
      <c r="D15" s="29">
        <v>8</v>
      </c>
      <c r="E15" s="29">
        <v>850</v>
      </c>
      <c r="F15" s="29"/>
      <c r="G15" s="82"/>
      <c r="H15" s="82">
        <v>9200</v>
      </c>
      <c r="I15" s="29">
        <f>600*8</f>
        <v>4800</v>
      </c>
      <c r="J15" s="29"/>
      <c r="K15" s="29">
        <f>SUM(E15:J15)</f>
        <v>14850</v>
      </c>
      <c r="L15" s="40">
        <f>IFERROR(K15/(C15/100),"")</f>
        <v>13499.999999999998</v>
      </c>
      <c r="M15" s="29" t="s">
        <v>303</v>
      </c>
      <c r="N15" s="29" t="s">
        <v>33</v>
      </c>
      <c r="O15" s="29" t="s">
        <v>34</v>
      </c>
      <c r="P15" s="29"/>
    </row>
    <row r="16" spans="1:16" x14ac:dyDescent="0.2">
      <c r="A16" s="29" t="s">
        <v>304</v>
      </c>
      <c r="B16" s="29" t="s">
        <v>130</v>
      </c>
      <c r="C16" s="29">
        <v>132.6</v>
      </c>
      <c r="D16" s="29">
        <v>8</v>
      </c>
      <c r="E16" s="29"/>
      <c r="F16" s="29" t="s">
        <v>30</v>
      </c>
      <c r="G16" s="29"/>
      <c r="H16" s="29"/>
      <c r="I16" s="29"/>
      <c r="J16" s="29"/>
      <c r="K16" s="29">
        <v>7200</v>
      </c>
      <c r="L16" s="40">
        <f>IFERROR(K16/(C16/100),"")*1.18</f>
        <v>6407.2398190045251</v>
      </c>
      <c r="M16" s="29" t="s">
        <v>303</v>
      </c>
      <c r="N16" s="29" t="s">
        <v>34</v>
      </c>
      <c r="O16" s="29" t="s">
        <v>34</v>
      </c>
      <c r="P16" s="29"/>
    </row>
    <row r="17" spans="1:16" x14ac:dyDescent="0.2">
      <c r="A17" s="47" t="s">
        <v>305</v>
      </c>
      <c r="B17" s="48"/>
      <c r="C17" s="48"/>
      <c r="D17" s="48"/>
      <c r="E17" s="48"/>
      <c r="F17" s="48"/>
      <c r="G17" s="48"/>
      <c r="H17" s="48"/>
      <c r="I17" s="48"/>
      <c r="J17" s="48"/>
      <c r="K17" s="48"/>
      <c r="L17" s="49">
        <f>AVERAGE(L14,L16)</f>
        <v>10204.813226924696</v>
      </c>
      <c r="M17" s="48"/>
      <c r="N17" s="48"/>
      <c r="O17" s="48"/>
      <c r="P17" s="48"/>
    </row>
    <row r="18" spans="1:16" x14ac:dyDescent="0.2">
      <c r="A18" s="29" t="s">
        <v>306</v>
      </c>
      <c r="B18" s="29" t="s">
        <v>228</v>
      </c>
      <c r="C18" s="29">
        <v>127.7</v>
      </c>
      <c r="D18" s="29">
        <v>71</v>
      </c>
      <c r="E18" s="29"/>
      <c r="F18" s="29"/>
      <c r="G18" s="29"/>
      <c r="H18" s="29"/>
      <c r="I18" s="29"/>
      <c r="J18" s="29"/>
      <c r="K18" s="29">
        <v>40000</v>
      </c>
      <c r="L18" s="40">
        <f>IFERROR(K18/(C18/100),"")*1.06</f>
        <v>33202.819107282688</v>
      </c>
      <c r="M18" s="29" t="s">
        <v>307</v>
      </c>
      <c r="N18" s="29" t="s">
        <v>34</v>
      </c>
      <c r="O18" s="29" t="s">
        <v>308</v>
      </c>
      <c r="P18" s="29"/>
    </row>
    <row r="19" spans="1:16" x14ac:dyDescent="0.2">
      <c r="A19" s="29" t="s">
        <v>309</v>
      </c>
      <c r="B19" s="29" t="s">
        <v>193</v>
      </c>
      <c r="C19" s="29">
        <v>127.5</v>
      </c>
      <c r="D19" s="29">
        <v>59</v>
      </c>
      <c r="E19" s="29"/>
      <c r="F19" s="29"/>
      <c r="G19" s="29"/>
      <c r="H19" s="29"/>
      <c r="I19" s="29"/>
      <c r="J19" s="29"/>
      <c r="K19" s="29">
        <v>32000</v>
      </c>
      <c r="L19" s="40">
        <f>IFERROR(K19/(C19/100),"")*1.06</f>
        <v>26603.921568627455</v>
      </c>
      <c r="M19" s="29" t="s">
        <v>307</v>
      </c>
      <c r="N19" s="29"/>
      <c r="O19" s="29"/>
      <c r="P19" s="29"/>
    </row>
    <row r="20" spans="1:16" x14ac:dyDescent="0.2">
      <c r="A20" s="29" t="s">
        <v>43</v>
      </c>
      <c r="B20" s="29" t="s">
        <v>130</v>
      </c>
      <c r="C20" s="29">
        <v>132.6</v>
      </c>
      <c r="D20" s="29">
        <v>101</v>
      </c>
      <c r="E20" s="29"/>
      <c r="F20" s="29"/>
      <c r="G20" s="29"/>
      <c r="H20" s="29"/>
      <c r="I20" s="29"/>
      <c r="J20" s="29"/>
      <c r="K20" s="29">
        <v>100387</v>
      </c>
      <c r="L20" s="40">
        <f>IFERROR(K20/(C20/100),"")*1.06</f>
        <v>80249.03469079941</v>
      </c>
      <c r="M20" s="29"/>
      <c r="N20" s="29"/>
      <c r="O20" s="29"/>
      <c r="P20" s="29"/>
    </row>
    <row r="21" spans="1:16" x14ac:dyDescent="0.2">
      <c r="A21" s="29" t="s">
        <v>44</v>
      </c>
      <c r="B21" s="29" t="s">
        <v>38</v>
      </c>
      <c r="C21" s="29">
        <v>111.4</v>
      </c>
      <c r="D21" s="29">
        <v>36</v>
      </c>
      <c r="E21" s="29"/>
      <c r="F21" s="29"/>
      <c r="G21" s="82"/>
      <c r="H21" s="82"/>
      <c r="I21" s="29"/>
      <c r="J21" s="29"/>
      <c r="K21" s="29">
        <f>15000+750*36</f>
        <v>42000</v>
      </c>
      <c r="L21" s="40">
        <f>IFERROR(K21/(C21/100),"")</f>
        <v>37701.974865350086</v>
      </c>
      <c r="M21" s="29" t="s">
        <v>310</v>
      </c>
      <c r="N21" s="29" t="s">
        <v>33</v>
      </c>
      <c r="O21" s="29" t="s">
        <v>308</v>
      </c>
      <c r="P21" s="29" t="s">
        <v>311</v>
      </c>
    </row>
    <row r="22" spans="1:16" x14ac:dyDescent="0.2">
      <c r="A22" s="29" t="s">
        <v>46</v>
      </c>
      <c r="B22" s="29" t="s">
        <v>140</v>
      </c>
      <c r="C22" s="29">
        <v>112.1</v>
      </c>
      <c r="D22" s="29">
        <v>64</v>
      </c>
      <c r="E22" s="29"/>
      <c r="F22" s="29" t="s">
        <v>30</v>
      </c>
      <c r="G22" s="29">
        <v>20000</v>
      </c>
      <c r="H22" s="29">
        <v>121000</v>
      </c>
      <c r="I22" s="29">
        <v>7500</v>
      </c>
      <c r="J22" s="29"/>
      <c r="K22" s="29">
        <v>140956</v>
      </c>
      <c r="L22" s="40">
        <f>IFERROR(K22/(C22/100),"")*1.26</f>
        <v>158434.04103479037</v>
      </c>
      <c r="M22" s="29" t="s">
        <v>307</v>
      </c>
      <c r="N22" s="29" t="s">
        <v>34</v>
      </c>
      <c r="O22" s="29" t="s">
        <v>308</v>
      </c>
      <c r="P22" s="29" t="s">
        <v>312</v>
      </c>
    </row>
    <row r="23" spans="1:16" x14ac:dyDescent="0.2">
      <c r="A23" s="47" t="s">
        <v>313</v>
      </c>
      <c r="B23" s="48"/>
      <c r="C23" s="48"/>
      <c r="D23" s="48"/>
      <c r="E23" s="48"/>
      <c r="F23" s="48"/>
      <c r="G23" s="48"/>
      <c r="H23" s="48"/>
      <c r="I23" s="48"/>
      <c r="J23" s="48"/>
      <c r="K23" s="48">
        <f>AVERAGE(K18:K22)</f>
        <v>71068.600000000006</v>
      </c>
      <c r="L23" s="49">
        <f>AVERAGE(L18:L21)</f>
        <v>44439.437558014914</v>
      </c>
      <c r="M23" s="48"/>
      <c r="N23" s="48"/>
      <c r="O23" s="48"/>
      <c r="P23" s="48"/>
    </row>
    <row r="26" spans="1:16" x14ac:dyDescent="0.2">
      <c r="D26" s="46"/>
    </row>
    <row r="27" spans="1:16" x14ac:dyDescent="0.2">
      <c r="D27" s="46"/>
    </row>
  </sheetData>
  <mergeCells count="3">
    <mergeCell ref="G14:H14"/>
    <mergeCell ref="G11:H11"/>
    <mergeCell ref="A1:L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2694-2734-594A-BEE9-060F291FAFEC}">
  <dimension ref="A1:I59"/>
  <sheetViews>
    <sheetView workbookViewId="0">
      <selection activeCell="A6" sqref="A6"/>
    </sheetView>
  </sheetViews>
  <sheetFormatPr baseColWidth="10" defaultColWidth="8.6640625" defaultRowHeight="15" x14ac:dyDescent="0.2"/>
  <cols>
    <col min="1" max="1" width="31.6640625" customWidth="1"/>
    <col min="2" max="2" width="19.5" customWidth="1"/>
    <col min="3" max="3" width="16.83203125" bestFit="1" customWidth="1"/>
    <col min="4" max="4" width="3.6640625" customWidth="1"/>
    <col min="5" max="5" width="62.33203125" customWidth="1"/>
    <col min="6" max="6" width="20.1640625" customWidth="1"/>
    <col min="7" max="7" width="14.6640625" bestFit="1" customWidth="1"/>
    <col min="8" max="8" width="11.6640625" bestFit="1" customWidth="1"/>
    <col min="9" max="9" width="15.33203125" customWidth="1"/>
  </cols>
  <sheetData>
    <row r="1" spans="1:9" x14ac:dyDescent="0.2">
      <c r="A1" s="32" t="s">
        <v>314</v>
      </c>
    </row>
    <row r="2" spans="1:9" x14ac:dyDescent="0.2">
      <c r="A2" t="s">
        <v>315</v>
      </c>
    </row>
    <row r="3" spans="1:9" x14ac:dyDescent="0.2">
      <c r="A3" t="s">
        <v>316</v>
      </c>
    </row>
    <row r="4" spans="1:9" x14ac:dyDescent="0.2">
      <c r="A4" t="s">
        <v>317</v>
      </c>
    </row>
    <row r="5" spans="1:9" ht="100.25" customHeight="1" x14ac:dyDescent="0.2">
      <c r="A5" s="95" t="s">
        <v>318</v>
      </c>
      <c r="B5" s="95"/>
      <c r="C5" s="95"/>
      <c r="D5" s="95"/>
      <c r="E5" s="95"/>
    </row>
    <row r="6" spans="1:9" s="24" customFormat="1" ht="21" x14ac:dyDescent="0.25"/>
    <row r="7" spans="1:9" ht="19" x14ac:dyDescent="0.25">
      <c r="A7" s="98" t="s">
        <v>319</v>
      </c>
      <c r="B7" s="98"/>
      <c r="C7" s="98"/>
      <c r="D7" s="85"/>
      <c r="E7" s="98" t="s">
        <v>320</v>
      </c>
      <c r="F7" s="98"/>
      <c r="G7" s="98"/>
      <c r="H7" s="22"/>
      <c r="I7" s="22"/>
    </row>
    <row r="8" spans="1:9" ht="19" x14ac:dyDescent="0.25">
      <c r="A8" s="83" t="s">
        <v>321</v>
      </c>
      <c r="B8" s="83" t="s">
        <v>322</v>
      </c>
      <c r="C8" s="83" t="s">
        <v>323</v>
      </c>
      <c r="D8" s="85"/>
      <c r="E8" s="83" t="s">
        <v>321</v>
      </c>
      <c r="F8" s="83" t="s">
        <v>322</v>
      </c>
      <c r="G8" s="83" t="s">
        <v>324</v>
      </c>
      <c r="H8" s="22"/>
      <c r="I8" s="22"/>
    </row>
    <row r="9" spans="1:9" ht="19" x14ac:dyDescent="0.25">
      <c r="A9" s="65" t="s">
        <v>325</v>
      </c>
      <c r="B9" s="86">
        <f>C9/105</f>
        <v>1017.3333333333334</v>
      </c>
      <c r="C9" s="30">
        <v>106820</v>
      </c>
      <c r="D9" s="23"/>
      <c r="E9" s="65" t="s">
        <v>326</v>
      </c>
      <c r="F9" s="86">
        <f>G9/105</f>
        <v>291.23809523809524</v>
      </c>
      <c r="G9" s="30">
        <v>30580</v>
      </c>
      <c r="H9" s="22"/>
      <c r="I9" s="22"/>
    </row>
    <row r="10" spans="1:9" ht="19" x14ac:dyDescent="0.25">
      <c r="A10" s="65" t="s">
        <v>327</v>
      </c>
      <c r="B10" s="86">
        <f t="shared" ref="B10:B11" si="0">C10/105</f>
        <v>277.43809523809523</v>
      </c>
      <c r="C10" s="30">
        <v>29131</v>
      </c>
      <c r="D10" s="23"/>
      <c r="E10" s="65" t="s">
        <v>327</v>
      </c>
      <c r="F10" s="86">
        <f t="shared" ref="F10:F20" si="1">G10/105</f>
        <v>141.9047619047619</v>
      </c>
      <c r="G10" s="30">
        <v>14900</v>
      </c>
      <c r="H10" s="22"/>
      <c r="I10" s="22"/>
    </row>
    <row r="11" spans="1:9" ht="19" x14ac:dyDescent="0.25">
      <c r="A11" s="65" t="s">
        <v>328</v>
      </c>
      <c r="B11" s="86">
        <f t="shared" si="0"/>
        <v>134.32380952380953</v>
      </c>
      <c r="C11" s="30">
        <v>14104</v>
      </c>
      <c r="D11" s="23"/>
      <c r="E11" s="65" t="s">
        <v>329</v>
      </c>
      <c r="F11" s="86">
        <f t="shared" si="1"/>
        <v>238.0952380952381</v>
      </c>
      <c r="G11" s="30">
        <v>25000</v>
      </c>
      <c r="H11" s="22"/>
      <c r="I11" s="22"/>
    </row>
    <row r="12" spans="1:9" ht="19" x14ac:dyDescent="0.25">
      <c r="A12" s="65" t="s">
        <v>330</v>
      </c>
      <c r="B12" s="65"/>
      <c r="C12" s="30" t="s">
        <v>331</v>
      </c>
      <c r="D12" s="23"/>
      <c r="E12" s="65" t="s">
        <v>332</v>
      </c>
      <c r="F12" s="86">
        <f t="shared" si="1"/>
        <v>2085.7142857142858</v>
      </c>
      <c r="G12" s="30">
        <v>219000</v>
      </c>
      <c r="H12" s="27"/>
      <c r="I12" s="22"/>
    </row>
    <row r="13" spans="1:9" ht="19" x14ac:dyDescent="0.25">
      <c r="A13" s="65" t="s">
        <v>333</v>
      </c>
      <c r="B13" s="65"/>
      <c r="C13" s="30" t="s">
        <v>334</v>
      </c>
      <c r="D13" s="23"/>
      <c r="E13" s="65" t="s">
        <v>333</v>
      </c>
      <c r="F13" s="99" t="s">
        <v>335</v>
      </c>
      <c r="G13" s="100"/>
      <c r="H13" s="22"/>
      <c r="I13" s="22"/>
    </row>
    <row r="14" spans="1:9" ht="19" x14ac:dyDescent="0.25">
      <c r="A14" s="65" t="s">
        <v>336</v>
      </c>
      <c r="B14" s="65"/>
      <c r="C14" s="30" t="s">
        <v>337</v>
      </c>
      <c r="D14" s="23"/>
      <c r="E14" s="65" t="s">
        <v>338</v>
      </c>
      <c r="F14" s="86">
        <f t="shared" si="1"/>
        <v>142.85714285714286</v>
      </c>
      <c r="G14" s="30">
        <v>15000</v>
      </c>
      <c r="H14" s="22"/>
      <c r="I14" s="22"/>
    </row>
    <row r="15" spans="1:9" ht="19" x14ac:dyDescent="0.25">
      <c r="A15" s="65" t="s">
        <v>339</v>
      </c>
      <c r="B15" s="65"/>
      <c r="C15" s="30" t="s">
        <v>337</v>
      </c>
      <c r="D15" s="23"/>
      <c r="E15" s="65" t="s">
        <v>340</v>
      </c>
      <c r="F15" s="86">
        <f t="shared" si="1"/>
        <v>238.0952380952381</v>
      </c>
      <c r="G15" s="30">
        <v>25000</v>
      </c>
      <c r="H15" s="22"/>
      <c r="I15" s="22"/>
    </row>
    <row r="16" spans="1:9" ht="19" x14ac:dyDescent="0.25">
      <c r="A16" s="65" t="s">
        <v>341</v>
      </c>
      <c r="B16" s="65"/>
      <c r="C16" s="30" t="s">
        <v>337</v>
      </c>
      <c r="D16" s="23"/>
      <c r="E16" s="65" t="s">
        <v>342</v>
      </c>
      <c r="F16" s="86">
        <f t="shared" si="1"/>
        <v>95.238095238095241</v>
      </c>
      <c r="G16" s="30">
        <v>10000</v>
      </c>
      <c r="H16" s="22"/>
      <c r="I16" s="22"/>
    </row>
    <row r="17" spans="1:9" ht="19" x14ac:dyDescent="0.25">
      <c r="A17" s="65" t="s">
        <v>343</v>
      </c>
      <c r="B17" s="65"/>
      <c r="C17" s="30" t="s">
        <v>337</v>
      </c>
      <c r="D17" s="23"/>
      <c r="E17" s="65" t="s">
        <v>344</v>
      </c>
      <c r="F17" s="86">
        <f t="shared" si="1"/>
        <v>271.90476190476193</v>
      </c>
      <c r="G17" s="30">
        <v>28550</v>
      </c>
      <c r="H17" s="22"/>
      <c r="I17" s="63"/>
    </row>
    <row r="18" spans="1:9" ht="19" x14ac:dyDescent="0.25">
      <c r="A18" s="65" t="s">
        <v>345</v>
      </c>
      <c r="B18" s="65"/>
      <c r="C18" s="30" t="s">
        <v>337</v>
      </c>
      <c r="D18" s="23"/>
      <c r="E18" s="65" t="s">
        <v>346</v>
      </c>
      <c r="F18" s="86">
        <f t="shared" si="1"/>
        <v>113.37142857142857</v>
      </c>
      <c r="G18" s="30">
        <v>11904</v>
      </c>
      <c r="H18" s="22"/>
      <c r="I18" s="22"/>
    </row>
    <row r="19" spans="1:9" ht="19" x14ac:dyDescent="0.25">
      <c r="A19" s="65" t="s">
        <v>347</v>
      </c>
      <c r="B19" s="65"/>
      <c r="C19" s="30" t="s">
        <v>337</v>
      </c>
      <c r="D19" s="23"/>
      <c r="E19" s="65" t="s">
        <v>348</v>
      </c>
      <c r="F19" s="86">
        <f t="shared" si="1"/>
        <v>94.6</v>
      </c>
      <c r="G19" s="30">
        <v>9933</v>
      </c>
      <c r="H19" s="22"/>
      <c r="I19" s="22"/>
    </row>
    <row r="20" spans="1:9" ht="19" x14ac:dyDescent="0.25">
      <c r="A20" s="65" t="s">
        <v>349</v>
      </c>
      <c r="B20" s="65"/>
      <c r="C20" s="30" t="s">
        <v>337</v>
      </c>
      <c r="D20" s="23"/>
      <c r="E20" s="65" t="s">
        <v>350</v>
      </c>
      <c r="F20" s="86">
        <f t="shared" si="1"/>
        <v>76.19047619047619</v>
      </c>
      <c r="G20" s="30">
        <v>8000</v>
      </c>
      <c r="H20" s="22"/>
      <c r="I20" s="22"/>
    </row>
    <row r="21" spans="1:9" ht="19" x14ac:dyDescent="0.25">
      <c r="A21" s="65"/>
      <c r="B21" s="65"/>
      <c r="C21" s="30"/>
      <c r="D21" s="23"/>
      <c r="E21" s="65" t="s">
        <v>351</v>
      </c>
      <c r="F21" s="86">
        <f>SUM(F14:F20)</f>
        <v>1032.257142857143</v>
      </c>
      <c r="G21" s="86">
        <f>SUM(G14:G20)</f>
        <v>108387</v>
      </c>
      <c r="H21" s="22"/>
      <c r="I21" s="22"/>
    </row>
    <row r="22" spans="1:9" ht="19" x14ac:dyDescent="0.25">
      <c r="A22" s="64" t="s">
        <v>289</v>
      </c>
      <c r="B22" s="78">
        <f>B9+B10+B11</f>
        <v>1429.0952380952383</v>
      </c>
      <c r="C22" s="87">
        <f>(C9+C10+C11)</f>
        <v>150055</v>
      </c>
      <c r="D22" s="88"/>
      <c r="E22" s="89" t="s">
        <v>289</v>
      </c>
      <c r="F22" s="78">
        <f>G22/105</f>
        <v>3789.2095238095239</v>
      </c>
      <c r="G22" s="78">
        <f>G9+G10+G11+G12+G14+G15+G16+G17+G18+G19+G20</f>
        <v>397867</v>
      </c>
      <c r="H22" s="22"/>
      <c r="I22" s="25"/>
    </row>
    <row r="25" spans="1:9" ht="19" x14ac:dyDescent="0.25">
      <c r="A25" s="26"/>
      <c r="B25" s="26"/>
    </row>
    <row r="59" spans="6:6" x14ac:dyDescent="0.2"/>
  </sheetData>
  <mergeCells count="4">
    <mergeCell ref="A7:C7"/>
    <mergeCell ref="E7:G7"/>
    <mergeCell ref="F13:G13"/>
    <mergeCell ref="A5:E5"/>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424A-E339-5A46-AB23-570FE45BF73E}">
  <dimension ref="A1:A7"/>
  <sheetViews>
    <sheetView workbookViewId="0">
      <selection sqref="A1:A5"/>
    </sheetView>
  </sheetViews>
  <sheetFormatPr baseColWidth="10" defaultColWidth="11.5" defaultRowHeight="15" x14ac:dyDescent="0.2"/>
  <cols>
    <col min="1" max="1" width="104.33203125" customWidth="1"/>
  </cols>
  <sheetData>
    <row r="1" spans="1:1" x14ac:dyDescent="0.2">
      <c r="A1" s="32" t="s">
        <v>352</v>
      </c>
    </row>
    <row r="2" spans="1:1" x14ac:dyDescent="0.2">
      <c r="A2" t="s">
        <v>353</v>
      </c>
    </row>
    <row r="3" spans="1:1" x14ac:dyDescent="0.2">
      <c r="A3" t="s">
        <v>354</v>
      </c>
    </row>
    <row r="4" spans="1:1" x14ac:dyDescent="0.2">
      <c r="A4" t="s">
        <v>355</v>
      </c>
    </row>
    <row r="5" spans="1:1" ht="64" x14ac:dyDescent="0.2">
      <c r="A5" s="7" t="s">
        <v>356</v>
      </c>
    </row>
    <row r="7" spans="1:1" x14ac:dyDescent="0.2">
      <c r="A7" s="85" t="s">
        <v>357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44E06-6026-1740-87D7-A6799AF9CAB2}">
  <dimension ref="A1:A66"/>
  <sheetViews>
    <sheetView workbookViewId="0">
      <selection activeCell="A2" sqref="A2"/>
    </sheetView>
  </sheetViews>
  <sheetFormatPr baseColWidth="10" defaultColWidth="11.5" defaultRowHeight="15" x14ac:dyDescent="0.2"/>
  <cols>
    <col min="1" max="1" width="104.6640625" customWidth="1"/>
  </cols>
  <sheetData>
    <row r="1" spans="1:1" x14ac:dyDescent="0.2">
      <c r="A1" s="32" t="s">
        <v>358</v>
      </c>
    </row>
    <row r="2" spans="1:1" x14ac:dyDescent="0.2">
      <c r="A2" t="s">
        <v>359</v>
      </c>
    </row>
    <row r="3" spans="1:1" x14ac:dyDescent="0.2">
      <c r="A3" t="s">
        <v>360</v>
      </c>
    </row>
    <row r="4" spans="1:1" x14ac:dyDescent="0.2">
      <c r="A4" t="s">
        <v>361</v>
      </c>
    </row>
    <row r="5" spans="1:1" ht="80" x14ac:dyDescent="0.2">
      <c r="A5" s="7" t="s">
        <v>362</v>
      </c>
    </row>
    <row r="7" spans="1:1" x14ac:dyDescent="0.2">
      <c r="A7" s="85" t="s">
        <v>357</v>
      </c>
    </row>
    <row r="37" spans="1:1" x14ac:dyDescent="0.2">
      <c r="A37" s="85" t="s">
        <v>363</v>
      </c>
    </row>
    <row r="66" spans="1:1" x14ac:dyDescent="0.2">
      <c r="A66" s="85" t="s">
        <v>364</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B84D-7A3D-4277-A366-433F72622F6D}">
  <dimension ref="A1:O46"/>
  <sheetViews>
    <sheetView workbookViewId="0"/>
  </sheetViews>
  <sheetFormatPr baseColWidth="10" defaultColWidth="9.1640625" defaultRowHeight="15" x14ac:dyDescent="0.2"/>
  <cols>
    <col min="1" max="3" width="3.6640625" customWidth="1"/>
    <col min="4" max="4" width="34.33203125" bestFit="1" customWidth="1"/>
    <col min="5" max="5" width="9" customWidth="1"/>
    <col min="6" max="6" width="6.6640625" customWidth="1"/>
    <col min="8" max="8" width="9.1640625" bestFit="1" customWidth="1"/>
  </cols>
  <sheetData>
    <row r="1" spans="1:15" x14ac:dyDescent="0.2">
      <c r="A1" t="s">
        <v>365</v>
      </c>
      <c r="O1" t="str">
        <f>A1&amp;": "&amp;A2</f>
        <v>Single Family: New Construction</v>
      </c>
    </row>
    <row r="2" spans="1:15" x14ac:dyDescent="0.2">
      <c r="A2" t="s">
        <v>366</v>
      </c>
    </row>
    <row r="3" spans="1:15" x14ac:dyDescent="0.2">
      <c r="A3" t="s">
        <v>367</v>
      </c>
    </row>
    <row r="4" spans="1:15" x14ac:dyDescent="0.2">
      <c r="A4" s="101">
        <v>3</v>
      </c>
      <c r="B4" s="101"/>
      <c r="C4" s="101"/>
    </row>
    <row r="5" spans="1:15" x14ac:dyDescent="0.2">
      <c r="F5" s="1"/>
      <c r="G5" s="2"/>
      <c r="H5" s="3"/>
    </row>
    <row r="6" spans="1:15" x14ac:dyDescent="0.2">
      <c r="B6" t="s">
        <v>368</v>
      </c>
      <c r="F6" s="1"/>
      <c r="G6" s="2"/>
      <c r="H6" s="3"/>
    </row>
    <row r="7" spans="1:15" x14ac:dyDescent="0.2">
      <c r="C7" t="s">
        <v>369</v>
      </c>
      <c r="F7" s="1"/>
      <c r="G7" s="2"/>
      <c r="H7" s="3"/>
    </row>
    <row r="8" spans="1:15" x14ac:dyDescent="0.2">
      <c r="D8" t="s">
        <v>370</v>
      </c>
      <c r="F8" s="1"/>
      <c r="G8" s="2"/>
      <c r="H8" s="4" t="s">
        <v>371</v>
      </c>
    </row>
    <row r="9" spans="1:15" x14ac:dyDescent="0.2">
      <c r="D9" t="s">
        <v>372</v>
      </c>
      <c r="F9" s="1"/>
      <c r="G9" s="2"/>
      <c r="H9" s="5"/>
    </row>
    <row r="10" spans="1:15" x14ac:dyDescent="0.2">
      <c r="F10" s="1"/>
      <c r="G10" s="5"/>
      <c r="H10" s="5"/>
    </row>
    <row r="11" spans="1:15" x14ac:dyDescent="0.2">
      <c r="F11" s="1"/>
      <c r="G11" s="2"/>
      <c r="H11" s="5">
        <f t="shared" ref="H11:H31" si="0">E11*G11</f>
        <v>0</v>
      </c>
    </row>
    <row r="12" spans="1:15" x14ac:dyDescent="0.2">
      <c r="B12" t="s">
        <v>373</v>
      </c>
      <c r="F12" s="1"/>
      <c r="G12" s="2"/>
      <c r="H12" s="5">
        <f t="shared" si="0"/>
        <v>0</v>
      </c>
    </row>
    <row r="13" spans="1:15" x14ac:dyDescent="0.2">
      <c r="C13" t="s">
        <v>374</v>
      </c>
      <c r="F13" s="1"/>
      <c r="G13" s="2"/>
      <c r="H13" s="5">
        <f t="shared" si="0"/>
        <v>0</v>
      </c>
    </row>
    <row r="14" spans="1:15" x14ac:dyDescent="0.2">
      <c r="D14" t="s">
        <v>375</v>
      </c>
      <c r="E14">
        <v>1</v>
      </c>
      <c r="F14" s="1" t="s">
        <v>376</v>
      </c>
      <c r="G14" s="2"/>
      <c r="H14" s="20" t="s">
        <v>377</v>
      </c>
    </row>
    <row r="15" spans="1:15" ht="32" x14ac:dyDescent="0.2">
      <c r="D15" s="6" t="s">
        <v>378</v>
      </c>
      <c r="F15" s="1"/>
      <c r="G15" s="2"/>
      <c r="H15" s="5">
        <f t="shared" si="0"/>
        <v>0</v>
      </c>
    </row>
    <row r="16" spans="1:15" ht="16" x14ac:dyDescent="0.2">
      <c r="D16" s="7" t="s">
        <v>379</v>
      </c>
      <c r="E16">
        <v>1</v>
      </c>
      <c r="F16" s="1" t="s">
        <v>380</v>
      </c>
      <c r="G16" s="2">
        <v>50</v>
      </c>
      <c r="H16" s="5">
        <f t="shared" si="0"/>
        <v>50</v>
      </c>
    </row>
    <row r="17" spans="2:8" x14ac:dyDescent="0.2">
      <c r="D17" t="s">
        <v>370</v>
      </c>
      <c r="E17">
        <v>6</v>
      </c>
      <c r="F17" s="1" t="s">
        <v>381</v>
      </c>
      <c r="G17" s="2">
        <f>VLOOKUP($A$4,zone_lu,4)</f>
        <v>95</v>
      </c>
      <c r="H17" s="5">
        <f t="shared" si="0"/>
        <v>570</v>
      </c>
    </row>
    <row r="18" spans="2:8" x14ac:dyDescent="0.2">
      <c r="C18" t="s">
        <v>382</v>
      </c>
      <c r="F18" s="1"/>
      <c r="G18" s="2"/>
      <c r="H18" s="5">
        <f t="shared" si="0"/>
        <v>0</v>
      </c>
    </row>
    <row r="19" spans="2:8" x14ac:dyDescent="0.2">
      <c r="D19" t="s">
        <v>383</v>
      </c>
      <c r="F19" s="1"/>
      <c r="G19" s="2"/>
      <c r="H19" s="5"/>
    </row>
    <row r="20" spans="2:8" ht="32" x14ac:dyDescent="0.2">
      <c r="D20" s="8" t="s">
        <v>384</v>
      </c>
      <c r="E20">
        <v>1</v>
      </c>
      <c r="F20" s="1" t="s">
        <v>380</v>
      </c>
      <c r="G20" s="2">
        <v>400</v>
      </c>
      <c r="H20" s="5">
        <f t="shared" si="0"/>
        <v>400</v>
      </c>
    </row>
    <row r="21" spans="2:8" x14ac:dyDescent="0.2">
      <c r="D21" s="9" t="s">
        <v>385</v>
      </c>
      <c r="E21">
        <v>1</v>
      </c>
      <c r="F21" s="1" t="s">
        <v>380</v>
      </c>
      <c r="G21" s="2">
        <v>100</v>
      </c>
      <c r="H21" s="5">
        <f t="shared" si="0"/>
        <v>100</v>
      </c>
    </row>
    <row r="22" spans="2:8" x14ac:dyDescent="0.2">
      <c r="D22" t="s">
        <v>370</v>
      </c>
      <c r="E22">
        <v>2</v>
      </c>
      <c r="F22" s="1" t="s">
        <v>381</v>
      </c>
      <c r="G22" s="2">
        <f>VLOOKUP($A$4,zone_lu,4)</f>
        <v>95</v>
      </c>
      <c r="H22" s="5">
        <f t="shared" si="0"/>
        <v>190</v>
      </c>
    </row>
    <row r="23" spans="2:8" x14ac:dyDescent="0.2">
      <c r="C23" t="s">
        <v>386</v>
      </c>
      <c r="F23" s="1"/>
      <c r="G23" s="2"/>
      <c r="H23" s="5"/>
    </row>
    <row r="24" spans="2:8" x14ac:dyDescent="0.2">
      <c r="D24" t="s">
        <v>387</v>
      </c>
      <c r="E24">
        <v>1</v>
      </c>
      <c r="F24" s="1" t="s">
        <v>376</v>
      </c>
      <c r="G24" s="2">
        <v>125</v>
      </c>
      <c r="H24" s="5">
        <f t="shared" ref="H24:H27" si="1">E24*G24</f>
        <v>125</v>
      </c>
    </row>
    <row r="25" spans="2:8" x14ac:dyDescent="0.2">
      <c r="D25" t="s">
        <v>388</v>
      </c>
      <c r="F25" s="1"/>
      <c r="G25" s="2"/>
      <c r="H25" s="4" t="s">
        <v>371</v>
      </c>
    </row>
    <row r="26" spans="2:8" x14ac:dyDescent="0.2">
      <c r="D26" t="s">
        <v>389</v>
      </c>
      <c r="F26" s="1"/>
      <c r="G26" s="2"/>
      <c r="H26" s="4" t="s">
        <v>371</v>
      </c>
    </row>
    <row r="27" spans="2:8" x14ac:dyDescent="0.2">
      <c r="D27" t="s">
        <v>370</v>
      </c>
      <c r="E27">
        <v>8</v>
      </c>
      <c r="F27" s="1" t="s">
        <v>381</v>
      </c>
      <c r="G27" s="2">
        <f>VLOOKUP($A$4,zone_lu,4)</f>
        <v>95</v>
      </c>
      <c r="H27" s="5">
        <f t="shared" si="1"/>
        <v>760</v>
      </c>
    </row>
    <row r="28" spans="2:8" x14ac:dyDescent="0.2">
      <c r="E28" s="10"/>
      <c r="F28" s="11"/>
      <c r="G28" s="12"/>
      <c r="H28" s="13">
        <f>SUBTOTAL(9,H12:H27)</f>
        <v>2195</v>
      </c>
    </row>
    <row r="29" spans="2:8" x14ac:dyDescent="0.2">
      <c r="F29" s="1"/>
      <c r="G29" s="2"/>
      <c r="H29" s="5"/>
    </row>
    <row r="30" spans="2:8" x14ac:dyDescent="0.2">
      <c r="C30" t="s">
        <v>390</v>
      </c>
      <c r="F30" s="1"/>
      <c r="G30" s="2"/>
      <c r="H30" s="5">
        <f>SUBTOTAL(9,H6:H29)</f>
        <v>2195</v>
      </c>
    </row>
    <row r="31" spans="2:8" x14ac:dyDescent="0.2">
      <c r="F31" s="1"/>
      <c r="G31" s="2"/>
      <c r="H31" s="5">
        <f t="shared" si="0"/>
        <v>0</v>
      </c>
    </row>
    <row r="32" spans="2:8" x14ac:dyDescent="0.2">
      <c r="B32" t="s">
        <v>391</v>
      </c>
      <c r="E32" s="14">
        <f>ROUND(VLOOKUP($A$4,zone_lu,5)*0.6,2)</f>
        <v>0.12</v>
      </c>
      <c r="F32" s="1"/>
      <c r="G32" s="2"/>
      <c r="H32" s="5">
        <f>ROUND(H30*E32,0)</f>
        <v>263</v>
      </c>
    </row>
    <row r="33" spans="2:8" x14ac:dyDescent="0.2">
      <c r="E33" s="14"/>
      <c r="F33" s="1"/>
      <c r="G33" s="2"/>
      <c r="H33" s="5"/>
    </row>
    <row r="34" spans="2:8" x14ac:dyDescent="0.2">
      <c r="B34" t="s">
        <v>392</v>
      </c>
      <c r="E34" s="14">
        <f>ROUND(VLOOKUP($A$4,zone_lu,6)*0.4,2)</f>
        <v>0.04</v>
      </c>
      <c r="F34" s="1"/>
      <c r="G34" s="2"/>
      <c r="H34" s="5">
        <f>ROUND(SUM(H30:H33)*E34,0)</f>
        <v>98</v>
      </c>
    </row>
    <row r="35" spans="2:8" x14ac:dyDescent="0.2">
      <c r="E35" s="14"/>
      <c r="F35" s="1"/>
      <c r="G35" s="2"/>
      <c r="H35" s="5"/>
    </row>
    <row r="36" spans="2:8" x14ac:dyDescent="0.2">
      <c r="B36" t="s">
        <v>393</v>
      </c>
      <c r="E36" s="14">
        <f>VLOOKUP($A$4,zone_lu,7)</f>
        <v>1.2500000000000001E-2</v>
      </c>
      <c r="F36" s="1"/>
      <c r="G36" s="2"/>
      <c r="H36" s="5">
        <f>ROUND(SUM(H30:H35)*E36,0)</f>
        <v>32</v>
      </c>
    </row>
    <row r="37" spans="2:8" x14ac:dyDescent="0.2">
      <c r="E37" s="14"/>
      <c r="F37" s="1"/>
      <c r="G37" s="2"/>
      <c r="H37" s="5"/>
    </row>
    <row r="38" spans="2:8" x14ac:dyDescent="0.2">
      <c r="B38" t="s">
        <v>394</v>
      </c>
      <c r="E38" s="14"/>
      <c r="F38" s="1"/>
      <c r="G38" s="2"/>
      <c r="H38" s="5">
        <f>ROUND(SUM(H30:H37)*E38,0)</f>
        <v>0</v>
      </c>
    </row>
    <row r="39" spans="2:8" x14ac:dyDescent="0.2">
      <c r="F39" s="1"/>
      <c r="G39" s="2"/>
      <c r="H39" s="5">
        <f t="shared" ref="H39:H41" si="2">E39*G39</f>
        <v>0</v>
      </c>
    </row>
    <row r="40" spans="2:8" ht="16" thickBot="1" x14ac:dyDescent="0.25">
      <c r="B40" s="15" t="s">
        <v>395</v>
      </c>
      <c r="C40" s="15"/>
      <c r="D40" s="15"/>
      <c r="E40" s="15"/>
      <c r="F40" s="16"/>
      <c r="G40" s="17"/>
      <c r="H40" s="18"/>
    </row>
    <row r="41" spans="2:8" ht="16" thickTop="1" x14ac:dyDescent="0.2">
      <c r="E41" s="19"/>
      <c r="F41" s="1"/>
      <c r="G41" s="2"/>
      <c r="H41" s="5">
        <f t="shared" si="2"/>
        <v>0</v>
      </c>
    </row>
    <row r="42" spans="2:8" x14ac:dyDescent="0.2">
      <c r="E42" s="19"/>
      <c r="F42" s="1"/>
      <c r="G42" s="2"/>
      <c r="H42" s="5"/>
    </row>
    <row r="43" spans="2:8" x14ac:dyDescent="0.2">
      <c r="E43" s="19"/>
      <c r="F43" s="1"/>
      <c r="G43" s="2"/>
      <c r="H43" s="5"/>
    </row>
    <row r="44" spans="2:8" x14ac:dyDescent="0.2">
      <c r="E44" s="19"/>
      <c r="F44" s="1"/>
      <c r="G44" s="2"/>
      <c r="H44" s="5"/>
    </row>
    <row r="46" spans="2:8" x14ac:dyDescent="0.2">
      <c r="H46" s="5"/>
    </row>
  </sheetData>
  <mergeCells count="1">
    <mergeCell ref="A4: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FA33-0416-49A6-B445-E4B809EF22C3}">
  <dimension ref="A1:O46"/>
  <sheetViews>
    <sheetView workbookViewId="0"/>
  </sheetViews>
  <sheetFormatPr baseColWidth="10" defaultColWidth="9.1640625" defaultRowHeight="15" x14ac:dyDescent="0.2"/>
  <cols>
    <col min="1" max="3" width="3.6640625" customWidth="1"/>
    <col min="4" max="4" width="34.33203125" bestFit="1" customWidth="1"/>
    <col min="5" max="5" width="9" customWidth="1"/>
    <col min="6" max="6" width="6.6640625" customWidth="1"/>
    <col min="8" max="8" width="9.1640625" bestFit="1" customWidth="1"/>
  </cols>
  <sheetData>
    <row r="1" spans="1:15" x14ac:dyDescent="0.2">
      <c r="A1" t="s">
        <v>365</v>
      </c>
      <c r="O1" t="str">
        <f>A1&amp;": "&amp;A2</f>
        <v>Single Family: New Construction</v>
      </c>
    </row>
    <row r="2" spans="1:15" x14ac:dyDescent="0.2">
      <c r="A2" t="s">
        <v>366</v>
      </c>
    </row>
    <row r="3" spans="1:15" x14ac:dyDescent="0.2">
      <c r="A3" t="s">
        <v>367</v>
      </c>
    </row>
    <row r="4" spans="1:15" x14ac:dyDescent="0.2">
      <c r="A4" s="101">
        <v>3</v>
      </c>
      <c r="B4" s="101"/>
      <c r="C4" s="101"/>
    </row>
    <row r="5" spans="1:15" x14ac:dyDescent="0.2">
      <c r="F5" s="1"/>
      <c r="G5" s="2"/>
      <c r="H5" s="3"/>
    </row>
    <row r="6" spans="1:15" x14ac:dyDescent="0.2">
      <c r="B6" t="s">
        <v>368</v>
      </c>
      <c r="F6" s="1"/>
      <c r="G6" s="2"/>
      <c r="H6" s="3"/>
    </row>
    <row r="7" spans="1:15" x14ac:dyDescent="0.2">
      <c r="C7" t="s">
        <v>369</v>
      </c>
      <c r="F7" s="1"/>
      <c r="G7" s="2"/>
      <c r="H7" s="3"/>
    </row>
    <row r="8" spans="1:15" x14ac:dyDescent="0.2">
      <c r="D8" t="s">
        <v>370</v>
      </c>
      <c r="F8" s="1"/>
      <c r="G8" s="2"/>
      <c r="H8" s="4" t="s">
        <v>371</v>
      </c>
    </row>
    <row r="9" spans="1:15" x14ac:dyDescent="0.2">
      <c r="D9" t="s">
        <v>372</v>
      </c>
      <c r="F9" s="1"/>
      <c r="G9" s="2"/>
      <c r="H9" s="5"/>
    </row>
    <row r="10" spans="1:15" x14ac:dyDescent="0.2">
      <c r="F10" s="1"/>
      <c r="G10" s="5"/>
      <c r="H10" s="5"/>
    </row>
    <row r="11" spans="1:15" x14ac:dyDescent="0.2">
      <c r="F11" s="1"/>
      <c r="G11" s="2"/>
      <c r="H11" s="5">
        <f t="shared" ref="H11:H31" si="0">E11*G11</f>
        <v>0</v>
      </c>
    </row>
    <row r="12" spans="1:15" x14ac:dyDescent="0.2">
      <c r="B12" t="s">
        <v>373</v>
      </c>
      <c r="F12" s="1"/>
      <c r="G12" s="2"/>
      <c r="H12" s="5">
        <f t="shared" si="0"/>
        <v>0</v>
      </c>
    </row>
    <row r="13" spans="1:15" x14ac:dyDescent="0.2">
      <c r="C13" t="s">
        <v>374</v>
      </c>
      <c r="F13" s="1"/>
      <c r="G13" s="2"/>
      <c r="H13" s="5">
        <f t="shared" si="0"/>
        <v>0</v>
      </c>
    </row>
    <row r="14" spans="1:15" x14ac:dyDescent="0.2">
      <c r="D14" t="s">
        <v>375</v>
      </c>
      <c r="E14">
        <v>1</v>
      </c>
      <c r="F14" s="1" t="s">
        <v>376</v>
      </c>
      <c r="G14" s="2"/>
      <c r="H14" s="20" t="s">
        <v>377</v>
      </c>
    </row>
    <row r="15" spans="1:15" ht="32" x14ac:dyDescent="0.2">
      <c r="D15" s="6" t="s">
        <v>378</v>
      </c>
      <c r="F15" s="1"/>
      <c r="G15" s="2"/>
      <c r="H15" s="5">
        <f t="shared" si="0"/>
        <v>0</v>
      </c>
    </row>
    <row r="16" spans="1:15" ht="16" x14ac:dyDescent="0.2">
      <c r="D16" s="7" t="s">
        <v>379</v>
      </c>
      <c r="E16">
        <v>1</v>
      </c>
      <c r="F16" s="1" t="s">
        <v>380</v>
      </c>
      <c r="G16" s="2">
        <v>50</v>
      </c>
      <c r="H16" s="5">
        <f t="shared" si="0"/>
        <v>50</v>
      </c>
    </row>
    <row r="17" spans="2:8" x14ac:dyDescent="0.2">
      <c r="D17" t="s">
        <v>370</v>
      </c>
      <c r="E17">
        <v>6</v>
      </c>
      <c r="F17" s="1" t="s">
        <v>381</v>
      </c>
      <c r="G17" s="2">
        <f>VLOOKUP($A$4,zone_lu,4)</f>
        <v>95</v>
      </c>
      <c r="H17" s="5">
        <f t="shared" si="0"/>
        <v>570</v>
      </c>
    </row>
    <row r="18" spans="2:8" x14ac:dyDescent="0.2">
      <c r="C18" t="s">
        <v>382</v>
      </c>
      <c r="F18" s="1"/>
      <c r="G18" s="2"/>
      <c r="H18" s="5">
        <f t="shared" si="0"/>
        <v>0</v>
      </c>
    </row>
    <row r="19" spans="2:8" x14ac:dyDescent="0.2">
      <c r="D19" t="s">
        <v>383</v>
      </c>
      <c r="F19" s="1"/>
      <c r="G19" s="2"/>
      <c r="H19" s="5"/>
    </row>
    <row r="20" spans="2:8" ht="32" x14ac:dyDescent="0.2">
      <c r="D20" s="8" t="s">
        <v>384</v>
      </c>
      <c r="E20">
        <v>1</v>
      </c>
      <c r="F20" s="1" t="s">
        <v>380</v>
      </c>
      <c r="G20" s="2">
        <v>400</v>
      </c>
      <c r="H20" s="5">
        <f t="shared" si="0"/>
        <v>400</v>
      </c>
    </row>
    <row r="21" spans="2:8" x14ac:dyDescent="0.2">
      <c r="D21" s="9" t="s">
        <v>385</v>
      </c>
      <c r="E21">
        <v>1</v>
      </c>
      <c r="F21" s="1" t="s">
        <v>380</v>
      </c>
      <c r="G21" s="2">
        <v>100</v>
      </c>
      <c r="H21" s="5">
        <f t="shared" si="0"/>
        <v>100</v>
      </c>
    </row>
    <row r="22" spans="2:8" x14ac:dyDescent="0.2">
      <c r="D22" t="s">
        <v>370</v>
      </c>
      <c r="E22">
        <v>2</v>
      </c>
      <c r="F22" s="1" t="s">
        <v>381</v>
      </c>
      <c r="G22" s="2">
        <f>VLOOKUP($A$4,zone_lu,4)</f>
        <v>95</v>
      </c>
      <c r="H22" s="5">
        <f t="shared" si="0"/>
        <v>190</v>
      </c>
    </row>
    <row r="23" spans="2:8" x14ac:dyDescent="0.2">
      <c r="C23" t="s">
        <v>386</v>
      </c>
      <c r="F23" s="1"/>
      <c r="G23" s="2"/>
      <c r="H23" s="5"/>
    </row>
    <row r="24" spans="2:8" x14ac:dyDescent="0.2">
      <c r="D24" t="s">
        <v>387</v>
      </c>
      <c r="E24">
        <v>1</v>
      </c>
      <c r="F24" s="1" t="s">
        <v>376</v>
      </c>
      <c r="G24" s="2">
        <v>125</v>
      </c>
      <c r="H24" s="5">
        <f t="shared" ref="H24:H27" si="1">E24*G24</f>
        <v>125</v>
      </c>
    </row>
    <row r="25" spans="2:8" x14ac:dyDescent="0.2">
      <c r="D25" t="s">
        <v>388</v>
      </c>
      <c r="F25" s="1"/>
      <c r="G25" s="2"/>
      <c r="H25" s="4" t="s">
        <v>371</v>
      </c>
    </row>
    <row r="26" spans="2:8" x14ac:dyDescent="0.2">
      <c r="D26" t="s">
        <v>389</v>
      </c>
      <c r="F26" s="1"/>
      <c r="G26" s="2"/>
      <c r="H26" s="4" t="s">
        <v>371</v>
      </c>
    </row>
    <row r="27" spans="2:8" x14ac:dyDescent="0.2">
      <c r="D27" t="s">
        <v>370</v>
      </c>
      <c r="E27">
        <v>8</v>
      </c>
      <c r="F27" s="1" t="s">
        <v>381</v>
      </c>
      <c r="G27" s="2">
        <f>VLOOKUP($A$4,zone_lu,4)</f>
        <v>95</v>
      </c>
      <c r="H27" s="5">
        <f t="shared" si="1"/>
        <v>760</v>
      </c>
    </row>
    <row r="28" spans="2:8" x14ac:dyDescent="0.2">
      <c r="E28" s="10"/>
      <c r="F28" s="11"/>
      <c r="G28" s="12"/>
      <c r="H28" s="13">
        <f>SUBTOTAL(9,H12:H27)</f>
        <v>2195</v>
      </c>
    </row>
    <row r="29" spans="2:8" x14ac:dyDescent="0.2">
      <c r="F29" s="1"/>
      <c r="G29" s="2"/>
      <c r="H29" s="5"/>
    </row>
    <row r="30" spans="2:8" x14ac:dyDescent="0.2">
      <c r="C30" t="s">
        <v>390</v>
      </c>
      <c r="F30" s="1"/>
      <c r="G30" s="2"/>
      <c r="H30" s="5">
        <f>SUBTOTAL(9,H6:H29)</f>
        <v>2195</v>
      </c>
    </row>
    <row r="31" spans="2:8" x14ac:dyDescent="0.2">
      <c r="F31" s="1"/>
      <c r="G31" s="2"/>
      <c r="H31" s="5">
        <f t="shared" si="0"/>
        <v>0</v>
      </c>
    </row>
    <row r="32" spans="2:8" x14ac:dyDescent="0.2">
      <c r="B32" t="s">
        <v>391</v>
      </c>
      <c r="E32" s="14">
        <f>ROUND(VLOOKUP($A$4,zone_lu,5)*0.6,2)</f>
        <v>0.12</v>
      </c>
      <c r="F32" s="1"/>
      <c r="G32" s="2"/>
      <c r="H32" s="5">
        <f>ROUND(H30*E32,0)</f>
        <v>263</v>
      </c>
    </row>
    <row r="33" spans="2:8" x14ac:dyDescent="0.2">
      <c r="E33" s="14"/>
      <c r="F33" s="1"/>
      <c r="G33" s="2"/>
      <c r="H33" s="5"/>
    </row>
    <row r="34" spans="2:8" x14ac:dyDescent="0.2">
      <c r="B34" t="s">
        <v>392</v>
      </c>
      <c r="E34" s="14">
        <f>ROUND(VLOOKUP($A$4,zone_lu,6)*0.4,2)</f>
        <v>0.04</v>
      </c>
      <c r="F34" s="1"/>
      <c r="G34" s="2"/>
      <c r="H34" s="5">
        <f>ROUND(SUM(H30:H33)*E34,0)</f>
        <v>98</v>
      </c>
    </row>
    <row r="35" spans="2:8" x14ac:dyDescent="0.2">
      <c r="E35" s="14"/>
      <c r="F35" s="1"/>
      <c r="G35" s="2"/>
      <c r="H35" s="5"/>
    </row>
    <row r="36" spans="2:8" x14ac:dyDescent="0.2">
      <c r="B36" t="s">
        <v>393</v>
      </c>
      <c r="E36" s="14">
        <f>VLOOKUP($A$4,zone_lu,7)</f>
        <v>1.2500000000000001E-2</v>
      </c>
      <c r="F36" s="1"/>
      <c r="G36" s="2"/>
      <c r="H36" s="5">
        <f>ROUND(SUM(H30:H35)*E36,0)</f>
        <v>32</v>
      </c>
    </row>
    <row r="37" spans="2:8" x14ac:dyDescent="0.2">
      <c r="E37" s="14"/>
      <c r="F37" s="1"/>
      <c r="G37" s="2"/>
      <c r="H37" s="5"/>
    </row>
    <row r="38" spans="2:8" x14ac:dyDescent="0.2">
      <c r="B38" t="s">
        <v>394</v>
      </c>
      <c r="E38" s="14"/>
      <c r="F38" s="1"/>
      <c r="G38" s="2"/>
      <c r="H38" s="5">
        <f>ROUND(SUM(H30:H37)*E38,0)</f>
        <v>0</v>
      </c>
    </row>
    <row r="39" spans="2:8" x14ac:dyDescent="0.2">
      <c r="F39" s="1"/>
      <c r="G39" s="2"/>
      <c r="H39" s="5">
        <f t="shared" ref="H39:H41" si="2">E39*G39</f>
        <v>0</v>
      </c>
    </row>
    <row r="40" spans="2:8" ht="16" thickBot="1" x14ac:dyDescent="0.25">
      <c r="B40" s="15" t="s">
        <v>395</v>
      </c>
      <c r="C40" s="15"/>
      <c r="D40" s="15"/>
      <c r="E40" s="15"/>
      <c r="F40" s="16"/>
      <c r="G40" s="17"/>
      <c r="H40" s="18"/>
    </row>
    <row r="41" spans="2:8" ht="16" thickTop="1" x14ac:dyDescent="0.2">
      <c r="E41" s="19"/>
      <c r="F41" s="1"/>
      <c r="G41" s="2"/>
      <c r="H41" s="5">
        <f t="shared" si="2"/>
        <v>0</v>
      </c>
    </row>
    <row r="42" spans="2:8" x14ac:dyDescent="0.2">
      <c r="E42" s="19"/>
      <c r="F42" s="1"/>
      <c r="G42" s="2"/>
      <c r="H42" s="5"/>
    </row>
    <row r="43" spans="2:8" x14ac:dyDescent="0.2">
      <c r="E43" s="19"/>
      <c r="F43" s="1"/>
      <c r="G43" s="2"/>
      <c r="H43" s="5"/>
    </row>
    <row r="44" spans="2:8" x14ac:dyDescent="0.2">
      <c r="E44" s="19"/>
      <c r="F44" s="1"/>
      <c r="G44" s="2"/>
      <c r="H44" s="5"/>
    </row>
    <row r="46" spans="2:8" x14ac:dyDescent="0.2">
      <c r="H46" s="5"/>
    </row>
  </sheetData>
  <mergeCells count="1">
    <mergeCell ref="A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7DE877A7BB9540B3B8373855010E47" ma:contentTypeVersion="18" ma:contentTypeDescription="Create a new document." ma:contentTypeScope="" ma:versionID="19874b64ed9b84c1c53e341aa0449c17">
  <xsd:schema xmlns:xsd="http://www.w3.org/2001/XMLSchema" xmlns:xs="http://www.w3.org/2001/XMLSchema" xmlns:p="http://schemas.microsoft.com/office/2006/metadata/properties" xmlns:ns2="957fd461-8578-462d-b696-5407aa26c7b1" xmlns:ns3="a1df9832-fa29-4d0b-8301-c5ccf72ca850" targetNamespace="http://schemas.microsoft.com/office/2006/metadata/properties" ma:root="true" ma:fieldsID="fdbab4f584d1d6d30c94efb2070444e8" ns2:_="" ns3:_="">
    <xsd:import namespace="957fd461-8578-462d-b696-5407aa26c7b1"/>
    <xsd:import namespace="a1df9832-fa29-4d0b-8301-c5ccf72ca850"/>
    <xsd:element name="properties">
      <xsd:complexType>
        <xsd:sequence>
          <xsd:element name="documentManagement">
            <xsd:complexType>
              <xsd:all>
                <xsd:element ref="ns2:f45345ba61744f32a834fc65f546cdeb" minOccurs="0"/>
                <xsd:element ref="ns3:TaxCatchAll" minOccurs="0"/>
                <xsd:element ref="ns2:o59c94d1588a44a69c7c2c0dde87d1bc" minOccurs="0"/>
                <xsd:element ref="ns2:de09155069584960b602f50f24bd74fd" minOccurs="0"/>
                <xsd:element ref="ns2:Project" minOccurs="0"/>
                <xsd:element ref="ns2:je1cc72b80764a86b3fea678396b9a7f" minOccurs="0"/>
                <xsd:element ref="ns2:de621b6af24149ae9ab26f70e3571195" minOccurs="0"/>
                <xsd:element ref="ns2:p8795951edc44312889bcf3c855c8e51"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fd461-8578-462d-b696-5407aa26c7b1" elementFormDefault="qualified">
    <xsd:import namespace="http://schemas.microsoft.com/office/2006/documentManagement/types"/>
    <xsd:import namespace="http://schemas.microsoft.com/office/infopath/2007/PartnerControls"/>
    <xsd:element name="f45345ba61744f32a834fc65f546cdeb" ma:index="9" nillable="true" ma:taxonomy="true" ma:internalName="f45345ba61744f32a834fc65f546cdeb" ma:taxonomyFieldName="Document_x0020_Status" ma:displayName="Document Status" ma:default="1;#Draft|1196e416-c1e2-46e4-892a-39f21fb650b4" ma:fieldId="{f45345ba-6174-4f32-a834-fc65f546cdeb}" ma:sspId="78ca830c-a034-4168-b956-d7763e68b615" ma:termSetId="d65b1371-216a-449b-be5c-ac755384594b" ma:anchorId="00000000-0000-0000-0000-000000000000" ma:open="false" ma:isKeyword="false">
      <xsd:complexType>
        <xsd:sequence>
          <xsd:element ref="pc:Terms" minOccurs="0" maxOccurs="1"/>
        </xsd:sequence>
      </xsd:complexType>
    </xsd:element>
    <xsd:element name="o59c94d1588a44a69c7c2c0dde87d1bc" ma:index="12" nillable="true" ma:taxonomy="true" ma:internalName="o59c94d1588a44a69c7c2c0dde87d1bc" ma:taxonomyFieldName="Program" ma:displayName="Program" ma:default="2;#Buildings|6d5332a4-270e-4d3f-9006-80a36a781c0d" ma:fieldId="{859c94d1-588a-44a6-9c7c-2c0dde87d1bc}" ma:sspId="78ca830c-a034-4168-b956-d7763e68b615" ma:termSetId="fb5b2e61-77ad-482a-9c70-531e7aa7f77d" ma:anchorId="00000000-0000-0000-0000-000000000000" ma:open="false" ma:isKeyword="false">
      <xsd:complexType>
        <xsd:sequence>
          <xsd:element ref="pc:Terms" minOccurs="0" maxOccurs="1"/>
        </xsd:sequence>
      </xsd:complexType>
    </xsd:element>
    <xsd:element name="de09155069584960b602f50f24bd74fd" ma:index="14" nillable="true" ma:taxonomy="true" ma:internalName="de09155069584960b602f50f24bd74fd" ma:taxonomyFieldName="Initiative" ma:displayName="Initiative" ma:default="3;#BLD - Residential Energy +|8baa4d84-f460-40fd-90d3-b2fd3e52be24" ma:fieldId="{de091550-6958-4960-b602-f50f24bd74fd}" ma:sspId="78ca830c-a034-4168-b956-d7763e68b615" ma:termSetId="903b7f5a-2ae5-4e42-8208-77428af6ee1e" ma:anchorId="00000000-0000-0000-0000-000000000000" ma:open="false" ma:isKeyword="false">
      <xsd:complexType>
        <xsd:sequence>
          <xsd:element ref="pc:Terms" minOccurs="0" maxOccurs="1"/>
        </xsd:sequence>
      </xsd:complexType>
    </xsd:element>
    <xsd:element name="Project" ma:index="15" nillable="true" ma:displayName="Project" ma:default="Economics of ZE Homes" ma:format="Dropdown" ma:internalName="Project">
      <xsd:simpleType>
        <xsd:restriction base="dms:Choice">
          <xsd:enumeration value="Economics of ZE Homes"/>
        </xsd:restriction>
      </xsd:simpleType>
    </xsd:element>
    <xsd:element name="je1cc72b80764a86b3fea678396b9a7f" ma:index="17" nillable="true" ma:taxonomy="true" ma:internalName="je1cc72b80764a86b3fea678396b9a7f" ma:taxonomyFieldName="Countries_x0020_Impacted" ma:displayName="Countries Impacted" ma:default="" ma:fieldId="{3e1cc72b-8076-4a86-b3fe-a678396b9a7f}" ma:taxonomyMulti="true" ma:sspId="78ca830c-a034-4168-b956-d7763e68b615" ma:termSetId="e1c3647c-981b-42b1-93b5-578d8c5389fd" ma:anchorId="00000000-0000-0000-0000-000000000000" ma:open="false" ma:isKeyword="false">
      <xsd:complexType>
        <xsd:sequence>
          <xsd:element ref="pc:Terms" minOccurs="0" maxOccurs="1"/>
        </xsd:sequence>
      </xsd:complexType>
    </xsd:element>
    <xsd:element name="de621b6af24149ae9ab26f70e3571195" ma:index="19" nillable="true" ma:taxonomy="true" ma:internalName="de621b6af24149ae9ab26f70e3571195" ma:taxonomyFieldName="Technology" ma:displayName="Technology" ma:default="" ma:fieldId="{de621b6a-f241-49ae-9ab2-6f70e3571195}" ma:sspId="78ca830c-a034-4168-b956-d7763e68b615" ma:termSetId="fb0d05d2-464d-47d8-b8c5-88e37d853ee5" ma:anchorId="00000000-0000-0000-0000-000000000000" ma:open="false" ma:isKeyword="false">
      <xsd:complexType>
        <xsd:sequence>
          <xsd:element ref="pc:Terms" minOccurs="0" maxOccurs="1"/>
        </xsd:sequence>
      </xsd:complexType>
    </xsd:element>
    <xsd:element name="p8795951edc44312889bcf3c855c8e51" ma:index="21" nillable="true" ma:taxonomy="true" ma:internalName="p8795951edc44312889bcf3c855c8e51" ma:taxonomyFieldName="Legal_x0020_Designation" ma:displayName="Legal Designation" ma:default="4;#Unrestricted|e3b3d182-2f78-40d0-877f-b4ead85fe795" ma:fieldId="{98795951-edc4-4312-889b-cf3c855c8e51}" ma:sspId="78ca830c-a034-4168-b956-d7763e68b615" ma:termSetId="d7cab2b2-b4f8-46a9-89b2-4eecb42d47ca" ma:anchorId="00000000-0000-0000-0000-000000000000"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9c4c15e-80b1-4c91-af18-84b97c09fb2f}" ma:internalName="TaxCatchAll" ma:showField="CatchAllData" ma:web="aedf0ddc-96a8-4033-a4b0-1bf9805815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je1cc72b80764a86b3fea678396b9a7f xmlns="957fd461-8578-462d-b696-5407aa26c7b1">
      <Terms xmlns="http://schemas.microsoft.com/office/infopath/2007/PartnerControls"/>
    </je1cc72b80764a86b3fea678396b9a7f>
    <Project xmlns="957fd461-8578-462d-b696-5407aa26c7b1">Economics of ZE Homes</Project>
    <TaxCatchAll xmlns="a1df9832-fa29-4d0b-8301-c5ccf72ca850">
      <Value>4</Value>
      <Value>3</Value>
      <Value>2</Value>
      <Value>1</Value>
    </TaxCatchAll>
    <de09155069584960b602f50f24bd74fd xmlns="957fd461-8578-462d-b696-5407aa26c7b1">
      <Terms xmlns="http://schemas.microsoft.com/office/infopath/2007/PartnerControls">
        <TermInfo xmlns="http://schemas.microsoft.com/office/infopath/2007/PartnerControls">
          <TermName xmlns="http://schemas.microsoft.com/office/infopath/2007/PartnerControls">BLD - Residential Energy +</TermName>
          <TermId xmlns="http://schemas.microsoft.com/office/infopath/2007/PartnerControls">8baa4d84-f460-40fd-90d3-b2fd3e52be24</TermId>
        </TermInfo>
      </Terms>
    </de09155069584960b602f50f24bd74fd>
    <p8795951edc44312889bcf3c855c8e51 xmlns="957fd461-8578-462d-b696-5407aa26c7b1">
      <Terms xmlns="http://schemas.microsoft.com/office/infopath/2007/PartnerControls">
        <TermInfo xmlns="http://schemas.microsoft.com/office/infopath/2007/PartnerControls">
          <TermName xmlns="http://schemas.microsoft.com/office/infopath/2007/PartnerControls">Unrestricted</TermName>
          <TermId xmlns="http://schemas.microsoft.com/office/infopath/2007/PartnerControls">e3b3d182-2f78-40d0-877f-b4ead85fe795</TermId>
        </TermInfo>
      </Terms>
    </p8795951edc44312889bcf3c855c8e51>
    <de621b6af24149ae9ab26f70e3571195 xmlns="957fd461-8578-462d-b696-5407aa26c7b1">
      <Terms xmlns="http://schemas.microsoft.com/office/infopath/2007/PartnerControls"/>
    </de621b6af24149ae9ab26f70e3571195>
    <f45345ba61744f32a834fc65f546cdeb xmlns="957fd461-8578-462d-b696-5407aa26c7b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1196e416-c1e2-46e4-892a-39f21fb650b4</TermId>
        </TermInfo>
      </Terms>
    </f45345ba61744f32a834fc65f546cdeb>
    <o59c94d1588a44a69c7c2c0dde87d1bc xmlns="957fd461-8578-462d-b696-5407aa26c7b1">
      <Terms xmlns="http://schemas.microsoft.com/office/infopath/2007/PartnerControls">
        <TermInfo xmlns="http://schemas.microsoft.com/office/infopath/2007/PartnerControls">
          <TermName xmlns="http://schemas.microsoft.com/office/infopath/2007/PartnerControls">Buildings</TermName>
          <TermId xmlns="http://schemas.microsoft.com/office/infopath/2007/PartnerControls">6d5332a4-270e-4d3f-9006-80a36a781c0d</TermId>
        </TermInfo>
      </Terms>
    </o59c94d1588a44a69c7c2c0dde87d1bc>
  </documentManagement>
</p:properties>
</file>

<file path=customXml/itemProps1.xml><?xml version="1.0" encoding="utf-8"?>
<ds:datastoreItem xmlns:ds="http://schemas.openxmlformats.org/officeDocument/2006/customXml" ds:itemID="{4B01CC1F-A390-4042-88F1-88FDC8D962CD}">
  <ds:schemaRefs>
    <ds:schemaRef ds:uri="http://schemas.microsoft.com/sharepoint/v3/contenttype/forms"/>
  </ds:schemaRefs>
</ds:datastoreItem>
</file>

<file path=customXml/itemProps2.xml><?xml version="1.0" encoding="utf-8"?>
<ds:datastoreItem xmlns:ds="http://schemas.openxmlformats.org/officeDocument/2006/customXml" ds:itemID="{676D173A-7D3A-48A5-AEEA-B2BB32C7D3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fd461-8578-462d-b696-5407aa26c7b1"/>
    <ds:schemaRef ds:uri="a1df9832-fa29-4d0b-8301-c5ccf72ca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1EE8B3-DC5D-4C03-A0D5-91731B3D0DA9}">
  <ds:schemaRefs>
    <ds:schemaRef ds:uri="http://schemas.microsoft.com/office/2006/metadata/properties"/>
    <ds:schemaRef ds:uri="http://schemas.microsoft.com/office/infopath/2007/PartnerControls"/>
    <ds:schemaRef ds:uri="957fd461-8578-462d-b696-5407aa26c7b1"/>
    <ds:schemaRef ds:uri="a1df9832-fa29-4d0b-8301-c5ccf72ca850"/>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Summary Data</vt:lpstr>
      <vt:lpstr>All Data</vt:lpstr>
      <vt:lpstr>Gas Infrastructure Costs</vt:lpstr>
      <vt:lpstr>Detail- Mithun</vt:lpstr>
      <vt:lpstr>Schematics- Onion Flats</vt:lpstr>
      <vt:lpstr>Schematics- Coliseum Place</vt:lpstr>
      <vt:lpstr>SF NC Electric WH Z3 O1</vt:lpstr>
      <vt:lpstr>SF NC Electric WH Z3 O1 (2)</vt:lpstr>
      <vt:lpstr>SF NC Electric WH Z12 O1</vt:lpstr>
      <vt:lpstr>LRMF NC Electric WH Z3 O1</vt:lpstr>
      <vt:lpstr>LRMF NC Electric WH Z12 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Gartman</dc:creator>
  <cp:keywords/>
  <dc:description/>
  <cp:lastModifiedBy>Microsoft Office User</cp:lastModifiedBy>
  <cp:revision/>
  <dcterms:created xsi:type="dcterms:W3CDTF">2019-07-28T23:47:39Z</dcterms:created>
  <dcterms:modified xsi:type="dcterms:W3CDTF">2020-07-17T15:52:10Z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0x010100687DE877A7BB9540B3B8373855010E47</vt:lpwstr>
  </property>
  <property fmtid="{D5CDD505-2E9C-101B-9397-08002B2CF9AE}" pid="3" name="Technology">
    <vt:lpwstr/>
  </property>
  <property fmtid="{D5CDD505-2E9C-101B-9397-08002B2CF9AE}" pid="4" name="Countries Impacted">
    <vt:lpwstr/>
  </property>
  <property fmtid="{D5CDD505-2E9C-101B-9397-08002B2CF9AE}" pid="5" name="xd_Signature">
    <vt:bool>false</vt:bool>
  </property>
  <property fmtid="{D5CDD505-2E9C-101B-9397-08002B2CF9AE}" pid="6" name="SharedWithUsers">
    <vt:lpwstr>633;#Claire McKenna</vt:lpwstr>
  </property>
  <property fmtid="{D5CDD505-2E9C-101B-9397-08002B2CF9AE}" pid="7" name="xd_ProgID">
    <vt:lpwstr/>
  </property>
  <property fmtid="{D5CDD505-2E9C-101B-9397-08002B2CF9AE}" pid="8" name="Legal Designation">
    <vt:lpwstr>4;#Unrestricted|e3b3d182-2f78-40d0-877f-b4ead85fe795</vt:lpwstr>
  </property>
  <property fmtid="{D5CDD505-2E9C-101B-9397-08002B2CF9AE}" pid="9" name="TemplateUrl">
    <vt:lpwstr/>
  </property>
  <property fmtid="{D5CDD505-2E9C-101B-9397-08002B2CF9AE}" pid="10" name="ComplianceAssetId">
    <vt:lpwstr/>
  </property>
  <property fmtid="{D5CDD505-2E9C-101B-9397-08002B2CF9AE}" pid="11" name="Program">
    <vt:lpwstr>2;#Buildings|6d5332a4-270e-4d3f-9006-80a36a781c0d</vt:lpwstr>
  </property>
  <property fmtid="{D5CDD505-2E9C-101B-9397-08002B2CF9AE}" pid="12" name="Document Status">
    <vt:lpwstr>1;#Draft|1196e416-c1e2-46e4-892a-39f21fb650b4</vt:lpwstr>
  </property>
  <property fmtid="{D5CDD505-2E9C-101B-9397-08002B2CF9AE}" pid="13" name="Initiative">
    <vt:lpwstr>3;#BLD - Residential Energy +|8baa4d84-f460-40fd-90d3-b2fd3e52be24</vt:lpwstr>
  </property>
</Properties>
</file>