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4030"/>
  <fileSharing readOnlyRecommended="1"/>
  <workbookPr date1904="1" showInkAnnotation="0" autoCompressPictures="0"/>
  <bookViews>
    <workbookView xWindow="-20" yWindow="0" windowWidth="28180" windowHeight="17540" tabRatio="863" activeTab="11"/>
  </bookViews>
  <sheets>
    <sheet name="Title Page" sheetId="20" r:id="rId1"/>
    <sheet name="Graph - Electrical Output Black" sheetId="58" state="hidden" r:id="rId2"/>
    <sheet name="Graph - Electrical Output White" sheetId="59" state="hidden" r:id="rId3"/>
    <sheet name="Graph - Total Capacity Black" sheetId="57" state="hidden" r:id="rId4"/>
    <sheet name="Graph - Total Capacity" sheetId="33" state="hidden" r:id="rId5"/>
    <sheet name="Graph - World Electrical Output" sheetId="34" state="hidden" r:id="rId6"/>
    <sheet name="X-curve" sheetId="61" r:id="rId7"/>
    <sheet name="Capacity (GW)" sheetId="21" r:id="rId8"/>
    <sheet name="Generation (TWh)" sheetId="16" r:id="rId9"/>
    <sheet name="Nuclear" sheetId="27" r:id="rId10"/>
    <sheet name="Nuclear Uprates" sheetId="56" state="hidden" r:id="rId11"/>
    <sheet name="Wind" sheetId="29" r:id="rId12"/>
    <sheet name="PV" sheetId="30" r:id="rId13"/>
    <sheet name="Hydro" sheetId="65" r:id="rId14"/>
    <sheet name="Geothermal" sheetId="66" r:id="rId15"/>
    <sheet name="Biomass &amp; Waste" sheetId="18" r:id="rId16"/>
    <sheet name="Cogeneration (CHP)" sheetId="17" r:id="rId17"/>
    <sheet name="DGTW 2010-2014" sheetId="60" r:id="rId18"/>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33" i="30" l="1"/>
  <c r="G35" i="29"/>
  <c r="D20" i="16"/>
  <c r="G20" i="16"/>
  <c r="E20" i="16"/>
  <c r="I20" i="16"/>
  <c r="M20" i="16"/>
  <c r="R20" i="16"/>
  <c r="D21" i="16"/>
  <c r="G21" i="16"/>
  <c r="E21" i="16"/>
  <c r="I21" i="16"/>
  <c r="M21" i="16"/>
  <c r="R21" i="16"/>
  <c r="D22" i="16"/>
  <c r="G22" i="16"/>
  <c r="E22" i="16"/>
  <c r="I22" i="16"/>
  <c r="M22" i="16"/>
  <c r="R22" i="16"/>
  <c r="D23" i="16"/>
  <c r="G23" i="16"/>
  <c r="E23" i="16"/>
  <c r="I23" i="16"/>
  <c r="M23" i="16"/>
  <c r="R23" i="16"/>
  <c r="D24" i="16"/>
  <c r="G24" i="16"/>
  <c r="E24" i="16"/>
  <c r="I24" i="16"/>
  <c r="M24" i="16"/>
  <c r="R24" i="16"/>
  <c r="D25" i="16"/>
  <c r="G25" i="16"/>
  <c r="E25" i="16"/>
  <c r="I25" i="16"/>
  <c r="M25" i="16"/>
  <c r="R25" i="16"/>
  <c r="D26" i="16"/>
  <c r="G26" i="16"/>
  <c r="E26" i="16"/>
  <c r="I26" i="16"/>
  <c r="M26" i="16"/>
  <c r="R26" i="16"/>
  <c r="D27" i="16"/>
  <c r="G27" i="16"/>
  <c r="E27" i="16"/>
  <c r="I27" i="16"/>
  <c r="M27" i="16"/>
  <c r="R27" i="16"/>
  <c r="D28" i="16"/>
  <c r="G28" i="16"/>
  <c r="E28" i="16"/>
  <c r="I28" i="16"/>
  <c r="M28" i="16"/>
  <c r="R28" i="16"/>
  <c r="D29" i="16"/>
  <c r="G29" i="16"/>
  <c r="E29" i="16"/>
  <c r="I29" i="16"/>
  <c r="M29" i="16"/>
  <c r="R29" i="16"/>
  <c r="D30" i="16"/>
  <c r="G30" i="16"/>
  <c r="E30" i="16"/>
  <c r="I30" i="16"/>
  <c r="M30" i="16"/>
  <c r="R30" i="16"/>
  <c r="D31" i="16"/>
  <c r="G31" i="16"/>
  <c r="E31" i="16"/>
  <c r="I31" i="16"/>
  <c r="M31" i="16"/>
  <c r="R31" i="16"/>
  <c r="D32" i="16"/>
  <c r="G32" i="16"/>
  <c r="E32" i="16"/>
  <c r="I32" i="16"/>
  <c r="M32" i="16"/>
  <c r="R32" i="16"/>
  <c r="D33" i="16"/>
  <c r="G33" i="16"/>
  <c r="E33" i="16"/>
  <c r="I33" i="16"/>
  <c r="M33" i="16"/>
  <c r="R33" i="16"/>
  <c r="D19" i="16"/>
  <c r="G19" i="16"/>
  <c r="E19" i="16"/>
  <c r="I19" i="16"/>
  <c r="M19" i="16"/>
  <c r="R19" i="16"/>
  <c r="D43" i="21"/>
  <c r="G43" i="21"/>
  <c r="E32" i="21"/>
  <c r="E38" i="21"/>
  <c r="E42" i="21"/>
  <c r="E43" i="21"/>
  <c r="I44" i="21"/>
  <c r="G32" i="21"/>
  <c r="G38" i="21"/>
  <c r="D32" i="21"/>
  <c r="D38" i="21"/>
  <c r="Q33" i="16"/>
  <c r="F11" i="66"/>
  <c r="F12" i="66"/>
  <c r="F13" i="66"/>
  <c r="F14" i="66"/>
  <c r="F15" i="66"/>
  <c r="F16" i="66"/>
  <c r="F17" i="66"/>
  <c r="F18" i="66"/>
  <c r="F10" i="66"/>
  <c r="F11" i="30"/>
  <c r="D12" i="30"/>
  <c r="F12" i="30"/>
  <c r="D13" i="30"/>
  <c r="F13" i="30"/>
  <c r="D14" i="30"/>
  <c r="F14" i="30"/>
  <c r="D15" i="30"/>
  <c r="F15" i="30"/>
  <c r="D16" i="30"/>
  <c r="F16" i="30"/>
  <c r="D17" i="30"/>
  <c r="F17" i="30"/>
  <c r="D18" i="30"/>
  <c r="F18" i="30"/>
  <c r="D19" i="30"/>
  <c r="F19" i="30"/>
  <c r="D20" i="30"/>
  <c r="F20" i="30"/>
  <c r="D11" i="30"/>
  <c r="D21" i="30"/>
  <c r="E21" i="30"/>
  <c r="E20" i="30"/>
  <c r="E19" i="30"/>
  <c r="E18" i="30"/>
  <c r="E17" i="30"/>
  <c r="E16" i="30"/>
  <c r="E15" i="30"/>
  <c r="E14" i="30"/>
  <c r="E13" i="30"/>
  <c r="E12" i="30"/>
  <c r="E11" i="30"/>
  <c r="G13" i="29"/>
  <c r="G14" i="29"/>
  <c r="G15" i="29"/>
  <c r="G16" i="29"/>
  <c r="G17" i="29"/>
  <c r="G18" i="29"/>
  <c r="G19" i="29"/>
  <c r="G20" i="29"/>
  <c r="G21" i="29"/>
  <c r="G22" i="29"/>
  <c r="G23" i="29"/>
  <c r="G24" i="29"/>
  <c r="G25" i="29"/>
  <c r="G26" i="29"/>
  <c r="G27" i="29"/>
  <c r="G28" i="29"/>
  <c r="G29" i="29"/>
  <c r="G30" i="29"/>
  <c r="G31" i="29"/>
  <c r="G32" i="29"/>
  <c r="G33" i="29"/>
  <c r="G34" i="29"/>
  <c r="G12" i="29"/>
  <c r="G11" i="29"/>
  <c r="C9" i="16"/>
  <c r="G34" i="21"/>
  <c r="G35" i="21"/>
  <c r="D34" i="21"/>
  <c r="D20" i="21"/>
  <c r="G20" i="21"/>
  <c r="E20" i="21"/>
  <c r="F20" i="21"/>
  <c r="H20" i="21"/>
  <c r="I20" i="21"/>
  <c r="D19" i="21"/>
  <c r="G19" i="21"/>
  <c r="E19" i="21"/>
  <c r="F19" i="21"/>
  <c r="H19" i="21"/>
  <c r="I19" i="21"/>
  <c r="O20" i="21"/>
  <c r="D21" i="21"/>
  <c r="G21" i="21"/>
  <c r="E21" i="21"/>
  <c r="F21" i="21"/>
  <c r="H21" i="21"/>
  <c r="I21" i="21"/>
  <c r="O21" i="21"/>
  <c r="D22" i="21"/>
  <c r="G22" i="21"/>
  <c r="E22" i="21"/>
  <c r="F22" i="21"/>
  <c r="H22" i="21"/>
  <c r="I22" i="21"/>
  <c r="O22" i="21"/>
  <c r="D23" i="21"/>
  <c r="G23" i="21"/>
  <c r="E23" i="21"/>
  <c r="F23" i="21"/>
  <c r="H23" i="21"/>
  <c r="I23" i="21"/>
  <c r="O23" i="21"/>
  <c r="D24" i="21"/>
  <c r="G24" i="21"/>
  <c r="E24" i="21"/>
  <c r="F24" i="21"/>
  <c r="H24" i="21"/>
  <c r="I24" i="21"/>
  <c r="O24" i="21"/>
  <c r="D25" i="21"/>
  <c r="G25" i="21"/>
  <c r="E25" i="21"/>
  <c r="F25" i="21"/>
  <c r="H25" i="21"/>
  <c r="I25" i="21"/>
  <c r="O25" i="21"/>
  <c r="D26" i="21"/>
  <c r="G26" i="21"/>
  <c r="E26" i="21"/>
  <c r="F26" i="21"/>
  <c r="H26" i="21"/>
  <c r="I26" i="21"/>
  <c r="O26" i="21"/>
  <c r="D27" i="21"/>
  <c r="G27" i="21"/>
  <c r="E27" i="21"/>
  <c r="F27" i="21"/>
  <c r="H27" i="21"/>
  <c r="I27" i="21"/>
  <c r="O27" i="21"/>
  <c r="D28" i="21"/>
  <c r="G28" i="21"/>
  <c r="E28" i="21"/>
  <c r="F28" i="21"/>
  <c r="H28" i="21"/>
  <c r="I28" i="21"/>
  <c r="O28" i="21"/>
  <c r="D29" i="21"/>
  <c r="G29" i="21"/>
  <c r="E29" i="21"/>
  <c r="F29" i="21"/>
  <c r="H29" i="21"/>
  <c r="I29" i="21"/>
  <c r="O29" i="21"/>
  <c r="D30" i="21"/>
  <c r="G30" i="21"/>
  <c r="E30" i="21"/>
  <c r="F30" i="21"/>
  <c r="H30" i="21"/>
  <c r="I30" i="21"/>
  <c r="O30" i="21"/>
  <c r="D31" i="21"/>
  <c r="E35" i="30"/>
  <c r="F34" i="30"/>
  <c r="G31" i="21"/>
  <c r="E31" i="21"/>
  <c r="F31" i="21"/>
  <c r="H31" i="21"/>
  <c r="I31" i="21"/>
  <c r="O31" i="21"/>
  <c r="F32" i="21"/>
  <c r="H32" i="21"/>
  <c r="I32" i="21"/>
  <c r="O32" i="21"/>
  <c r="D18" i="21"/>
  <c r="G18" i="21"/>
  <c r="E18" i="21"/>
  <c r="F18" i="21"/>
  <c r="H18" i="21"/>
  <c r="I18" i="21"/>
  <c r="O19" i="21"/>
  <c r="F35" i="21"/>
  <c r="H35" i="21"/>
  <c r="D35" i="21"/>
  <c r="C32" i="21"/>
  <c r="C15" i="21"/>
  <c r="C16" i="21"/>
  <c r="C17" i="21"/>
  <c r="C18" i="21"/>
  <c r="C19" i="21"/>
  <c r="C20" i="21"/>
  <c r="C21" i="21"/>
  <c r="C22" i="21"/>
  <c r="C23" i="21"/>
  <c r="C24" i="21"/>
  <c r="C25" i="21"/>
  <c r="C26" i="21"/>
  <c r="C27" i="21"/>
  <c r="C28" i="21"/>
  <c r="C29" i="21"/>
  <c r="C30" i="21"/>
  <c r="C31" i="21"/>
  <c r="C14" i="21"/>
  <c r="C13" i="21"/>
  <c r="C15" i="16"/>
  <c r="C16" i="16"/>
  <c r="C17" i="16"/>
  <c r="C18" i="16"/>
  <c r="C19" i="16"/>
  <c r="C20" i="16"/>
  <c r="C21" i="16"/>
  <c r="C22" i="16"/>
  <c r="C23" i="16"/>
  <c r="C24" i="16"/>
  <c r="C25" i="16"/>
  <c r="C26" i="16"/>
  <c r="C27" i="16"/>
  <c r="C28" i="16"/>
  <c r="C29" i="16"/>
  <c r="C30" i="16"/>
  <c r="C31" i="16"/>
  <c r="C32" i="16"/>
  <c r="C33" i="16"/>
  <c r="C14" i="16"/>
  <c r="F10" i="65"/>
  <c r="G9" i="18"/>
  <c r="F19" i="16"/>
  <c r="H9" i="66"/>
  <c r="H19" i="16"/>
  <c r="Q19" i="16"/>
  <c r="G39" i="21"/>
  <c r="G23" i="18"/>
  <c r="F33" i="16"/>
  <c r="F38" i="21"/>
  <c r="F39" i="21"/>
  <c r="H38" i="21"/>
  <c r="H39" i="21"/>
  <c r="D39" i="21"/>
  <c r="P33" i="16"/>
  <c r="G10" i="18"/>
  <c r="F20" i="16"/>
  <c r="G11" i="18"/>
  <c r="F21" i="16"/>
  <c r="G12" i="18"/>
  <c r="F22" i="16"/>
  <c r="G13" i="18"/>
  <c r="F23" i="16"/>
  <c r="G14" i="18"/>
  <c r="F24" i="16"/>
  <c r="G15" i="18"/>
  <c r="F25" i="16"/>
  <c r="G16" i="18"/>
  <c r="F26" i="16"/>
  <c r="G17" i="18"/>
  <c r="F27" i="16"/>
  <c r="G18" i="18"/>
  <c r="F28" i="16"/>
  <c r="G19" i="18"/>
  <c r="F29" i="16"/>
  <c r="G20" i="18"/>
  <c r="F30" i="16"/>
  <c r="G21" i="18"/>
  <c r="F31" i="16"/>
  <c r="G22" i="18"/>
  <c r="F32" i="16"/>
  <c r="C16" i="17"/>
  <c r="C17" i="17"/>
  <c r="C18" i="17"/>
  <c r="D19" i="17"/>
  <c r="C19" i="17"/>
  <c r="D20" i="17"/>
  <c r="C20" i="17"/>
  <c r="D21" i="17"/>
  <c r="C21" i="17"/>
  <c r="D22" i="17"/>
  <c r="C22" i="17"/>
  <c r="G22" i="17"/>
  <c r="D23" i="17"/>
  <c r="C23" i="17"/>
  <c r="G23" i="17"/>
  <c r="J23" i="17"/>
  <c r="J33" i="16"/>
  <c r="H33" i="16"/>
  <c r="J32" i="21"/>
  <c r="I23" i="17"/>
  <c r="N98" i="60"/>
  <c r="E105" i="60"/>
  <c r="E104" i="60"/>
  <c r="E103" i="60"/>
  <c r="E102" i="60"/>
  <c r="E101" i="60"/>
  <c r="E100" i="60"/>
  <c r="E99" i="60"/>
  <c r="F99" i="60"/>
  <c r="F100" i="60"/>
  <c r="F101" i="60"/>
  <c r="F102" i="60"/>
  <c r="F103" i="60"/>
  <c r="F104" i="60"/>
  <c r="F105" i="60"/>
  <c r="F106" i="60"/>
  <c r="F107" i="60"/>
  <c r="F108" i="60"/>
  <c r="F112" i="60"/>
  <c r="L99" i="60"/>
  <c r="L100" i="60"/>
  <c r="L101" i="60"/>
  <c r="L102" i="60"/>
  <c r="L103" i="60"/>
  <c r="L104" i="60"/>
  <c r="L105" i="60"/>
  <c r="L106" i="60"/>
  <c r="L107" i="60"/>
  <c r="L108" i="60"/>
  <c r="L109" i="60"/>
  <c r="L110" i="60"/>
  <c r="L112" i="60"/>
  <c r="C114" i="60"/>
  <c r="H30" i="16"/>
  <c r="H31" i="16"/>
  <c r="H32" i="16"/>
  <c r="H29" i="16"/>
  <c r="G18" i="66"/>
  <c r="G10" i="66"/>
  <c r="G9" i="66"/>
  <c r="D22" i="66"/>
  <c r="H35" i="30"/>
  <c r="C35" i="29"/>
  <c r="C34" i="29"/>
  <c r="F42" i="21"/>
  <c r="F43" i="21"/>
  <c r="J31" i="21"/>
  <c r="C14" i="17"/>
  <c r="C13" i="17"/>
  <c r="C12" i="17"/>
  <c r="C11" i="17"/>
  <c r="C10" i="17"/>
  <c r="C9" i="17"/>
  <c r="F12" i="17"/>
  <c r="F11" i="17"/>
  <c r="F10" i="17"/>
  <c r="F9" i="17"/>
  <c r="G9" i="17"/>
  <c r="G10" i="17"/>
  <c r="J10" i="17"/>
  <c r="J20" i="16"/>
  <c r="G11" i="17"/>
  <c r="J11" i="17"/>
  <c r="J21" i="16"/>
  <c r="G12" i="17"/>
  <c r="J12" i="17"/>
  <c r="J22" i="16"/>
  <c r="G13" i="17"/>
  <c r="J13" i="17"/>
  <c r="J23" i="16"/>
  <c r="F14" i="17"/>
  <c r="G14" i="17"/>
  <c r="J14" i="17"/>
  <c r="J24" i="16"/>
  <c r="F15" i="17"/>
  <c r="G15" i="17"/>
  <c r="J15" i="17"/>
  <c r="J25" i="16"/>
  <c r="F16" i="17"/>
  <c r="G16" i="17"/>
  <c r="J16" i="17"/>
  <c r="J26" i="16"/>
  <c r="F17" i="17"/>
  <c r="G17" i="17"/>
  <c r="J17" i="17"/>
  <c r="J27" i="16"/>
  <c r="F18" i="17"/>
  <c r="G18" i="17"/>
  <c r="J18" i="17"/>
  <c r="J28" i="16"/>
  <c r="F19" i="17"/>
  <c r="G19" i="17"/>
  <c r="J19" i="17"/>
  <c r="J29" i="16"/>
  <c r="F20" i="17"/>
  <c r="G20" i="17"/>
  <c r="J20" i="17"/>
  <c r="J30" i="16"/>
  <c r="G21" i="17"/>
  <c r="J21" i="17"/>
  <c r="J31" i="16"/>
  <c r="J22" i="17"/>
  <c r="J32" i="16"/>
  <c r="C8" i="17"/>
  <c r="F8" i="17"/>
  <c r="G8" i="17"/>
  <c r="J9" i="17"/>
  <c r="J19" i="16"/>
  <c r="J19" i="21"/>
  <c r="J20" i="21"/>
  <c r="J21" i="21"/>
  <c r="J22" i="21"/>
  <c r="J23" i="21"/>
  <c r="J24" i="21"/>
  <c r="J25" i="21"/>
  <c r="J26" i="21"/>
  <c r="J27" i="21"/>
  <c r="J28" i="21"/>
  <c r="J29" i="21"/>
  <c r="J30" i="21"/>
  <c r="J18" i="21"/>
  <c r="I9" i="17"/>
  <c r="C22" i="18"/>
  <c r="H10" i="66"/>
  <c r="H20" i="16"/>
  <c r="H11" i="66"/>
  <c r="H21" i="16"/>
  <c r="H12" i="66"/>
  <c r="H22" i="16"/>
  <c r="H13" i="66"/>
  <c r="H23" i="16"/>
  <c r="H14" i="66"/>
  <c r="H24" i="16"/>
  <c r="H15" i="66"/>
  <c r="H25" i="16"/>
  <c r="H16" i="66"/>
  <c r="H26" i="16"/>
  <c r="H17" i="66"/>
  <c r="H27" i="16"/>
  <c r="H18" i="66"/>
  <c r="H28" i="16"/>
  <c r="H19" i="66"/>
  <c r="C17" i="66"/>
  <c r="G17" i="66"/>
  <c r="C16" i="66"/>
  <c r="G16" i="66"/>
  <c r="C15" i="66"/>
  <c r="G15" i="66"/>
  <c r="C14" i="66"/>
  <c r="G14" i="66"/>
  <c r="C13" i="66"/>
  <c r="G13" i="66"/>
  <c r="D10" i="66"/>
  <c r="D11" i="66"/>
  <c r="C12" i="66"/>
  <c r="G12" i="66"/>
  <c r="C11" i="66"/>
  <c r="G11" i="66"/>
  <c r="C10" i="66"/>
  <c r="E34" i="30"/>
  <c r="E22" i="30"/>
  <c r="E23" i="30"/>
  <c r="E24" i="30"/>
  <c r="E25" i="30"/>
  <c r="E26" i="30"/>
  <c r="E27" i="30"/>
  <c r="E28" i="30"/>
  <c r="E29" i="30"/>
  <c r="E30" i="30"/>
  <c r="E31" i="30"/>
  <c r="E32" i="30"/>
  <c r="G11" i="27"/>
  <c r="F26" i="27"/>
  <c r="F25" i="27"/>
  <c r="K10" i="65"/>
  <c r="L10" i="65"/>
  <c r="I22" i="17"/>
  <c r="N75" i="60"/>
  <c r="K87" i="60"/>
  <c r="K86" i="60"/>
  <c r="K85" i="60"/>
  <c r="K84" i="60"/>
  <c r="K83" i="60"/>
  <c r="K82" i="60"/>
  <c r="K81" i="60"/>
  <c r="K80" i="60"/>
  <c r="K79" i="60"/>
  <c r="K78" i="60"/>
  <c r="K77" i="60"/>
  <c r="K76" i="60"/>
  <c r="E84" i="60"/>
  <c r="E81" i="60"/>
  <c r="E80" i="60"/>
  <c r="E76" i="60"/>
  <c r="E79" i="60"/>
  <c r="E78" i="60"/>
  <c r="E77" i="60"/>
  <c r="F76" i="60"/>
  <c r="F77" i="60"/>
  <c r="F78" i="60"/>
  <c r="F79" i="60"/>
  <c r="F80" i="60"/>
  <c r="F81" i="60"/>
  <c r="E82" i="60"/>
  <c r="F82" i="60"/>
  <c r="E83" i="60"/>
  <c r="F83" i="60"/>
  <c r="F84" i="60"/>
  <c r="E85" i="60"/>
  <c r="F85" i="60"/>
  <c r="F89" i="60"/>
  <c r="L76" i="60"/>
  <c r="L77" i="60"/>
  <c r="L78" i="60"/>
  <c r="L79" i="60"/>
  <c r="L80" i="60"/>
  <c r="L81" i="60"/>
  <c r="L82" i="60"/>
  <c r="L83" i="60"/>
  <c r="L84" i="60"/>
  <c r="L85" i="60"/>
  <c r="L86" i="60"/>
  <c r="L87" i="60"/>
  <c r="L89" i="60"/>
  <c r="C91" i="60"/>
  <c r="F31" i="27"/>
  <c r="H34" i="30"/>
  <c r="H11" i="30"/>
  <c r="H12" i="30"/>
  <c r="H13" i="30"/>
  <c r="H14" i="30"/>
  <c r="H15" i="30"/>
  <c r="H16" i="30"/>
  <c r="H17" i="30"/>
  <c r="H18" i="30"/>
  <c r="H19" i="30"/>
  <c r="H20" i="30"/>
  <c r="H21" i="30"/>
  <c r="H22" i="30"/>
  <c r="H23" i="30"/>
  <c r="H24" i="30"/>
  <c r="H25" i="30"/>
  <c r="H26" i="30"/>
  <c r="H27" i="30"/>
  <c r="H28" i="30"/>
  <c r="H29" i="30"/>
  <c r="H30" i="30"/>
  <c r="H31" i="30"/>
  <c r="H32" i="30"/>
  <c r="H33" i="30"/>
  <c r="F24" i="27"/>
  <c r="F23" i="27"/>
  <c r="F22" i="27"/>
  <c r="F21" i="27"/>
  <c r="F20" i="27"/>
  <c r="F19" i="27"/>
  <c r="F18" i="27"/>
  <c r="F17" i="27"/>
  <c r="J16" i="27"/>
  <c r="J17" i="27"/>
  <c r="J18" i="27"/>
  <c r="J19" i="27"/>
  <c r="J20" i="27"/>
  <c r="J21" i="27"/>
  <c r="J22" i="27"/>
  <c r="J23" i="27"/>
  <c r="J24" i="27"/>
  <c r="J25" i="27"/>
  <c r="J26" i="27"/>
  <c r="J27" i="27"/>
  <c r="J28" i="27"/>
  <c r="J29" i="27"/>
  <c r="J30" i="27"/>
  <c r="J31" i="27"/>
  <c r="J33" i="27"/>
  <c r="P32" i="16"/>
  <c r="P20" i="16"/>
  <c r="P21" i="16"/>
  <c r="P22" i="16"/>
  <c r="P23" i="16"/>
  <c r="P24" i="16"/>
  <c r="P25" i="16"/>
  <c r="P26" i="16"/>
  <c r="P27" i="16"/>
  <c r="P28" i="16"/>
  <c r="P29" i="16"/>
  <c r="P30" i="16"/>
  <c r="P31" i="16"/>
  <c r="P19" i="16"/>
  <c r="D10" i="18"/>
  <c r="D9" i="18"/>
  <c r="D12" i="18"/>
  <c r="C12" i="18"/>
  <c r="C13" i="18"/>
  <c r="C14" i="18"/>
  <c r="C15" i="18"/>
  <c r="C16" i="18"/>
  <c r="C17" i="18"/>
  <c r="C18" i="18"/>
  <c r="G10" i="16"/>
  <c r="G11" i="16"/>
  <c r="G12" i="16"/>
  <c r="G13" i="16"/>
  <c r="G14" i="16"/>
  <c r="G15" i="16"/>
  <c r="G16" i="16"/>
  <c r="G17" i="16"/>
  <c r="G18" i="16"/>
  <c r="G9" i="16"/>
  <c r="D10" i="16"/>
  <c r="D11" i="16"/>
  <c r="D12" i="16"/>
  <c r="D13" i="16"/>
  <c r="D14" i="16"/>
  <c r="D15" i="16"/>
  <c r="D16" i="16"/>
  <c r="D17" i="16"/>
  <c r="D18" i="16"/>
  <c r="D9" i="16"/>
  <c r="C10" i="16"/>
  <c r="C11" i="16"/>
  <c r="C12" i="16"/>
  <c r="C13" i="16"/>
  <c r="I21" i="17"/>
  <c r="I19" i="17"/>
  <c r="I20" i="17"/>
  <c r="K64" i="60"/>
  <c r="K63" i="60"/>
  <c r="K62" i="60"/>
  <c r="K61" i="60"/>
  <c r="K60" i="60"/>
  <c r="K59" i="60"/>
  <c r="K58" i="60"/>
  <c r="K57" i="60"/>
  <c r="K56" i="60"/>
  <c r="K55" i="60"/>
  <c r="K54" i="60"/>
  <c r="K53" i="60"/>
  <c r="E62" i="60"/>
  <c r="E61" i="60"/>
  <c r="E60" i="60"/>
  <c r="E59" i="60"/>
  <c r="E58" i="60"/>
  <c r="E57" i="60"/>
  <c r="E56" i="60"/>
  <c r="E55" i="60"/>
  <c r="E54" i="60"/>
  <c r="E53" i="60"/>
  <c r="F53" i="60"/>
  <c r="F54" i="60"/>
  <c r="F55" i="60"/>
  <c r="F56" i="60"/>
  <c r="F57" i="60"/>
  <c r="F58" i="60"/>
  <c r="F59" i="60"/>
  <c r="F60" i="60"/>
  <c r="F61" i="60"/>
  <c r="F62" i="60"/>
  <c r="F66" i="60"/>
  <c r="L53" i="60"/>
  <c r="L54" i="60"/>
  <c r="L55" i="60"/>
  <c r="L56" i="60"/>
  <c r="L57" i="60"/>
  <c r="L58" i="60"/>
  <c r="L59" i="60"/>
  <c r="L60" i="60"/>
  <c r="L61" i="60"/>
  <c r="L62" i="60"/>
  <c r="L63" i="60"/>
  <c r="L64" i="60"/>
  <c r="L66" i="60"/>
  <c r="C68" i="60"/>
  <c r="C45" i="60"/>
  <c r="C22" i="60"/>
  <c r="N6" i="60"/>
  <c r="N29" i="60"/>
  <c r="K37" i="60"/>
  <c r="K38" i="60"/>
  <c r="K39" i="60"/>
  <c r="K40" i="60"/>
  <c r="K41" i="60"/>
  <c r="K36" i="60"/>
  <c r="K35" i="60"/>
  <c r="K34" i="60"/>
  <c r="K33" i="60"/>
  <c r="K32" i="60"/>
  <c r="K31" i="60"/>
  <c r="K30" i="60"/>
  <c r="E37" i="60"/>
  <c r="E36" i="60"/>
  <c r="E35" i="60"/>
  <c r="E34" i="60"/>
  <c r="E33" i="60"/>
  <c r="E32" i="60"/>
  <c r="E31" i="60"/>
  <c r="E30" i="60"/>
  <c r="F30" i="60"/>
  <c r="F31" i="60"/>
  <c r="F32" i="60"/>
  <c r="F33" i="60"/>
  <c r="F34" i="60"/>
  <c r="F35" i="60"/>
  <c r="F36" i="60"/>
  <c r="F37" i="60"/>
  <c r="F38" i="60"/>
  <c r="E39" i="60"/>
  <c r="F39" i="60"/>
  <c r="F43" i="60"/>
  <c r="L30" i="60"/>
  <c r="L31" i="60"/>
  <c r="L32" i="60"/>
  <c r="L33" i="60"/>
  <c r="L34" i="60"/>
  <c r="L35" i="60"/>
  <c r="L36" i="60"/>
  <c r="L37" i="60"/>
  <c r="L38" i="60"/>
  <c r="L39" i="60"/>
  <c r="L40" i="60"/>
  <c r="L41" i="60"/>
  <c r="L43" i="60"/>
  <c r="F8" i="60"/>
  <c r="F9" i="60"/>
  <c r="F10" i="60"/>
  <c r="F11" i="60"/>
  <c r="F12" i="60"/>
  <c r="F13" i="60"/>
  <c r="F14" i="60"/>
  <c r="F15" i="60"/>
  <c r="F16" i="60"/>
  <c r="F20" i="60"/>
  <c r="E8" i="60"/>
  <c r="E9" i="60"/>
  <c r="E10" i="60"/>
  <c r="E11" i="60"/>
  <c r="E12" i="60"/>
  <c r="E13" i="60"/>
  <c r="E14" i="60"/>
  <c r="E15" i="60"/>
  <c r="E16" i="60"/>
  <c r="E7" i="60"/>
  <c r="F7" i="60"/>
  <c r="K7" i="60"/>
  <c r="L7" i="60"/>
  <c r="K8" i="60"/>
  <c r="L8" i="60"/>
  <c r="K9" i="60"/>
  <c r="L9" i="60"/>
  <c r="K10" i="60"/>
  <c r="L10" i="60"/>
  <c r="K11" i="60"/>
  <c r="L11" i="60"/>
  <c r="K12" i="60"/>
  <c r="L12" i="60"/>
  <c r="K13" i="60"/>
  <c r="L13" i="60"/>
  <c r="K14" i="60"/>
  <c r="L14" i="60"/>
  <c r="K15" i="60"/>
  <c r="L15" i="60"/>
  <c r="K16" i="60"/>
  <c r="L16" i="60"/>
  <c r="K17" i="60"/>
  <c r="L17" i="60"/>
  <c r="K18" i="60"/>
  <c r="L18" i="60"/>
  <c r="L20" i="60"/>
  <c r="F30" i="27"/>
  <c r="K4" i="56"/>
  <c r="K5" i="56"/>
  <c r="C22" i="29"/>
  <c r="K6" i="56"/>
  <c r="K7" i="56"/>
  <c r="K8" i="56"/>
  <c r="K9" i="56"/>
  <c r="K3" i="56"/>
  <c r="F16" i="27"/>
  <c r="G15" i="27"/>
  <c r="F15" i="27"/>
  <c r="G14" i="27"/>
  <c r="F14" i="27"/>
  <c r="G13" i="27"/>
  <c r="F13" i="27"/>
  <c r="G12" i="27"/>
  <c r="F12" i="27"/>
  <c r="F11" i="27"/>
  <c r="I18" i="17"/>
  <c r="I17" i="17"/>
  <c r="I16" i="17"/>
  <c r="I15" i="17"/>
  <c r="I14" i="17"/>
  <c r="I13" i="17"/>
  <c r="I12" i="17"/>
  <c r="I11" i="17"/>
  <c r="I10" i="17"/>
  <c r="F29" i="27"/>
  <c r="F28" i="27"/>
  <c r="F27" i="27"/>
  <c r="K18" i="21"/>
  <c r="G17" i="21"/>
  <c r="D17" i="21"/>
  <c r="G16" i="21"/>
  <c r="D16" i="21"/>
  <c r="G15" i="21"/>
  <c r="D15" i="21"/>
  <c r="G14" i="21"/>
  <c r="D14" i="21"/>
  <c r="G13" i="21"/>
  <c r="D13" i="21"/>
  <c r="G12" i="21"/>
  <c r="D12" i="21"/>
  <c r="C12" i="21"/>
  <c r="G11" i="21"/>
  <c r="D11" i="21"/>
  <c r="C11" i="21"/>
  <c r="G10" i="21"/>
  <c r="D10" i="21"/>
  <c r="C10" i="21"/>
  <c r="G9" i="21"/>
  <c r="D9" i="21"/>
  <c r="C9" i="21"/>
  <c r="G8" i="21"/>
  <c r="D8" i="21"/>
  <c r="C8" i="21"/>
  <c r="K19" i="16"/>
  <c r="L18" i="21"/>
  <c r="O19" i="16"/>
  <c r="L19" i="16"/>
  <c r="C16" i="29"/>
  <c r="C15" i="29"/>
  <c r="C14" i="29"/>
  <c r="C13" i="29"/>
  <c r="C12" i="29"/>
  <c r="F23" i="66"/>
  <c r="H23" i="66"/>
  <c r="F20" i="66"/>
  <c r="H20" i="66"/>
  <c r="F21" i="66"/>
  <c r="H21" i="66"/>
  <c r="F22" i="66"/>
  <c r="H22" i="66"/>
  <c r="H42" i="21"/>
  <c r="H43" i="21"/>
  <c r="J34" i="27"/>
  <c r="F32" i="27"/>
  <c r="J32" i="27"/>
  <c r="F34" i="27"/>
  <c r="J35" i="27"/>
  <c r="F35" i="27"/>
  <c r="C24" i="65"/>
  <c r="F24" i="65"/>
  <c r="K33" i="16"/>
  <c r="L33" i="16"/>
  <c r="K24" i="65"/>
  <c r="L24" i="65"/>
  <c r="O33" i="16"/>
  <c r="K32" i="21"/>
  <c r="L32" i="21"/>
  <c r="E39" i="21"/>
  <c r="I40" i="21"/>
  <c r="K31" i="21"/>
  <c r="C23" i="65"/>
  <c r="F23" i="65"/>
  <c r="K32" i="16"/>
  <c r="L31" i="21"/>
  <c r="C22" i="65"/>
  <c r="F22" i="65"/>
  <c r="K31" i="16"/>
  <c r="L31" i="16"/>
  <c r="L32" i="16"/>
  <c r="K30" i="21"/>
  <c r="L30" i="21"/>
  <c r="O32" i="16"/>
  <c r="C21" i="65"/>
  <c r="F21" i="65"/>
  <c r="K30" i="16"/>
  <c r="O30" i="16"/>
  <c r="O31" i="16"/>
  <c r="K29" i="21"/>
  <c r="L29" i="21"/>
  <c r="L30" i="16"/>
  <c r="C11" i="65"/>
  <c r="F11" i="65"/>
  <c r="K20" i="16"/>
  <c r="L20" i="16"/>
  <c r="O20" i="16"/>
  <c r="C12" i="65"/>
  <c r="F12" i="65"/>
  <c r="K21" i="16"/>
  <c r="L21" i="16"/>
  <c r="O21" i="16"/>
  <c r="C13" i="65"/>
  <c r="F13" i="65"/>
  <c r="K22" i="16"/>
  <c r="L22" i="16"/>
  <c r="O22" i="16"/>
  <c r="C14" i="65"/>
  <c r="F14" i="65"/>
  <c r="K23" i="16"/>
  <c r="L23" i="16"/>
  <c r="O23" i="16"/>
  <c r="C15" i="65"/>
  <c r="F15" i="65"/>
  <c r="K24" i="16"/>
  <c r="L24" i="16"/>
  <c r="O24" i="16"/>
  <c r="C16" i="65"/>
  <c r="F16" i="65"/>
  <c r="K25" i="16"/>
  <c r="L25" i="16"/>
  <c r="O25" i="16"/>
  <c r="C17" i="65"/>
  <c r="F17" i="65"/>
  <c r="K26" i="16"/>
  <c r="L26" i="16"/>
  <c r="O26" i="16"/>
  <c r="C18" i="65"/>
  <c r="F18" i="65"/>
  <c r="K27" i="16"/>
  <c r="L27" i="16"/>
  <c r="O27" i="16"/>
  <c r="C19" i="65"/>
  <c r="F19" i="65"/>
  <c r="K28" i="16"/>
  <c r="L28" i="16"/>
  <c r="O28" i="16"/>
  <c r="K21" i="21"/>
  <c r="L21" i="21"/>
  <c r="K20" i="21"/>
  <c r="L20" i="21"/>
  <c r="K19" i="21"/>
  <c r="L19" i="21"/>
  <c r="K26" i="21"/>
  <c r="L26" i="21"/>
  <c r="K25" i="21"/>
  <c r="L25" i="21"/>
  <c r="K24" i="21"/>
  <c r="L24" i="21"/>
  <c r="K23" i="21"/>
  <c r="L23" i="21"/>
  <c r="K22" i="21"/>
  <c r="L22" i="21"/>
  <c r="K27" i="21"/>
  <c r="L27" i="21"/>
  <c r="C20" i="65"/>
  <c r="F20" i="65"/>
  <c r="K29" i="16"/>
  <c r="L29" i="16"/>
  <c r="O29" i="16"/>
  <c r="K28" i="21"/>
  <c r="L28" i="21"/>
  <c r="K23" i="65"/>
  <c r="L23" i="65"/>
  <c r="K22" i="65"/>
  <c r="L22" i="65"/>
  <c r="K21" i="65"/>
  <c r="L21" i="65"/>
  <c r="K20" i="65"/>
  <c r="L20" i="65"/>
  <c r="K19" i="65"/>
  <c r="L19" i="65"/>
  <c r="K18" i="65"/>
  <c r="L18" i="65"/>
  <c r="K17" i="65"/>
  <c r="L17" i="65"/>
  <c r="K16" i="65"/>
  <c r="L16" i="65"/>
  <c r="K15" i="65"/>
  <c r="L15" i="65"/>
  <c r="K14" i="65"/>
  <c r="L14" i="65"/>
  <c r="K13" i="65"/>
  <c r="L13" i="65"/>
  <c r="K12" i="65"/>
  <c r="L12" i="65"/>
  <c r="K11" i="65"/>
  <c r="L11" i="65"/>
  <c r="Q32" i="16"/>
  <c r="Q31" i="16"/>
  <c r="Q30" i="16"/>
  <c r="Q29" i="16"/>
  <c r="Q28" i="16"/>
  <c r="Q27" i="16"/>
  <c r="Q26" i="16"/>
  <c r="Q25" i="16"/>
  <c r="Q24" i="16"/>
  <c r="Q23" i="16"/>
  <c r="Q22" i="16"/>
  <c r="Q21" i="16"/>
  <c r="Q20" i="16"/>
</calcChain>
</file>

<file path=xl/sharedStrings.xml><?xml version="1.0" encoding="utf-8"?>
<sst xmlns="http://schemas.openxmlformats.org/spreadsheetml/2006/main" count="611" uniqueCount="274">
  <si>
    <t xml:space="preserve">Worldwatch Vital Signs 2005.  </t>
  </si>
  <si>
    <t>http://www.ewea.org/documents/factsheet_industry2.pdf</t>
  </si>
  <si>
    <t>Historical</t>
    <phoneticPr fontId="7" type="noConversion"/>
  </si>
  <si>
    <t>IEA, Combined Heat and Power: Evaluating the Benefits of Greater Global Investment</t>
    <phoneticPr fontId="7" type="noConversion"/>
  </si>
  <si>
    <t>http://www.localpower.org/documents/reporto_iea_chpwademodel.pdf</t>
  </si>
  <si>
    <t>Geothermal</t>
  </si>
  <si>
    <t>BP Statistical Review of World Energy (June 2010)</t>
    <phoneticPr fontId="7" type="noConversion"/>
  </si>
  <si>
    <t>ALL OTHER DATA TAKEN FROM "SOURCE DATA" SPREADHEETS IN THIS WORKBOOK</t>
    <phoneticPr fontId="7" type="noConversion"/>
  </si>
  <si>
    <t>Net New</t>
    <phoneticPr fontId="7"/>
  </si>
  <si>
    <t>Capacity</t>
    <phoneticPr fontId="7"/>
  </si>
  <si>
    <t>Nuclear Energy Institute, U.S. Nuclear Expected Uprates</t>
    <phoneticPr fontId="7" type="noConversion"/>
  </si>
  <si>
    <t>http://www.nei.org/resourcesandstats/documentlibrary/reliableandaffordableenergy/graphicsandcharts/usnuclearexpectedpoweruprates/</t>
  </si>
  <si>
    <t>Outlook:</t>
    <phoneticPr fontId="7" type="noConversion"/>
  </si>
  <si>
    <t>http://www.world-nuclear.com/info/inf84.html</t>
  </si>
  <si>
    <t>SOURCE DATA</t>
  </si>
  <si>
    <t>http://www.localpower.org/pages/wadereports.htm</t>
  </si>
  <si>
    <t>Connections</t>
  </si>
  <si>
    <t>New</t>
  </si>
  <si>
    <t>Shut Downs</t>
  </si>
  <si>
    <t>Capacity Factor</t>
    <phoneticPr fontId="7"/>
  </si>
  <si>
    <t>Outlook:</t>
  </si>
  <si>
    <t>GEOTHERMAL</t>
  </si>
  <si>
    <t>Small Hydro</t>
  </si>
  <si>
    <t>Energy Information Administration, International Energy Annual 2006.  Table 2.7</t>
    <phoneticPr fontId="7"/>
  </si>
  <si>
    <t>IEA 2004 World Energy Outlook, page 432</t>
    <phoneticPr fontId="7"/>
  </si>
  <si>
    <t>Global Wind Energy Council (GWEC)</t>
  </si>
  <si>
    <t>IGA workshops and congresses.</t>
  </si>
  <si>
    <t xml:space="preserve">Nuclear </t>
  </si>
  <si>
    <t>Biomass</t>
  </si>
  <si>
    <t>Capacity</t>
  </si>
  <si>
    <t>Approximate Megawatts Electric (US)</t>
    <phoneticPr fontId="7" type="noConversion"/>
  </si>
  <si>
    <t xml:space="preserve">Year  </t>
    <phoneticPr fontId="7" type="noConversion"/>
  </si>
  <si>
    <t>State of Renewable Energy in America, Lisa Frantzis, 2003</t>
  </si>
  <si>
    <t>Cogeneration</t>
    <phoneticPr fontId="7" type="noConversion"/>
  </si>
  <si>
    <t>http://www.worldwatch.org/pubs/vs/2005/</t>
  </si>
  <si>
    <t xml:space="preserve">International Geothermal Association, conference papers presented at various </t>
  </si>
  <si>
    <t>Note: Data in bold from respective sources, other data extrapolated</t>
  </si>
  <si>
    <t xml:space="preserve">Capacity </t>
  </si>
  <si>
    <t>Rocky Mountain Institute</t>
  </si>
  <si>
    <t>The Possible Role and Contribution of Geothermal Energy to the Mitigation of Climate Change</t>
    <phoneticPr fontId="7"/>
  </si>
  <si>
    <t>Approximate Megawatts Electric (Mexico)</t>
    <phoneticPr fontId="7" type="noConversion"/>
  </si>
  <si>
    <t>Approximate Megawatts Electric (Sweden)</t>
    <phoneticPr fontId="7" type="noConversion"/>
  </si>
  <si>
    <t>Approximate Megawatts Electric (Russia)</t>
    <phoneticPr fontId="7" type="noConversion"/>
  </si>
  <si>
    <t>Approximate Megawatts Electric (Spain)</t>
    <phoneticPr fontId="7" type="noConversion"/>
  </si>
  <si>
    <t>Total</t>
    <phoneticPr fontId="7" type="noConversion"/>
  </si>
  <si>
    <t>Source Data</t>
  </si>
  <si>
    <t>Cited in: BP Statistical Review of World Energy 2009</t>
  </si>
  <si>
    <t xml:space="preserve">TOTAL </t>
  </si>
  <si>
    <t>Presented to the International Panel on Climate Change, Feb 2008</t>
    <phoneticPr fontId="7"/>
  </si>
  <si>
    <t xml:space="preserve">WADE, World Survey of Decentralized Energy (2006) </t>
    <phoneticPr fontId="7" type="noConversion"/>
  </si>
  <si>
    <t>RMI analysis employing the World Alliance For Decentralized Energy (WADE http://www.localpower.org/)</t>
    <phoneticPr fontId="7" type="noConversion"/>
  </si>
  <si>
    <t>methodology, based on Diesel and Gas Turbine World Wide Power Generation Survey</t>
    <phoneticPr fontId="7" type="noConversion"/>
  </si>
  <si>
    <t>Output</t>
  </si>
  <si>
    <t>Presentation to ACRE 2nd Annual Conference, July 8th 2003</t>
  </si>
  <si>
    <t>European Wind Energy Association</t>
  </si>
  <si>
    <t>Contact</t>
    <phoneticPr fontId="7"/>
  </si>
  <si>
    <t>Navigant Consulting</t>
  </si>
  <si>
    <t>Wind</t>
  </si>
  <si>
    <t>Photovoltaic</t>
    <phoneticPr fontId="7" type="noConversion"/>
  </si>
  <si>
    <t>http://www.eia.doe.gov/oiaf/ieo/index.html</t>
  </si>
  <si>
    <t>Energy Information Agency, International Energy Outlook 2009</t>
    <phoneticPr fontId="7"/>
  </si>
  <si>
    <t>P. 18</t>
    <phoneticPr fontId="7" type="noConversion"/>
  </si>
  <si>
    <t>Figure: Estimated Annual Worldwide Renewable Energy Capacity Additions</t>
    <phoneticPr fontId="7"/>
  </si>
  <si>
    <t>IEA World Energy Outlook 2004, page 432</t>
    <phoneticPr fontId="7"/>
  </si>
  <si>
    <t>The Current Status of the Wind Industry, 2005</t>
  </si>
  <si>
    <t>percentage</t>
  </si>
  <si>
    <t>Cumulative</t>
  </si>
  <si>
    <t>Approximate Megawatts Electric (France)</t>
    <phoneticPr fontId="7" type="noConversion"/>
  </si>
  <si>
    <t>Approximate Megawatts Electric (Finland)</t>
    <phoneticPr fontId="7" type="noConversion"/>
  </si>
  <si>
    <t>Historical</t>
    <phoneticPr fontId="7"/>
  </si>
  <si>
    <t>Micropower</t>
    <phoneticPr fontId="7" type="noConversion"/>
  </si>
  <si>
    <t>Historical</t>
    <phoneticPr fontId="7" type="noConversion"/>
  </si>
  <si>
    <t>BP Statistical Review of World Energy (June 2010) hydro generation data minus RMI-calculated small hydro generation</t>
    <phoneticPr fontId="7" type="noConversion"/>
  </si>
  <si>
    <t>http://www.iea.org/textbase/nppdf/free/2004/weo2004.pdf</t>
  </si>
  <si>
    <t>World Nuclear Association Country Reports (see Micropower Methodology (May 2010).doc)</t>
    <phoneticPr fontId="7"/>
  </si>
  <si>
    <t>http://www.fypower.org/pdf/EIA_IntlEnergyOutlook(2006).pdf</t>
  </si>
  <si>
    <t>Ingvar B. Fridleifsson (United Nations University Geothermal Training Programme, Iceland)</t>
  </si>
  <si>
    <t>SB note: from NEI 01/2012 Update</t>
  </si>
  <si>
    <t>ABL note: use projected 2011 uprates until we have a time to find new numbers</t>
  </si>
  <si>
    <t>2010: International Geothermal Association</t>
  </si>
  <si>
    <t>SB note: The Hydroelectricity data for previous years is different between the 2011 &amp; 2010 reports; consider updating past data.</t>
  </si>
  <si>
    <t>Titiaan Palazzi</t>
  </si>
  <si>
    <t>Uprates</t>
  </si>
  <si>
    <t>(BP) Electrical</t>
  </si>
  <si>
    <t>(EIA) Electrical</t>
  </si>
  <si>
    <t>n/a</t>
  </si>
  <si>
    <t>Output range</t>
  </si>
  <si>
    <t>MW counted</t>
  </si>
  <si>
    <t>%Continuous</t>
  </si>
  <si>
    <t>Total output (MWe)</t>
  </si>
  <si>
    <t>% counted</t>
  </si>
  <si>
    <t>2010 gas turbine</t>
  </si>
  <si>
    <t>SUM</t>
  </si>
  <si>
    <t>2010 TOTAL</t>
  </si>
  <si>
    <t>MW</t>
  </si>
  <si>
    <t>2011 gas turbine</t>
  </si>
  <si>
    <t>2011 TOTAL</t>
  </si>
  <si>
    <t>2012 gas turbine</t>
  </si>
  <si>
    <t>2012 TOTAL</t>
  </si>
  <si>
    <t>BP Statistical Review of World Energy (2011): 2010 Data</t>
  </si>
  <si>
    <t>(IAEA PRIS)</t>
  </si>
  <si>
    <t>(GWEC)</t>
  </si>
  <si>
    <t>(BP)</t>
  </si>
  <si>
    <t>capacity</t>
  </si>
  <si>
    <t>factor</t>
  </si>
  <si>
    <t>(IAEA) Electrical</t>
  </si>
  <si>
    <t>(BNEF)</t>
  </si>
  <si>
    <t>(BNEF * CF)</t>
  </si>
  <si>
    <t>Inferred</t>
  </si>
  <si>
    <t xml:space="preserve">Micropower / </t>
  </si>
  <si>
    <t>2013 gas turbine</t>
  </si>
  <si>
    <t>2013 reciprocating engines</t>
  </si>
  <si>
    <t>2010 steam turbine (all continuous)</t>
  </si>
  <si>
    <t>2011 steam turbine (all continuous)</t>
  </si>
  <si>
    <t>2012 steam turbine (all continuous)</t>
  </si>
  <si>
    <t>2013 steam turbine (all continuous)</t>
  </si>
  <si>
    <t>Diesel &amp; Gas Turbine Worldwide, Annual Power Generation Order Survey</t>
  </si>
  <si>
    <t>http://www.dieselgasturbine.com/Market-Surveys/</t>
  </si>
  <si>
    <r>
      <t xml:space="preserve">Date </t>
    </r>
    <r>
      <rPr>
        <b/>
        <sz val="10"/>
        <rFont val="Verdana"/>
      </rPr>
      <t xml:space="preserve">modified </t>
    </r>
  </si>
  <si>
    <t>tpalazzi@rmi.org</t>
  </si>
  <si>
    <t>additions</t>
  </si>
  <si>
    <t>(GW)</t>
  </si>
  <si>
    <t>(Capacity * CF)</t>
  </si>
  <si>
    <t>(TWh/y)</t>
  </si>
  <si>
    <t>Small hydro</t>
  </si>
  <si>
    <t>Small hydro generation</t>
  </si>
  <si>
    <t>generation</t>
  </si>
  <si>
    <t>Total generation</t>
  </si>
  <si>
    <t>Large hydro</t>
  </si>
  <si>
    <t>FOR SOURCES AND CALCULATIONS, PLEASE SEE RESPECTIVE SPREADSHEETS</t>
  </si>
  <si>
    <t>source</t>
  </si>
  <si>
    <t xml:space="preserve">Renewables </t>
  </si>
  <si>
    <t>(excl. big hydro)</t>
  </si>
  <si>
    <t>(DGTW)</t>
  </si>
  <si>
    <t>Large Hydro</t>
  </si>
  <si>
    <t>(BP, BNEF)</t>
  </si>
  <si>
    <t>Annual electricity generation (TWh/y)</t>
  </si>
  <si>
    <t>nuclear ratio</t>
  </si>
  <si>
    <t>DO NOT CHANGE DATA IN THIS SHEET, RATHER CHANGE NUMBERS ON 'SOURCE DATA' FROM WHICH THESE ARE CALCULATED</t>
  </si>
  <si>
    <t>Installed capacity (GW)</t>
  </si>
  <si>
    <t>Micropower /</t>
  </si>
  <si>
    <t>total generation</t>
  </si>
  <si>
    <t>Nuclear /</t>
  </si>
  <si>
    <t>IAEA Nuclear Power Reactors of the World, 2014 Edition</t>
  </si>
  <si>
    <t>http://www-pub.iaea.org/MTCD/Publications/PDF/rds-2-34_web.pdf</t>
  </si>
  <si>
    <t>For explanation of the methodology, please see Micropower Methodology (July 2014).doc.</t>
  </si>
  <si>
    <t xml:space="preserve">This sheet presents the source data needed to find nuclear capacity and output.  </t>
  </si>
  <si>
    <t>http://www.iaea.org/PRIS/WorldStatistics/WorldTrendNuclearPowerCapacity.aspx</t>
  </si>
  <si>
    <t>http://www.iaea.org/PRIS/WorldStatistics/WorldTrendinElectricalProduction.aspx</t>
  </si>
  <si>
    <t>BP Statistical Review of World Energy, 2014 Edition</t>
  </si>
  <si>
    <t>http://www.bp.com/content/dam/bp/pdf/Energy-economics/statistical-review-2014/BP-statistical-review-of-world-energy-2014-full-report.pdf</t>
  </si>
  <si>
    <t>Capacity Factor</t>
  </si>
  <si>
    <t>Generation</t>
  </si>
  <si>
    <t>http://www.eia.gov/cfapps/ipdbproject/iedindex3.cfm?tid=6&amp;pid=37&amp;aid=12&amp;cid=regions&amp;syid=1990&amp;eyid=2012&amp;unit=BKWH</t>
  </si>
  <si>
    <t xml:space="preserve">This sheet presents the source data needed to find wind capacity and output.  </t>
  </si>
  <si>
    <t xml:space="preserve">This sheet presents the source data needed to find solar PV capacity and output.  </t>
  </si>
  <si>
    <t>Manufactured</t>
  </si>
  <si>
    <t>Note: Data in bold from respective sources, other data extrapolated/interpolated</t>
  </si>
  <si>
    <t xml:space="preserve">This sheet presents the source data needed to find hydro capacity and output.  </t>
  </si>
  <si>
    <t>(MW)</t>
  </si>
  <si>
    <t>NUCLEAR</t>
  </si>
  <si>
    <t>WIND</t>
  </si>
  <si>
    <t>Installed</t>
  </si>
  <si>
    <t>SOLAR PHOTOVOLTAIC (PV)</t>
  </si>
  <si>
    <t>Bloomberg New Energy Finance (BNEF), 2014 database</t>
  </si>
  <si>
    <t>Capacity factor</t>
  </si>
  <si>
    <t>European Association for Small Hydro</t>
  </si>
  <si>
    <t>http://www.esha.be/about/about-small-hydropower/small-hydropower-in-figures.html</t>
  </si>
  <si>
    <t xml:space="preserve">This sheet presents the source data needed to find geothermal capacity and output.  </t>
  </si>
  <si>
    <t xml:space="preserve">Cumulative </t>
  </si>
  <si>
    <t xml:space="preserve">This sheet presents the source data needed to find biomass capacity and output.  </t>
  </si>
  <si>
    <t>capacity (BNEF)</t>
  </si>
  <si>
    <t>output</t>
  </si>
  <si>
    <t xml:space="preserve">(BNEF) Eletrical </t>
  </si>
  <si>
    <t>Net annual</t>
  </si>
  <si>
    <t>REN21 Global Status Report 2005-2014</t>
  </si>
  <si>
    <t>http://www.ren21.net/portals/0/documents/resources/gsr/2014/gsr2014_full%20report_low%20res.pdf</t>
  </si>
  <si>
    <t>Electrical</t>
  </si>
  <si>
    <t>output (BP)</t>
  </si>
  <si>
    <t>output (BNEF)</t>
  </si>
  <si>
    <t xml:space="preserve">This sheet presents the source data needed to find cogeneration capacity and output.  </t>
  </si>
  <si>
    <t>&gt;2009 capacity</t>
  </si>
  <si>
    <t>≤2009 capacity</t>
  </si>
  <si>
    <t>Non-biomass</t>
  </si>
  <si>
    <t>cogeneration</t>
  </si>
  <si>
    <t>Non-biomas</t>
  </si>
  <si>
    <t>Electrical output</t>
  </si>
  <si>
    <t>non-biomass cogen</t>
  </si>
  <si>
    <t>Brown, Michael. Director of WADE. Personal Communications. June 2005. 7250 operational hours per year. Confirmed in June 2014, w/ Brent Haight</t>
  </si>
  <si>
    <t>BP Statistical Review of World Energy, 2015 Edition</t>
  </si>
  <si>
    <t>http://www.gwec.net/wp-content/uploads/2015/02/GWEC_GlobalWindStats2014_FINAL_10.2.2015.pdf</t>
  </si>
  <si>
    <t>Assumptions</t>
  </si>
  <si>
    <t>Small hydro has a capacity factor of 0.4</t>
  </si>
  <si>
    <t>Global Wind Statistics 2015</t>
  </si>
  <si>
    <t>and output</t>
  </si>
  <si>
    <t>REN21 Global Status Report 2005-2015</t>
  </si>
  <si>
    <t xml:space="preserve">Electrical </t>
  </si>
  <si>
    <t>For years 2010–2014 geothermal electrical output data comes from REN21's annual reports</t>
  </si>
  <si>
    <t>For years 2000–2009 geothermal electrical output data is calculated based on the capacity factor, assuming last year's capacity plus one quarter of the capacity additions</t>
  </si>
  <si>
    <t>2014 reciprocating engines</t>
  </si>
  <si>
    <t>2014 gas turbine</t>
  </si>
  <si>
    <t>2014 steam turbine (all continuous)</t>
  </si>
  <si>
    <t>2013 TOTAL</t>
  </si>
  <si>
    <t>2014 TOTAL</t>
  </si>
  <si>
    <t>Micropower Database 2015 release</t>
  </si>
  <si>
    <t>Verification of our findings with BNEF</t>
  </si>
  <si>
    <t>IAEA PRIS Database accessed 29 June 2015</t>
  </si>
  <si>
    <t>http://www.bp.com/en/global/corporate/about-bp/energy-economics/statistical-review-of-world-energy.html</t>
  </si>
  <si>
    <t>EPIA 2015 Global Market Outlook, p. 13</t>
  </si>
  <si>
    <t>http://solarpowereurope.org/fileadmin/user_upload/documents/Publications/Global_Market_Outlook_2015_-2019_lr_v23.pdf</t>
  </si>
  <si>
    <t>capacity (REN21)</t>
  </si>
  <si>
    <t>%</t>
  </si>
  <si>
    <t>2014 generation-weighted capacity factor</t>
  </si>
  <si>
    <t>Bloomberg New Energy Finance (BNEF), 2015 database, used 9 July 2015</t>
  </si>
  <si>
    <t>BIOMASS &amp; WASTE</t>
  </si>
  <si>
    <t>Biomass &amp; Waste</t>
  </si>
  <si>
    <t>(BNEF * CF, REN21)</t>
  </si>
  <si>
    <t>(970) 927-7310</t>
  </si>
  <si>
    <t> </t>
  </si>
  <si>
    <t>Ratio RMI/IRENA</t>
  </si>
  <si>
    <t>Ratio RMI/BNEF</t>
  </si>
  <si>
    <t>22830 Two Rivers Road</t>
  </si>
  <si>
    <t>Basalt CO 81621 USA</t>
  </si>
  <si>
    <t xml:space="preserve"> +1 (970) 930 5750</t>
  </si>
  <si>
    <t>Capacity in the summary sheet comes from IAEA, generation in the summary sheet comes from IAEA.</t>
  </si>
  <si>
    <t>Capacity in the summary sheet comes from GWEC, generation in the summary sheet comes from BP</t>
  </si>
  <si>
    <t>weighted capacity factor calc.</t>
  </si>
  <si>
    <t>EIA International Energy Statistics, not available after 2012</t>
  </si>
  <si>
    <t>IAEA Nuclear Power Reactors of the World, 2015 Edition</t>
  </si>
  <si>
    <t>http://www-pub.iaea.org/MTCD/Publications/PDF/rds2-35web-85937611.pdf</t>
  </si>
  <si>
    <t>Capacity in the summary sheet comes from EPIA since 2000, generation in the summary sheet comes from BP</t>
  </si>
  <si>
    <t>2014 inferred capacity factors</t>
  </si>
  <si>
    <t>Capacity in the summary sheet comes from BNEF, generation in the summary sheet comes from BNEF multiplied by a capacity factor</t>
  </si>
  <si>
    <t>0.50-1.00</t>
  </si>
  <si>
    <t>1.01-2.00</t>
  </si>
  <si>
    <t>2.01-3.50</t>
  </si>
  <si>
    <t>3.51-5.00</t>
  </si>
  <si>
    <t>Output range (MW)</t>
  </si>
  <si>
    <t>5.01-7.50</t>
  </si>
  <si>
    <t>7.51-10.00</t>
  </si>
  <si>
    <t>10.01-15.00</t>
  </si>
  <si>
    <t>15.01-20.00</t>
  </si>
  <si>
    <t>20.01-30.00</t>
  </si>
  <si>
    <t>30.01 and above</t>
  </si>
  <si>
    <t>2012 reciprocating engines</t>
  </si>
  <si>
    <t>2011 reciprocating engines</t>
  </si>
  <si>
    <t>2010 reciprocating engines</t>
  </si>
  <si>
    <t>1.00-2.00</t>
  </si>
  <si>
    <t>30.01-60.00</t>
  </si>
  <si>
    <t>120.01-180.00</t>
  </si>
  <si>
    <t>60.01-120.00</t>
  </si>
  <si>
    <t>180.01 and above</t>
  </si>
  <si>
    <t xml:space="preserve">Renewables excl. big hydro </t>
  </si>
  <si>
    <t>(EPIA)</t>
  </si>
  <si>
    <t>Non-biomass Cogeneration</t>
  </si>
  <si>
    <t>Capacity additions Renewables excl. big hydro</t>
  </si>
  <si>
    <r>
      <t>*</t>
    </r>
    <r>
      <rPr>
        <sz val="11"/>
        <rFont val="Helvetica Neue"/>
      </rPr>
      <t>When capacity grows quickly (e.g. &gt;50 percent per year), the generation in that year, divided by the product of the end-of-year capacity times the number of hours per year, substantially understates the capacity factor. To account for this, I have adjusted the capacity factors for   wind to the 2014 average U.S. capacity factor from EIA (</t>
    </r>
    <r>
      <rPr>
        <b/>
        <sz val="11"/>
        <rFont val="Helvetica Neue"/>
      </rPr>
      <t>TK ref</t>
    </r>
    <r>
      <rPr>
        <sz val="11"/>
        <rFont val="Helvetica Neue"/>
      </rPr>
      <t>), which as LBNL explains (</t>
    </r>
    <r>
      <rPr>
        <b/>
        <sz val="11"/>
        <rFont val="Helvetica Neue"/>
      </rPr>
      <t>TK ref</t>
    </r>
    <r>
      <rPr>
        <sz val="11"/>
        <rFont val="Helvetica Neue"/>
      </rPr>
      <t xml:space="preserve">) is net of at least several percentage points' curtailment. I cannot use the 2014 EIA capacity factor for PV, however, because after discovery of a coding error, the EIA data have been withdrawn and not yet corrected for months before August 2014. For 2014 PV we use the  utility-scale U.S.  average of 29.4% from LBNL, </t>
    </r>
    <r>
      <rPr>
        <b/>
        <sz val="11"/>
        <rFont val="Helvetica Neue"/>
      </rPr>
      <t>TK ref</t>
    </r>
    <r>
      <rPr>
        <sz val="11"/>
        <rFont val="Helvetica Neue"/>
      </rPr>
      <t>. All these capacity factors are used only in this box, provided for readers' convenience. Elsewhere, as described in the Methodology file, this database makes no assumptions about global capacity factors, due to lack of reliable data, but simply cites capacity from one data source and output from another.</t>
    </r>
  </si>
  <si>
    <t>2014 capacity factors, with wind and PV based on actual in-service date by project*</t>
  </si>
  <si>
    <t>2014 generation-weighted  capacity factor, with wind and PV based on actual in-service date by project</t>
  </si>
  <si>
    <t>Verification: IRENA 2014 capacity</t>
  </si>
  <si>
    <t>Worldwide gross generation</t>
  </si>
  <si>
    <t>Renewables excl. big hydro /</t>
  </si>
  <si>
    <t>Total renewables /</t>
  </si>
  <si>
    <t>IAEA capacity includes dozens of units (38 in Japan since 2011) in Long–Term Shutdown as defined in the World Nuclear Industry Status Report (www.worldnuclearreport.org), increasing column G and decreasing column J</t>
  </si>
  <si>
    <t>http://www.bp.com/en/global/corporate/energy-economics/statistical-review-of-world-energy/downloads.html</t>
  </si>
  <si>
    <t>Actual capacity factors are much higher than the inferred number shown in column G due to timing in installation, see "Capacity (GW)" tab</t>
  </si>
  <si>
    <t>LARGE HYDRO (&gt;50 MW)</t>
  </si>
  <si>
    <t>SMALL HYDRO (≤50 MW)</t>
  </si>
  <si>
    <t>(This value is conservative; other reports give a CF of 0.5 (http://www.akamaiuniversity.us/PJST10_2_535.pdf, http://www.british-hydro.org/Useful_Information/A%20Guide%20to%20UK%20mini-hydro%20development%20v3.pdf))</t>
  </si>
  <si>
    <t>capacity factor</t>
  </si>
  <si>
    <t>http://www.ren21.net</t>
  </si>
  <si>
    <t xml:space="preserve">When electrical output is based on capacity, we assume the previous year's capacity plus one quarter of this year's capacity. For instance, 2014 generation is based on 2013 capacity plus 25% of the 2014 capacity additions multiplied by the 2014 capacity factor. </t>
  </si>
  <si>
    <t>2007-2010 http://www.dieselgasturbine.com/surveys.asp</t>
  </si>
  <si>
    <t>This page, transcribing cogeneration data from the 2010–2014 Diesel and Gas Turbine Worldwide reports, illustrates the non-proprietary data from this source that underlie our cogeneration analysis.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</si>
</sst>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0.000"/>
    <numFmt numFmtId="166" formatCode="0.0"/>
    <numFmt numFmtId="167" formatCode="mmmm\ d\,\ yyyy"/>
    <numFmt numFmtId="168" formatCode="_-* ###0.0_-;\(###0.0\);_-* &quot;–&quot;_-;_-@_-"/>
    <numFmt numFmtId="169" formatCode="_(* #,##0_);_(* \(#,##0\);_(* &quot;-&quot;??_);_(@_)"/>
    <numFmt numFmtId="170" formatCode="[&gt;=0.05]0.00;[=0]\-;\^"/>
  </numFmts>
  <fonts count="61" x14ac:knownFonts="1">
    <font>
      <sz val="10"/>
      <name val="Verdana"/>
    </font>
    <font>
      <sz val="10"/>
      <name val="Verdana"/>
    </font>
    <font>
      <b/>
      <sz val="10"/>
      <name val="Verdana"/>
    </font>
    <font>
      <sz val="10"/>
      <name val="Verdana"/>
    </font>
    <font>
      <b/>
      <sz val="10"/>
      <name val="Verdana"/>
    </font>
    <font>
      <sz val="10"/>
      <name val="Verdana"/>
    </font>
    <font>
      <u/>
      <sz val="10"/>
      <color indexed="12"/>
      <name val="Verdana"/>
    </font>
    <font>
      <sz val="8"/>
      <name val="Verdana"/>
    </font>
    <font>
      <sz val="10"/>
      <color indexed="12"/>
      <name val="Verdana"/>
    </font>
    <font>
      <b/>
      <sz val="10"/>
      <color indexed="19"/>
      <name val="Verdana"/>
    </font>
    <font>
      <b/>
      <sz val="16"/>
      <name val="Verdana"/>
    </font>
    <font>
      <sz val="7"/>
      <name val="Arial"/>
    </font>
    <font>
      <b/>
      <sz val="10"/>
      <color indexed="52"/>
      <name val="Verdana"/>
    </font>
    <font>
      <u/>
      <sz val="10"/>
      <color theme="11"/>
      <name val="Verdana"/>
    </font>
    <font>
      <b/>
      <sz val="10"/>
      <color theme="9"/>
      <name val="Verdana"/>
    </font>
    <font>
      <sz val="10"/>
      <color rgb="FF008000"/>
      <name val="Verdana"/>
    </font>
    <font>
      <b/>
      <sz val="10"/>
      <name val="Helvetica Neue"/>
    </font>
    <font>
      <sz val="10"/>
      <name val="Helvetica Neue"/>
    </font>
    <font>
      <b/>
      <sz val="10"/>
      <color indexed="53"/>
      <name val="Helvetica Neue"/>
    </font>
    <font>
      <b/>
      <sz val="10"/>
      <color indexed="16"/>
      <name val="Helvetica Neue"/>
    </font>
    <font>
      <b/>
      <sz val="10"/>
      <color indexed="23"/>
      <name val="Helvetica Neue"/>
    </font>
    <font>
      <b/>
      <sz val="10"/>
      <color indexed="19"/>
      <name val="Helvetica Neue"/>
    </font>
    <font>
      <b/>
      <sz val="11"/>
      <name val="Helvetica Neue"/>
    </font>
    <font>
      <sz val="11"/>
      <name val="Helvetica Neue"/>
    </font>
    <font>
      <sz val="10"/>
      <name val="Arial"/>
      <family val="2"/>
    </font>
    <font>
      <b/>
      <sz val="12"/>
      <name val="Helvetica Neue"/>
    </font>
    <font>
      <sz val="12"/>
      <name val="Helvetica Neue"/>
    </font>
    <font>
      <b/>
      <sz val="10"/>
      <color rgb="FFFF0000"/>
      <name val="Helvetica Neue"/>
    </font>
    <font>
      <u/>
      <sz val="10"/>
      <color indexed="12"/>
      <name val="Helvetica Neue"/>
    </font>
    <font>
      <b/>
      <sz val="10"/>
      <color indexed="10"/>
      <name val="Helvetica Neue"/>
    </font>
    <font>
      <sz val="10"/>
      <color indexed="12"/>
      <name val="Helvetica Neue"/>
    </font>
    <font>
      <b/>
      <sz val="10"/>
      <color rgb="FF008000"/>
      <name val="Helvetica Neue"/>
    </font>
    <font>
      <u/>
      <sz val="10"/>
      <color rgb="FF3366FF"/>
      <name val="Helvetica Neue"/>
    </font>
    <font>
      <b/>
      <sz val="10"/>
      <color theme="4" tint="-0.249977111117893"/>
      <name val="Helvetica Neue"/>
    </font>
    <font>
      <b/>
      <sz val="10"/>
      <color theme="2" tint="-0.499984740745262"/>
      <name val="Helvetica Neue"/>
    </font>
    <font>
      <b/>
      <sz val="10"/>
      <color theme="8" tint="0.39997558519241921"/>
      <name val="Helvetica Neue"/>
    </font>
    <font>
      <b/>
      <sz val="10"/>
      <color indexed="14"/>
      <name val="Helvetica Neue"/>
    </font>
    <font>
      <b/>
      <sz val="10"/>
      <color indexed="11"/>
      <name val="Helvetica Neue"/>
    </font>
    <font>
      <sz val="10"/>
      <color indexed="8"/>
      <name val="Helvetica Neue"/>
    </font>
    <font>
      <b/>
      <sz val="10"/>
      <color indexed="8"/>
      <name val="Helvetica Neue"/>
    </font>
    <font>
      <b/>
      <sz val="10"/>
      <color indexed="61"/>
      <name val="Helvetica Neue"/>
    </font>
    <font>
      <b/>
      <sz val="10"/>
      <color indexed="30"/>
      <name val="Helvetica Neue"/>
    </font>
    <font>
      <b/>
      <sz val="10"/>
      <color indexed="17"/>
      <name val="Helvetica Neue"/>
    </font>
    <font>
      <b/>
      <sz val="10"/>
      <color indexed="40"/>
      <name val="Helvetica Neue"/>
    </font>
    <font>
      <b/>
      <sz val="10"/>
      <color indexed="50"/>
      <name val="Helvetica Neue"/>
    </font>
    <font>
      <b/>
      <sz val="10"/>
      <color rgb="FF000090"/>
      <name val="Helvetica Neue"/>
    </font>
    <font>
      <b/>
      <sz val="10"/>
      <color rgb="FF0000FF"/>
      <name val="Helvetica Neue"/>
    </font>
    <font>
      <sz val="10"/>
      <color rgb="FF660066"/>
      <name val="Helvetica Neue"/>
    </font>
    <font>
      <b/>
      <sz val="10"/>
      <color indexed="20"/>
      <name val="Helvetica Neue"/>
    </font>
    <font>
      <b/>
      <sz val="10"/>
      <color theme="8" tint="-0.249977111117893"/>
      <name val="Helvetica Neue"/>
    </font>
    <font>
      <sz val="10"/>
      <color theme="8" tint="-0.249977111117893"/>
      <name val="Helvetica Neue"/>
    </font>
    <font>
      <b/>
      <sz val="10"/>
      <color theme="3" tint="0.39997558519241921"/>
      <name val="Helvetica Neue"/>
    </font>
    <font>
      <b/>
      <sz val="10"/>
      <color rgb="FF538DD5"/>
      <name val="Helvetica Neue"/>
    </font>
    <font>
      <b/>
      <sz val="10"/>
      <color indexed="46"/>
      <name val="Helvetica Neue"/>
    </font>
    <font>
      <b/>
      <sz val="10"/>
      <color indexed="55"/>
      <name val="Helvetica Neue"/>
    </font>
    <font>
      <b/>
      <sz val="10"/>
      <color indexed="12"/>
      <name val="Helvetica Neue"/>
    </font>
    <font>
      <b/>
      <sz val="10"/>
      <color indexed="57"/>
      <name val="Helvetica Neue"/>
    </font>
    <font>
      <b/>
      <sz val="10"/>
      <color rgb="FFFF6600"/>
      <name val="Helvetica Neue"/>
    </font>
    <font>
      <i/>
      <sz val="11"/>
      <name val="Helvetica Neue"/>
    </font>
    <font>
      <b/>
      <sz val="10"/>
      <color rgb="FF4378CB"/>
      <name val="Helvetica Neue"/>
    </font>
    <font>
      <b/>
      <sz val="10"/>
      <color theme="7" tint="-0.249977111117893"/>
      <name val="Helvetica Neue"/>
    </font>
  </fonts>
  <fills count="11">
    <fill>
      <patternFill patternType="none"/>
    </fill>
    <fill>
      <patternFill patternType="gray125"/>
    </fill>
    <fill>
      <patternFill patternType="solid">
        <fgColor indexed="15"/>
        <bgColor indexed="64"/>
      </patternFill>
    </fill>
    <fill>
      <patternFill patternType="solid">
        <fgColor indexed="9"/>
        <bgColor indexed="64"/>
      </patternFill>
    </fill>
    <fill>
      <patternFill patternType="solid">
        <fgColor indexed="40"/>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rgb="FF3297E4"/>
        <bgColor indexed="64"/>
      </patternFill>
    </fill>
    <fill>
      <patternFill patternType="solid">
        <fgColor theme="3" tint="0.79998168889431442"/>
        <bgColor indexed="64"/>
      </patternFill>
    </fill>
    <fill>
      <patternFill patternType="solid">
        <fgColor rgb="FF118DD6"/>
        <bgColor indexed="64"/>
      </patternFill>
    </fill>
  </fills>
  <borders count="2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302">
    <xf numFmtId="0" fontId="0" fillId="0" borderId="0"/>
    <xf numFmtId="164" fontId="5" fillId="0" borderId="0" applyFont="0" applyFill="0" applyBorder="0" applyAlignment="0" applyProtection="0"/>
    <xf numFmtId="0" fontId="6" fillId="0" borderId="0" applyNumberFormat="0" applyFill="0" applyBorder="0" applyAlignment="0" applyProtection="0">
      <alignment vertical="top"/>
      <protection locked="0"/>
    </xf>
    <xf numFmtId="168" fontId="11" fillId="0" borderId="0">
      <alignment horizontal="right" vertical="center"/>
    </xf>
    <xf numFmtId="9" fontId="3"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cellStyleXfs>
  <cellXfs count="519">
    <xf numFmtId="0" fontId="0" fillId="0" borderId="0" xfId="0"/>
    <xf numFmtId="0" fontId="0" fillId="0" borderId="0" xfId="0" applyBorder="1"/>
    <xf numFmtId="0" fontId="4" fillId="0" borderId="0" xfId="0" applyFont="1"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0" xfId="0" applyBorder="1"/>
    <xf numFmtId="0" fontId="0" fillId="0" borderId="0" xfId="0" applyFill="1" applyBorder="1"/>
    <xf numFmtId="0" fontId="4" fillId="2" borderId="12" xfId="0" applyFont="1" applyFill="1" applyBorder="1"/>
    <xf numFmtId="0" fontId="5" fillId="0" borderId="0" xfId="0" applyFont="1" applyBorder="1" applyAlignment="1">
      <alignment horizontal="left"/>
    </xf>
    <xf numFmtId="14" fontId="5" fillId="0" borderId="0" xfId="0" applyNumberFormat="1" applyFont="1" applyBorder="1" applyAlignment="1">
      <alignment horizontal="left"/>
    </xf>
    <xf numFmtId="167" fontId="5" fillId="0" borderId="0" xfId="0" applyNumberFormat="1" applyFont="1" applyBorder="1" applyAlignment="1">
      <alignment horizontal="left"/>
    </xf>
    <xf numFmtId="0" fontId="0" fillId="0" borderId="0" xfId="0" applyBorder="1" applyAlignment="1">
      <alignment horizontal="center"/>
    </xf>
    <xf numFmtId="0" fontId="5" fillId="0" borderId="0" xfId="0" applyFont="1" applyFill="1" applyBorder="1"/>
    <xf numFmtId="0" fontId="6" fillId="0" borderId="0" xfId="2" applyFill="1" applyBorder="1" applyAlignment="1" applyProtection="1"/>
    <xf numFmtId="0" fontId="0" fillId="0" borderId="4" xfId="0" applyFill="1" applyBorder="1"/>
    <xf numFmtId="0" fontId="10" fillId="0" borderId="0"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8" fillId="0" borderId="0" xfId="2" applyFont="1" applyFill="1" applyBorder="1" applyAlignment="1" applyProtection="1"/>
    <xf numFmtId="0" fontId="0" fillId="0" borderId="0" xfId="0"/>
    <xf numFmtId="0" fontId="6" fillId="0" borderId="0" xfId="2" applyBorder="1" applyAlignment="1" applyProtection="1"/>
    <xf numFmtId="0" fontId="0" fillId="0" borderId="0" xfId="0" applyAlignment="1">
      <alignment wrapText="1"/>
    </xf>
    <xf numFmtId="0" fontId="0" fillId="0" borderId="0" xfId="0" quotePrefix="1" applyBorder="1" applyAlignment="1">
      <alignment horizontal="center"/>
    </xf>
    <xf numFmtId="0" fontId="0" fillId="0" borderId="0" xfId="0"/>
    <xf numFmtId="0" fontId="12" fillId="0" borderId="0" xfId="0" applyFont="1" applyBorder="1"/>
    <xf numFmtId="0" fontId="5" fillId="0" borderId="4" xfId="2" applyFont="1" applyFill="1" applyBorder="1" applyAlignment="1" applyProtection="1"/>
    <xf numFmtId="0" fontId="0" fillId="2" borderId="13" xfId="0" applyFill="1" applyBorder="1" applyAlignment="1">
      <alignment wrapText="1"/>
    </xf>
    <xf numFmtId="0" fontId="0" fillId="2" borderId="15" xfId="0" applyFill="1" applyBorder="1" applyAlignment="1">
      <alignment wrapText="1"/>
    </xf>
    <xf numFmtId="0" fontId="5" fillId="2" borderId="13" xfId="0" applyFont="1" applyFill="1" applyBorder="1" applyAlignment="1">
      <alignment horizontal="left" wrapText="1"/>
    </xf>
    <xf numFmtId="0" fontId="5" fillId="2" borderId="13" xfId="0" applyFont="1" applyFill="1" applyBorder="1"/>
    <xf numFmtId="0" fontId="5" fillId="2" borderId="14" xfId="0" applyFont="1" applyFill="1" applyBorder="1"/>
    <xf numFmtId="0" fontId="0" fillId="5" borderId="0" xfId="0" applyFill="1" applyBorder="1"/>
    <xf numFmtId="0" fontId="0" fillId="5" borderId="5" xfId="0" applyFill="1" applyBorder="1"/>
    <xf numFmtId="0" fontId="9" fillId="5" borderId="4" xfId="0" applyFont="1" applyFill="1" applyBorder="1"/>
    <xf numFmtId="0" fontId="0" fillId="5" borderId="4" xfId="2" applyFont="1" applyFill="1" applyBorder="1" applyAlignment="1" applyProtection="1"/>
    <xf numFmtId="0" fontId="0" fillId="5" borderId="0" xfId="0" applyFill="1" applyBorder="1" applyAlignment="1">
      <alignment horizontal="left" wrapText="1"/>
    </xf>
    <xf numFmtId="0" fontId="0" fillId="0" borderId="13" xfId="0" applyBorder="1"/>
    <xf numFmtId="0" fontId="0" fillId="0" borderId="15" xfId="0" applyBorder="1"/>
    <xf numFmtId="0" fontId="2" fillId="0" borderId="0" xfId="0" applyFont="1"/>
    <xf numFmtId="0" fontId="14" fillId="0" borderId="4" xfId="0" applyFont="1" applyBorder="1"/>
    <xf numFmtId="0" fontId="4" fillId="0" borderId="13" xfId="0" applyFont="1" applyBorder="1"/>
    <xf numFmtId="0" fontId="0" fillId="0" borderId="14" xfId="0" applyBorder="1"/>
    <xf numFmtId="0" fontId="4" fillId="5" borderId="4" xfId="0" applyFont="1" applyFill="1" applyBorder="1"/>
    <xf numFmtId="0" fontId="5" fillId="5" borderId="4" xfId="2" applyFont="1" applyFill="1" applyBorder="1" applyAlignment="1" applyProtection="1"/>
    <xf numFmtId="0" fontId="0" fillId="7" borderId="10" xfId="0" applyFill="1" applyBorder="1"/>
    <xf numFmtId="166" fontId="1" fillId="7" borderId="0" xfId="1" applyNumberFormat="1" applyFont="1" applyFill="1" applyBorder="1" applyAlignment="1">
      <alignment horizontal="right" vertical="top" wrapText="1" indent="2"/>
    </xf>
    <xf numFmtId="0" fontId="0" fillId="7" borderId="0" xfId="0" applyFill="1" applyBorder="1"/>
    <xf numFmtId="0" fontId="0" fillId="7" borderId="10" xfId="0" applyFont="1" applyFill="1" applyBorder="1" applyAlignment="1">
      <alignment horizontal="right" vertical="top" wrapText="1"/>
    </xf>
    <xf numFmtId="0" fontId="0" fillId="7" borderId="0" xfId="0" applyFill="1"/>
    <xf numFmtId="0" fontId="0" fillId="0" borderId="0" xfId="0" applyFont="1"/>
    <xf numFmtId="164" fontId="0" fillId="0" borderId="0" xfId="1" applyFont="1"/>
    <xf numFmtId="0" fontId="0" fillId="0" borderId="16" xfId="0" applyBorder="1"/>
    <xf numFmtId="0" fontId="0" fillId="0" borderId="17" xfId="0" applyBorder="1"/>
    <xf numFmtId="0" fontId="0" fillId="0" borderId="18" xfId="0" applyBorder="1"/>
    <xf numFmtId="2" fontId="0" fillId="0" borderId="19" xfId="0" applyNumberFormat="1" applyBorder="1"/>
    <xf numFmtId="0" fontId="0" fillId="0" borderId="19" xfId="0" applyBorder="1"/>
    <xf numFmtId="0" fontId="0" fillId="0" borderId="21" xfId="0" applyBorder="1"/>
    <xf numFmtId="0" fontId="0" fillId="0" borderId="24" xfId="0" applyFont="1" applyBorder="1"/>
    <xf numFmtId="164" fontId="0" fillId="0" borderId="25" xfId="1" applyFont="1" applyBorder="1"/>
    <xf numFmtId="15" fontId="15" fillId="0" borderId="0" xfId="0" applyNumberFormat="1" applyFont="1" applyFill="1" applyBorder="1"/>
    <xf numFmtId="0" fontId="0" fillId="0" borderId="6" xfId="0" applyFill="1" applyBorder="1"/>
    <xf numFmtId="0" fontId="0" fillId="0" borderId="7" xfId="0" applyFill="1" applyBorder="1"/>
    <xf numFmtId="0" fontId="2" fillId="0" borderId="0" xfId="0" applyFont="1" applyBorder="1" applyAlignment="1">
      <alignment wrapText="1"/>
    </xf>
    <xf numFmtId="15" fontId="0" fillId="0" borderId="0" xfId="0" applyNumberFormat="1" applyFont="1" applyFill="1" applyBorder="1"/>
    <xf numFmtId="49" fontId="0" fillId="0" borderId="0" xfId="0" applyNumberFormat="1" applyFont="1" applyFill="1" applyBorder="1"/>
    <xf numFmtId="0" fontId="16" fillId="0" borderId="0" xfId="0" applyFont="1"/>
    <xf numFmtId="0" fontId="17" fillId="0" borderId="0" xfId="0" applyFont="1"/>
    <xf numFmtId="0" fontId="17" fillId="0" borderId="2" xfId="0" applyFont="1" applyBorder="1"/>
    <xf numFmtId="165" fontId="17" fillId="0" borderId="0" xfId="0" applyNumberFormat="1" applyFont="1" applyFill="1" applyBorder="1"/>
    <xf numFmtId="0" fontId="17" fillId="0" borderId="0" xfId="0" applyFont="1" applyBorder="1"/>
    <xf numFmtId="0" fontId="17" fillId="0" borderId="5" xfId="0" applyFont="1" applyBorder="1"/>
    <xf numFmtId="0" fontId="17" fillId="0" borderId="10" xfId="0" applyFont="1" applyBorder="1"/>
    <xf numFmtId="165" fontId="17" fillId="0" borderId="0" xfId="0" applyNumberFormat="1" applyFont="1" applyBorder="1"/>
    <xf numFmtId="0" fontId="16" fillId="0" borderId="0" xfId="0" applyFont="1" applyBorder="1"/>
    <xf numFmtId="0" fontId="16" fillId="0" borderId="0" xfId="0" applyFont="1" applyFill="1" applyBorder="1"/>
    <xf numFmtId="0" fontId="17" fillId="0" borderId="0" xfId="0" applyFont="1" applyFill="1"/>
    <xf numFmtId="0" fontId="17" fillId="0" borderId="4" xfId="0" applyFont="1" applyBorder="1"/>
    <xf numFmtId="0" fontId="19" fillId="0" borderId="4" xfId="0" applyFont="1" applyBorder="1"/>
    <xf numFmtId="165" fontId="17" fillId="3" borderId="0" xfId="0" applyNumberFormat="1" applyFont="1" applyFill="1" applyBorder="1"/>
    <xf numFmtId="0" fontId="17" fillId="0" borderId="6" xfId="0" applyFont="1" applyBorder="1"/>
    <xf numFmtId="0" fontId="17" fillId="0" borderId="8" xfId="0" applyFont="1" applyBorder="1"/>
    <xf numFmtId="0" fontId="17" fillId="0" borderId="1" xfId="0" applyFont="1" applyFill="1" applyBorder="1" applyAlignment="1">
      <alignment horizontal="left" wrapText="1"/>
    </xf>
    <xf numFmtId="0" fontId="17" fillId="0" borderId="2" xfId="0" applyFont="1" applyFill="1" applyBorder="1" applyAlignment="1">
      <alignment horizontal="left" wrapText="1"/>
    </xf>
    <xf numFmtId="4" fontId="16" fillId="0" borderId="2" xfId="0" applyNumberFormat="1" applyFont="1" applyFill="1" applyBorder="1"/>
    <xf numFmtId="4" fontId="16" fillId="0" borderId="3" xfId="0" applyNumberFormat="1" applyFont="1" applyBorder="1"/>
    <xf numFmtId="0" fontId="17" fillId="0" borderId="4" xfId="2" applyFont="1" applyFill="1" applyBorder="1" applyAlignment="1" applyProtection="1"/>
    <xf numFmtId="0" fontId="17" fillId="0" borderId="0" xfId="0" applyFont="1" applyFill="1" applyBorder="1" applyAlignment="1">
      <alignment horizontal="left" wrapText="1"/>
    </xf>
    <xf numFmtId="4" fontId="16" fillId="0" borderId="0" xfId="0" applyNumberFormat="1" applyFont="1" applyFill="1" applyBorder="1"/>
    <xf numFmtId="4" fontId="16" fillId="0" borderId="5" xfId="0" applyNumberFormat="1" applyFont="1" applyBorder="1"/>
    <xf numFmtId="0" fontId="18" fillId="0" borderId="4" xfId="0" applyFont="1" applyBorder="1"/>
    <xf numFmtId="0" fontId="17" fillId="7" borderId="4" xfId="2" applyFont="1" applyFill="1" applyBorder="1" applyAlignment="1" applyProtection="1"/>
    <xf numFmtId="0" fontId="17" fillId="7" borderId="0" xfId="0" applyFont="1" applyFill="1" applyBorder="1" applyAlignment="1">
      <alignment horizontal="left" wrapText="1"/>
    </xf>
    <xf numFmtId="4" fontId="16" fillId="7" borderId="0" xfId="0" applyNumberFormat="1" applyFont="1" applyFill="1" applyBorder="1"/>
    <xf numFmtId="0" fontId="17" fillId="7" borderId="0" xfId="0" applyFont="1" applyFill="1" applyBorder="1"/>
    <xf numFmtId="4" fontId="16" fillId="7" borderId="5" xfId="0" applyNumberFormat="1" applyFont="1" applyFill="1" applyBorder="1"/>
    <xf numFmtId="0" fontId="21" fillId="0" borderId="4" xfId="0" applyFont="1" applyBorder="1"/>
    <xf numFmtId="0" fontId="17" fillId="0" borderId="7" xfId="0" applyFont="1" applyBorder="1"/>
    <xf numFmtId="165" fontId="17" fillId="0" borderId="0" xfId="0" quotePrefix="1" applyNumberFormat="1" applyFont="1" applyFill="1" applyBorder="1"/>
    <xf numFmtId="2" fontId="18" fillId="0" borderId="0" xfId="0" applyNumberFormat="1" applyFont="1" applyBorder="1"/>
    <xf numFmtId="0" fontId="19" fillId="0" borderId="0" xfId="0" applyFont="1" applyFill="1" applyBorder="1"/>
    <xf numFmtId="9" fontId="17" fillId="0" borderId="0" xfId="4" applyFont="1" applyBorder="1"/>
    <xf numFmtId="164" fontId="0" fillId="0" borderId="26" xfId="1" applyFont="1" applyBorder="1"/>
    <xf numFmtId="0" fontId="0" fillId="0" borderId="26" xfId="0" applyBorder="1"/>
    <xf numFmtId="0" fontId="2" fillId="0" borderId="12" xfId="0" applyFont="1" applyBorder="1"/>
    <xf numFmtId="164" fontId="2" fillId="0" borderId="13" xfId="1" applyFont="1" applyBorder="1"/>
    <xf numFmtId="0" fontId="2" fillId="0" borderId="14" xfId="0" applyFont="1" applyBorder="1"/>
    <xf numFmtId="169" fontId="0" fillId="0" borderId="0" xfId="1" applyNumberFormat="1" applyFont="1" applyBorder="1"/>
    <xf numFmtId="169" fontId="0" fillId="0" borderId="20" xfId="1" applyNumberFormat="1" applyFont="1" applyBorder="1"/>
    <xf numFmtId="169" fontId="0" fillId="0" borderId="22" xfId="1" applyNumberFormat="1" applyFont="1" applyBorder="1"/>
    <xf numFmtId="169" fontId="0" fillId="0" borderId="23" xfId="1" applyNumberFormat="1" applyFont="1" applyBorder="1"/>
    <xf numFmtId="169" fontId="0" fillId="0" borderId="0" xfId="1" applyNumberFormat="1" applyFont="1" applyFill="1" applyBorder="1"/>
    <xf numFmtId="164" fontId="0" fillId="0" borderId="0" xfId="1" applyNumberFormat="1" applyFont="1" applyBorder="1"/>
    <xf numFmtId="164" fontId="0" fillId="0" borderId="22" xfId="1" applyNumberFormat="1" applyFont="1" applyBorder="1"/>
    <xf numFmtId="164" fontId="0" fillId="0" borderId="0" xfId="1" applyNumberFormat="1" applyFont="1" applyFill="1" applyBorder="1"/>
    <xf numFmtId="0" fontId="23" fillId="0" borderId="0" xfId="0" applyFont="1"/>
    <xf numFmtId="0" fontId="23" fillId="0" borderId="0" xfId="0" applyFont="1" applyBorder="1"/>
    <xf numFmtId="0" fontId="23" fillId="0" borderId="0" xfId="0" applyFont="1" applyFill="1"/>
    <xf numFmtId="165" fontId="23" fillId="0" borderId="0" xfId="0" applyNumberFormat="1" applyFont="1"/>
    <xf numFmtId="165" fontId="22" fillId="0" borderId="0" xfId="0" applyNumberFormat="1" applyFont="1" applyFill="1" applyBorder="1"/>
    <xf numFmtId="165" fontId="22" fillId="0" borderId="0" xfId="0" applyNumberFormat="1" applyFont="1" applyBorder="1"/>
    <xf numFmtId="2" fontId="0" fillId="0" borderId="0" xfId="1" applyNumberFormat="1" applyFont="1" applyBorder="1"/>
    <xf numFmtId="2" fontId="18" fillId="0" borderId="0" xfId="0" applyNumberFormat="1" applyFont="1" applyFill="1" applyBorder="1"/>
    <xf numFmtId="9" fontId="17" fillId="0" borderId="0" xfId="4" applyFont="1" applyFill="1" applyBorder="1"/>
    <xf numFmtId="0" fontId="17" fillId="0" borderId="0" xfId="0" applyFont="1" applyFill="1" applyBorder="1"/>
    <xf numFmtId="0" fontId="16" fillId="4" borderId="6" xfId="0" applyFont="1" applyFill="1" applyBorder="1"/>
    <xf numFmtId="0" fontId="17" fillId="4" borderId="7" xfId="0" applyFont="1" applyFill="1" applyBorder="1"/>
    <xf numFmtId="0" fontId="17" fillId="4" borderId="7" xfId="0" applyFont="1" applyFill="1" applyBorder="1" applyAlignment="1">
      <alignment horizontal="left" wrapText="1"/>
    </xf>
    <xf numFmtId="1" fontId="17" fillId="4" borderId="8" xfId="0" applyNumberFormat="1" applyFont="1" applyFill="1" applyBorder="1"/>
    <xf numFmtId="0" fontId="20" fillId="0" borderId="0" xfId="0" applyFont="1" applyFill="1" applyBorder="1"/>
    <xf numFmtId="9" fontId="17" fillId="0" borderId="10" xfId="4" applyFont="1" applyBorder="1"/>
    <xf numFmtId="9" fontId="17" fillId="0" borderId="11" xfId="4" applyFont="1" applyBorder="1"/>
    <xf numFmtId="164" fontId="17" fillId="0" borderId="10" xfId="1" applyFont="1" applyFill="1" applyBorder="1"/>
    <xf numFmtId="164" fontId="17" fillId="0" borderId="4" xfId="1" quotePrefix="1" applyFont="1" applyFill="1" applyBorder="1"/>
    <xf numFmtId="164" fontId="17" fillId="0" borderId="0" xfId="1" applyFont="1" applyFill="1" applyBorder="1"/>
    <xf numFmtId="164" fontId="17" fillId="0" borderId="0" xfId="1" applyFont="1" applyBorder="1"/>
    <xf numFmtId="164" fontId="17" fillId="0" borderId="5" xfId="1" applyFont="1" applyBorder="1"/>
    <xf numFmtId="164" fontId="17" fillId="0" borderId="10" xfId="1" applyFont="1" applyBorder="1"/>
    <xf numFmtId="164" fontId="17" fillId="3" borderId="0" xfId="1" applyFont="1" applyFill="1" applyBorder="1"/>
    <xf numFmtId="164" fontId="17" fillId="0" borderId="11" xfId="1" applyFont="1" applyFill="1" applyBorder="1"/>
    <xf numFmtId="164" fontId="17" fillId="0" borderId="6" xfId="1" quotePrefix="1" applyFont="1" applyFill="1" applyBorder="1"/>
    <xf numFmtId="164" fontId="17" fillId="0" borderId="7" xfId="1" applyFont="1" applyFill="1" applyBorder="1"/>
    <xf numFmtId="164" fontId="17" fillId="0" borderId="8" xfId="1" applyFont="1" applyFill="1" applyBorder="1"/>
    <xf numFmtId="164" fontId="17" fillId="0" borderId="11" xfId="1" applyFont="1" applyBorder="1"/>
    <xf numFmtId="164" fontId="17" fillId="0" borderId="6" xfId="1" applyFont="1" applyFill="1" applyBorder="1"/>
    <xf numFmtId="164" fontId="17" fillId="0" borderId="4" xfId="1" applyFont="1" applyFill="1" applyBorder="1"/>
    <xf numFmtId="0" fontId="25" fillId="0" borderId="0" xfId="0" applyFont="1"/>
    <xf numFmtId="0" fontId="26" fillId="0" borderId="0" xfId="0" applyFont="1"/>
    <xf numFmtId="0" fontId="16" fillId="0" borderId="0" xfId="0" applyFont="1" applyFill="1" applyBorder="1"/>
    <xf numFmtId="0" fontId="16" fillId="0" borderId="0" xfId="0" applyFont="1" applyFill="1" applyBorder="1"/>
    <xf numFmtId="0" fontId="17" fillId="8" borderId="9" xfId="0" applyFont="1" applyFill="1" applyBorder="1"/>
    <xf numFmtId="0" fontId="17" fillId="8" borderId="10" xfId="0" applyFont="1" applyFill="1" applyBorder="1"/>
    <xf numFmtId="0" fontId="17" fillId="0" borderId="9" xfId="0" applyFont="1" applyBorder="1"/>
    <xf numFmtId="0" fontId="17" fillId="0" borderId="9" xfId="0" applyFont="1" applyFill="1" applyBorder="1"/>
    <xf numFmtId="0" fontId="17" fillId="0" borderId="10" xfId="0" applyFont="1" applyBorder="1" applyAlignment="1">
      <alignment wrapText="1"/>
    </xf>
    <xf numFmtId="0" fontId="17" fillId="0" borderId="10" xfId="0" applyFont="1" applyFill="1" applyBorder="1"/>
    <xf numFmtId="0" fontId="17" fillId="0" borderId="11" xfId="0" applyFont="1" applyFill="1" applyBorder="1"/>
    <xf numFmtId="1" fontId="16" fillId="0" borderId="0" xfId="0" applyNumberFormat="1" applyFont="1" applyFill="1"/>
    <xf numFmtId="2" fontId="17" fillId="0" borderId="0" xfId="0" applyNumberFormat="1" applyFont="1" applyFill="1"/>
    <xf numFmtId="0" fontId="16" fillId="8" borderId="12" xfId="0" applyFont="1" applyFill="1" applyBorder="1"/>
    <xf numFmtId="0" fontId="17" fillId="8" borderId="13" xfId="0" applyFont="1" applyFill="1" applyBorder="1"/>
    <xf numFmtId="0" fontId="17" fillId="8" borderId="13" xfId="0" applyFont="1" applyFill="1" applyBorder="1" applyAlignment="1">
      <alignment horizontal="left" wrapText="1"/>
    </xf>
    <xf numFmtId="1" fontId="17" fillId="8" borderId="14" xfId="0" applyNumberFormat="1" applyFont="1" applyFill="1" applyBorder="1"/>
    <xf numFmtId="0" fontId="21" fillId="6" borderId="10" xfId="0" applyFont="1" applyFill="1" applyBorder="1"/>
    <xf numFmtId="0" fontId="17" fillId="6" borderId="4" xfId="2" applyFont="1" applyFill="1" applyBorder="1" applyAlignment="1" applyProtection="1"/>
    <xf numFmtId="0" fontId="17" fillId="6" borderId="0" xfId="0" applyFont="1" applyFill="1" applyBorder="1" applyAlignment="1">
      <alignment horizontal="left" wrapText="1"/>
    </xf>
    <xf numFmtId="4" fontId="16" fillId="6" borderId="0" xfId="0" applyNumberFormat="1" applyFont="1" applyFill="1" applyBorder="1"/>
    <xf numFmtId="4" fontId="16" fillId="6" borderId="5" xfId="0" applyNumberFormat="1" applyFont="1" applyFill="1" applyBorder="1"/>
    <xf numFmtId="0" fontId="28" fillId="6" borderId="4" xfId="2" applyFont="1" applyFill="1" applyBorder="1" applyAlignment="1" applyProtection="1"/>
    <xf numFmtId="0" fontId="29" fillId="0" borderId="10" xfId="0" applyFont="1" applyBorder="1"/>
    <xf numFmtId="0" fontId="17" fillId="0" borderId="4" xfId="0" applyFont="1" applyFill="1" applyBorder="1"/>
    <xf numFmtId="0" fontId="30" fillId="0" borderId="0" xfId="2" applyFont="1" applyBorder="1" applyAlignment="1" applyProtection="1"/>
    <xf numFmtId="0" fontId="21" fillId="0" borderId="10" xfId="0" applyFont="1" applyBorder="1"/>
    <xf numFmtId="0" fontId="18" fillId="0" borderId="10" xfId="0" applyFont="1" applyBorder="1"/>
    <xf numFmtId="0" fontId="28" fillId="0" borderId="0" xfId="2" applyFont="1" applyFill="1" applyBorder="1" applyAlignment="1" applyProtection="1"/>
    <xf numFmtId="0" fontId="17" fillId="0" borderId="11" xfId="0" applyFont="1" applyBorder="1"/>
    <xf numFmtId="0" fontId="31" fillId="0" borderId="10" xfId="0" applyFont="1" applyBorder="1"/>
    <xf numFmtId="0" fontId="32" fillId="0" borderId="4" xfId="0" applyFont="1" applyBorder="1"/>
    <xf numFmtId="0" fontId="32" fillId="0" borderId="4" xfId="2" applyFont="1" applyFill="1" applyBorder="1" applyAlignment="1" applyProtection="1"/>
    <xf numFmtId="0" fontId="32" fillId="0" borderId="6" xfId="0" applyFont="1" applyBorder="1"/>
    <xf numFmtId="2" fontId="31" fillId="0" borderId="6" xfId="0" applyNumberFormat="1" applyFont="1" applyFill="1" applyBorder="1"/>
    <xf numFmtId="0" fontId="6" fillId="0" borderId="4" xfId="2" applyFill="1" applyBorder="1" applyAlignment="1" applyProtection="1"/>
    <xf numFmtId="169" fontId="16" fillId="0" borderId="1" xfId="1" applyNumberFormat="1" applyFont="1" applyFill="1" applyBorder="1" applyAlignment="1">
      <alignment horizontal="right"/>
    </xf>
    <xf numFmtId="166" fontId="35" fillId="0" borderId="10" xfId="0" applyNumberFormat="1" applyFont="1" applyBorder="1"/>
    <xf numFmtId="169" fontId="17" fillId="0" borderId="4" xfId="1" applyNumberFormat="1" applyFont="1" applyBorder="1"/>
    <xf numFmtId="169" fontId="31" fillId="0" borderId="4" xfId="1" applyNumberFormat="1" applyFont="1" applyFill="1" applyBorder="1"/>
    <xf numFmtId="0" fontId="36" fillId="0" borderId="0" xfId="0" applyFont="1" applyBorder="1"/>
    <xf numFmtId="166" fontId="35" fillId="0" borderId="10" xfId="0" applyNumberFormat="1" applyFont="1" applyFill="1" applyBorder="1"/>
    <xf numFmtId="2" fontId="17" fillId="0" borderId="4" xfId="0" applyNumberFormat="1" applyFont="1" applyBorder="1"/>
    <xf numFmtId="1" fontId="17" fillId="0" borderId="0" xfId="0" applyNumberFormat="1" applyFont="1" applyFill="1" applyBorder="1"/>
    <xf numFmtId="0" fontId="37" fillId="0" borderId="0" xfId="0" applyFont="1" applyFill="1" applyBorder="1"/>
    <xf numFmtId="0" fontId="17" fillId="6" borderId="10" xfId="0" applyFont="1" applyFill="1" applyBorder="1"/>
    <xf numFmtId="169" fontId="31" fillId="0" borderId="6" xfId="1" applyNumberFormat="1" applyFont="1" applyFill="1" applyBorder="1"/>
    <xf numFmtId="0" fontId="17" fillId="0" borderId="11" xfId="0" applyFont="1" applyBorder="1" applyAlignment="1">
      <alignment horizontal="right"/>
    </xf>
    <xf numFmtId="0" fontId="17" fillId="10" borderId="13" xfId="0" applyFont="1" applyFill="1" applyBorder="1"/>
    <xf numFmtId="0" fontId="17" fillId="10" borderId="14" xfId="0" applyFont="1" applyFill="1" applyBorder="1"/>
    <xf numFmtId="0" fontId="33" fillId="0" borderId="9" xfId="0" applyFont="1" applyFill="1" applyBorder="1"/>
    <xf numFmtId="0" fontId="17" fillId="0" borderId="1" xfId="0" applyFont="1" applyFill="1" applyBorder="1"/>
    <xf numFmtId="0" fontId="17" fillId="0" borderId="2" xfId="0" applyFont="1" applyFill="1" applyBorder="1"/>
    <xf numFmtId="0" fontId="17" fillId="0" borderId="3" xfId="0" applyFont="1" applyBorder="1"/>
    <xf numFmtId="0" fontId="6" fillId="0" borderId="4" xfId="2" applyFont="1" applyFill="1" applyBorder="1" applyAlignment="1" applyProtection="1"/>
    <xf numFmtId="0" fontId="17" fillId="0" borderId="0" xfId="0" applyFont="1" applyFill="1" applyBorder="1" applyAlignment="1">
      <alignment wrapText="1"/>
    </xf>
    <xf numFmtId="0" fontId="17" fillId="0" borderId="4" xfId="0" applyFont="1" applyFill="1" applyBorder="1" applyAlignment="1">
      <alignment wrapText="1"/>
    </xf>
    <xf numFmtId="0" fontId="34" fillId="0" borderId="10" xfId="0" applyFont="1" applyFill="1" applyBorder="1"/>
    <xf numFmtId="0" fontId="35" fillId="0" borderId="10" xfId="0" applyFont="1" applyFill="1" applyBorder="1"/>
    <xf numFmtId="0" fontId="17" fillId="0" borderId="6" xfId="0" applyFont="1" applyFill="1" applyBorder="1"/>
    <xf numFmtId="0" fontId="17" fillId="0" borderId="7" xfId="0" applyFont="1" applyFill="1" applyBorder="1"/>
    <xf numFmtId="169" fontId="17" fillId="0" borderId="5" xfId="1" applyNumberFormat="1" applyFont="1" applyBorder="1"/>
    <xf numFmtId="0" fontId="17" fillId="0" borderId="5" xfId="0" applyFont="1" applyFill="1" applyBorder="1"/>
    <xf numFmtId="169" fontId="17" fillId="0" borderId="0" xfId="1" applyNumberFormat="1" applyFont="1" applyBorder="1"/>
    <xf numFmtId="0" fontId="37" fillId="0" borderId="4" xfId="0" applyFont="1" applyBorder="1"/>
    <xf numFmtId="9" fontId="17" fillId="0" borderId="10" xfId="0" applyNumberFormat="1" applyFont="1" applyBorder="1"/>
    <xf numFmtId="0" fontId="20" fillId="0" borderId="4" xfId="0" applyFont="1" applyBorder="1"/>
    <xf numFmtId="169" fontId="17" fillId="0" borderId="0" xfId="1" applyNumberFormat="1" applyFont="1" applyFill="1" applyBorder="1"/>
    <xf numFmtId="0" fontId="17" fillId="6" borderId="0" xfId="0" applyFont="1" applyFill="1"/>
    <xf numFmtId="169" fontId="17" fillId="0" borderId="7" xfId="1" applyNumberFormat="1" applyFont="1" applyFill="1" applyBorder="1"/>
    <xf numFmtId="9" fontId="17" fillId="0" borderId="11" xfId="0" applyNumberFormat="1" applyFont="1" applyBorder="1"/>
    <xf numFmtId="169" fontId="47" fillId="0" borderId="0" xfId="0" applyNumberFormat="1" applyFont="1" applyFill="1" applyBorder="1"/>
    <xf numFmtId="0" fontId="17" fillId="8" borderId="12" xfId="0" applyFont="1" applyFill="1" applyBorder="1"/>
    <xf numFmtId="0" fontId="17" fillId="8" borderId="14" xfId="0" applyFont="1" applyFill="1" applyBorder="1"/>
    <xf numFmtId="0" fontId="29" fillId="0" borderId="4" xfId="0" applyFont="1" applyBorder="1"/>
    <xf numFmtId="0" fontId="28" fillId="0" borderId="4" xfId="2" applyFont="1" applyBorder="1" applyAlignment="1" applyProtection="1"/>
    <xf numFmtId="0" fontId="28" fillId="0" borderId="4" xfId="2" applyFont="1" applyFill="1" applyBorder="1" applyAlignment="1" applyProtection="1"/>
    <xf numFmtId="0" fontId="48" fillId="0" borderId="4" xfId="0" applyFont="1" applyBorder="1"/>
    <xf numFmtId="0" fontId="20" fillId="0" borderId="4" xfId="0" applyFont="1" applyFill="1" applyBorder="1"/>
    <xf numFmtId="0" fontId="49" fillId="0" borderId="4" xfId="0" applyFont="1" applyFill="1" applyBorder="1"/>
    <xf numFmtId="0" fontId="50" fillId="0" borderId="0" xfId="0" applyFont="1" applyFill="1" applyBorder="1"/>
    <xf numFmtId="2" fontId="17" fillId="0" borderId="5" xfId="0" applyNumberFormat="1" applyFont="1" applyBorder="1"/>
    <xf numFmtId="2" fontId="34" fillId="0" borderId="5" xfId="0" applyNumberFormat="1" applyFont="1" applyFill="1" applyBorder="1"/>
    <xf numFmtId="0" fontId="17" fillId="0" borderId="1" xfId="0" applyFont="1" applyBorder="1"/>
    <xf numFmtId="0" fontId="48" fillId="0" borderId="6" xfId="0" applyFont="1" applyBorder="1"/>
    <xf numFmtId="0" fontId="17" fillId="8" borderId="1" xfId="0" applyFont="1" applyFill="1" applyBorder="1"/>
    <xf numFmtId="0" fontId="17" fillId="8" borderId="2" xfId="0" applyFont="1" applyFill="1" applyBorder="1"/>
    <xf numFmtId="0" fontId="17" fillId="8" borderId="4" xfId="0" applyFont="1" applyFill="1" applyBorder="1"/>
    <xf numFmtId="0" fontId="17" fillId="8" borderId="0" xfId="0" applyFont="1" applyFill="1" applyBorder="1"/>
    <xf numFmtId="2" fontId="17" fillId="0" borderId="8" xfId="0" applyNumberFormat="1" applyFont="1" applyBorder="1"/>
    <xf numFmtId="0" fontId="16" fillId="8" borderId="13" xfId="0" applyFont="1" applyFill="1" applyBorder="1"/>
    <xf numFmtId="0" fontId="36" fillId="0" borderId="9" xfId="0" applyFont="1" applyBorder="1"/>
    <xf numFmtId="0" fontId="51" fillId="0" borderId="9" xfId="0" applyFont="1" applyBorder="1"/>
    <xf numFmtId="0" fontId="17" fillId="10" borderId="12" xfId="0" applyFont="1" applyFill="1" applyBorder="1"/>
    <xf numFmtId="0" fontId="16" fillId="8" borderId="14" xfId="0" applyFont="1" applyFill="1" applyBorder="1"/>
    <xf numFmtId="0" fontId="17" fillId="0" borderId="0" xfId="2" applyFont="1" applyFill="1" applyBorder="1" applyAlignment="1" applyProtection="1"/>
    <xf numFmtId="0" fontId="16" fillId="0" borderId="11" xfId="0" applyFont="1" applyBorder="1"/>
    <xf numFmtId="0" fontId="52" fillId="0" borderId="10" xfId="0" applyFont="1" applyBorder="1"/>
    <xf numFmtId="2" fontId="17" fillId="0" borderId="1" xfId="0" applyNumberFormat="1" applyFont="1" applyBorder="1"/>
    <xf numFmtId="2" fontId="17" fillId="0" borderId="3" xfId="0" applyNumberFormat="1" applyFont="1" applyBorder="1"/>
    <xf numFmtId="165" fontId="54" fillId="0" borderId="0" xfId="0" applyNumberFormat="1" applyFont="1" applyBorder="1"/>
    <xf numFmtId="0" fontId="17" fillId="0" borderId="0" xfId="0" applyFont="1" applyFill="1" applyAlignment="1">
      <alignment vertical="top"/>
    </xf>
    <xf numFmtId="0" fontId="17" fillId="6" borderId="0" xfId="0" applyFont="1" applyFill="1" applyAlignment="1">
      <alignment vertical="top" wrapText="1"/>
    </xf>
    <xf numFmtId="0" fontId="53" fillId="0" borderId="10" xfId="0" applyFont="1" applyBorder="1"/>
    <xf numFmtId="0" fontId="17" fillId="0" borderId="0" xfId="0" applyFont="1" applyAlignment="1">
      <alignment horizontal="left"/>
    </xf>
    <xf numFmtId="0" fontId="31" fillId="0" borderId="10" xfId="0" applyFont="1" applyFill="1" applyBorder="1"/>
    <xf numFmtId="0" fontId="20" fillId="0" borderId="10" xfId="0" applyFont="1" applyBorder="1"/>
    <xf numFmtId="0" fontId="55" fillId="0" borderId="10" xfId="0" applyFont="1" applyFill="1" applyBorder="1"/>
    <xf numFmtId="165" fontId="18" fillId="0" borderId="0" xfId="0" applyNumberFormat="1" applyFont="1" applyBorder="1"/>
    <xf numFmtId="165" fontId="42" fillId="0" borderId="0" xfId="0" applyNumberFormat="1" applyFont="1" applyBorder="1"/>
    <xf numFmtId="0" fontId="17" fillId="0" borderId="0" xfId="0" applyFont="1" applyFill="1" applyBorder="1" applyAlignment="1">
      <alignment vertical="top" wrapText="1"/>
    </xf>
    <xf numFmtId="165" fontId="17" fillId="0" borderId="10" xfId="0" applyNumberFormat="1" applyFont="1" applyFill="1" applyBorder="1"/>
    <xf numFmtId="2" fontId="17" fillId="0" borderId="0" xfId="0" applyNumberFormat="1" applyFont="1" applyBorder="1"/>
    <xf numFmtId="2" fontId="17" fillId="0" borderId="2" xfId="0" applyNumberFormat="1" applyFont="1" applyFill="1" applyBorder="1"/>
    <xf numFmtId="2" fontId="17" fillId="0" borderId="6" xfId="0" applyNumberFormat="1" applyFont="1" applyBorder="1"/>
    <xf numFmtId="2" fontId="17" fillId="0" borderId="7" xfId="0" applyNumberFormat="1" applyFont="1" applyBorder="1"/>
    <xf numFmtId="2" fontId="34" fillId="0" borderId="3" xfId="0" applyNumberFormat="1" applyFont="1" applyFill="1" applyBorder="1"/>
    <xf numFmtId="165" fontId="17" fillId="0" borderId="0" xfId="0" applyNumberFormat="1" applyFont="1"/>
    <xf numFmtId="1" fontId="17" fillId="0" borderId="1" xfId="0" applyNumberFormat="1" applyFont="1" applyFill="1" applyBorder="1"/>
    <xf numFmtId="1" fontId="17" fillId="0" borderId="2" xfId="0" applyNumberFormat="1" applyFont="1" applyFill="1" applyBorder="1"/>
    <xf numFmtId="0" fontId="17" fillId="0" borderId="3" xfId="0" applyFont="1" applyFill="1" applyBorder="1"/>
    <xf numFmtId="165" fontId="17" fillId="0" borderId="9" xfId="0" applyNumberFormat="1" applyFont="1" applyFill="1" applyBorder="1"/>
    <xf numFmtId="1" fontId="17" fillId="0" borderId="4" xfId="0" applyNumberFormat="1" applyFont="1" applyFill="1" applyBorder="1"/>
    <xf numFmtId="0" fontId="17" fillId="0" borderId="0" xfId="0" applyFont="1" applyFill="1" applyBorder="1" applyAlignment="1">
      <alignment horizontal="right"/>
    </xf>
    <xf numFmtId="1" fontId="55" fillId="0" borderId="4" xfId="0" applyNumberFormat="1" applyFont="1" applyFill="1" applyBorder="1"/>
    <xf numFmtId="1" fontId="55" fillId="0" borderId="0" xfId="0" applyNumberFormat="1" applyFont="1" applyFill="1" applyBorder="1"/>
    <xf numFmtId="2" fontId="57" fillId="0" borderId="0" xfId="1" applyNumberFormat="1" applyFont="1" applyFill="1" applyBorder="1"/>
    <xf numFmtId="165" fontId="17" fillId="0" borderId="0" xfId="0" applyNumberFormat="1" applyFont="1" applyFill="1"/>
    <xf numFmtId="1" fontId="17" fillId="0" borderId="6" xfId="0" applyNumberFormat="1" applyFont="1" applyFill="1" applyBorder="1"/>
    <xf numFmtId="2" fontId="57" fillId="0" borderId="7" xfId="0" applyNumberFormat="1" applyFont="1" applyFill="1" applyBorder="1"/>
    <xf numFmtId="165" fontId="17" fillId="0" borderId="11" xfId="0" applyNumberFormat="1" applyFont="1" applyFill="1" applyBorder="1"/>
    <xf numFmtId="1" fontId="18" fillId="0" borderId="0" xfId="0" applyNumberFormat="1" applyFont="1" applyBorder="1"/>
    <xf numFmtId="0" fontId="55" fillId="0" borderId="9" xfId="0" applyFont="1" applyBorder="1"/>
    <xf numFmtId="0" fontId="56" fillId="0" borderId="10" xfId="0" applyFont="1" applyBorder="1"/>
    <xf numFmtId="0" fontId="57" fillId="0" borderId="10" xfId="0" applyFont="1" applyBorder="1"/>
    <xf numFmtId="0" fontId="36" fillId="0" borderId="11" xfId="0" applyFont="1" applyBorder="1"/>
    <xf numFmtId="0" fontId="16" fillId="0" borderId="10" xfId="0" applyFont="1" applyBorder="1"/>
    <xf numFmtId="164" fontId="17" fillId="0" borderId="1" xfId="1" applyFont="1" applyFill="1" applyBorder="1"/>
    <xf numFmtId="164" fontId="17" fillId="0" borderId="2" xfId="1" applyFont="1" applyFill="1" applyBorder="1"/>
    <xf numFmtId="164" fontId="17" fillId="0" borderId="2" xfId="1" applyFont="1" applyBorder="1"/>
    <xf numFmtId="164" fontId="17" fillId="0" borderId="3" xfId="1" applyFont="1" applyBorder="1"/>
    <xf numFmtId="164" fontId="17" fillId="0" borderId="0" xfId="1" applyFont="1"/>
    <xf numFmtId="164" fontId="17" fillId="0" borderId="5" xfId="1" applyFont="1" applyFill="1" applyBorder="1"/>
    <xf numFmtId="0" fontId="16" fillId="0" borderId="10" xfId="0" applyFont="1" applyFill="1" applyBorder="1"/>
    <xf numFmtId="0" fontId="16" fillId="6" borderId="10" xfId="0" applyFont="1" applyFill="1" applyBorder="1"/>
    <xf numFmtId="0" fontId="16" fillId="6" borderId="11" xfId="0" applyFont="1" applyFill="1" applyBorder="1"/>
    <xf numFmtId="164" fontId="17" fillId="0" borderId="1" xfId="1" quotePrefix="1" applyFont="1" applyFill="1" applyBorder="1"/>
    <xf numFmtId="164" fontId="17" fillId="3" borderId="7" xfId="1" applyFont="1" applyFill="1" applyBorder="1"/>
    <xf numFmtId="164" fontId="17" fillId="0" borderId="7" xfId="1" applyFont="1" applyBorder="1"/>
    <xf numFmtId="0" fontId="16" fillId="6" borderId="0" xfId="0" applyFont="1" applyFill="1" applyBorder="1"/>
    <xf numFmtId="0" fontId="23" fillId="0" borderId="0" xfId="0" applyFont="1" applyBorder="1" applyAlignment="1">
      <alignment wrapText="1"/>
    </xf>
    <xf numFmtId="0" fontId="23" fillId="0" borderId="0" xfId="0" applyNumberFormat="1" applyFont="1"/>
    <xf numFmtId="0" fontId="22" fillId="0" borderId="0" xfId="0" applyNumberFormat="1" applyFont="1" applyFill="1" applyBorder="1"/>
    <xf numFmtId="0" fontId="22" fillId="0" borderId="0" xfId="0" applyNumberFormat="1" applyFont="1" applyBorder="1"/>
    <xf numFmtId="0" fontId="23" fillId="0" borderId="0" xfId="0" applyNumberFormat="1" applyFont="1" applyAlignment="1">
      <alignment horizontal="left" vertical="top"/>
    </xf>
    <xf numFmtId="0" fontId="23" fillId="0" borderId="0" xfId="0" applyNumberFormat="1" applyFont="1" applyBorder="1" applyAlignment="1">
      <alignment horizontal="left" vertical="top" wrapText="1"/>
    </xf>
    <xf numFmtId="0" fontId="58" fillId="0" borderId="0" xfId="0" applyNumberFormat="1" applyFont="1" applyAlignment="1">
      <alignment horizontal="left" vertical="top"/>
    </xf>
    <xf numFmtId="2" fontId="17" fillId="0" borderId="9" xfId="0" applyNumberFormat="1" applyFont="1" applyBorder="1"/>
    <xf numFmtId="2" fontId="17" fillId="0" borderId="10" xfId="0" applyNumberFormat="1" applyFont="1" applyBorder="1"/>
    <xf numFmtId="2" fontId="17" fillId="0" borderId="11" xfId="0" applyNumberFormat="1" applyFont="1" applyBorder="1"/>
    <xf numFmtId="0" fontId="16" fillId="0" borderId="9" xfId="0" applyFont="1" applyBorder="1"/>
    <xf numFmtId="164" fontId="17" fillId="0" borderId="9" xfId="1" applyFont="1" applyFill="1" applyBorder="1"/>
    <xf numFmtId="164" fontId="17" fillId="0" borderId="9" xfId="1" applyFont="1" applyBorder="1"/>
    <xf numFmtId="3" fontId="17" fillId="0" borderId="9" xfId="0" applyNumberFormat="1" applyFont="1" applyFill="1" applyBorder="1"/>
    <xf numFmtId="3" fontId="17" fillId="0" borderId="10" xfId="0" applyNumberFormat="1" applyFont="1" applyFill="1" applyBorder="1"/>
    <xf numFmtId="3" fontId="27" fillId="0" borderId="10" xfId="0" applyNumberFormat="1" applyFont="1" applyFill="1" applyBorder="1"/>
    <xf numFmtId="1" fontId="31" fillId="0" borderId="10" xfId="0" applyNumberFormat="1" applyFont="1" applyBorder="1"/>
    <xf numFmtId="2" fontId="31" fillId="0" borderId="4" xfId="0" applyNumberFormat="1" applyFont="1" applyFill="1" applyBorder="1"/>
    <xf numFmtId="2" fontId="57" fillId="0" borderId="0" xfId="0" applyNumberFormat="1" applyFont="1" applyFill="1" applyBorder="1"/>
    <xf numFmtId="164" fontId="24" fillId="0" borderId="10" xfId="1" applyFont="1" applyFill="1" applyBorder="1"/>
    <xf numFmtId="169" fontId="33" fillId="0" borderId="3" xfId="1" applyNumberFormat="1" applyFont="1" applyFill="1" applyBorder="1"/>
    <xf numFmtId="169" fontId="33" fillId="0" borderId="5" xfId="1" applyNumberFormat="1" applyFont="1" applyFill="1" applyBorder="1"/>
    <xf numFmtId="169" fontId="31" fillId="0" borderId="5" xfId="1" applyNumberFormat="1" applyFont="1" applyFill="1" applyBorder="1"/>
    <xf numFmtId="169" fontId="31" fillId="0" borderId="5" xfId="1" applyNumberFormat="1" applyFont="1" applyFill="1" applyBorder="1" applyAlignment="1">
      <alignment horizontal="right"/>
    </xf>
    <xf numFmtId="169" fontId="31" fillId="0" borderId="8" xfId="1" applyNumberFormat="1" applyFont="1" applyFill="1" applyBorder="1"/>
    <xf numFmtId="166" fontId="34" fillId="0" borderId="9" xfId="0" applyNumberFormat="1" applyFont="1" applyBorder="1"/>
    <xf numFmtId="166" fontId="34" fillId="0" borderId="10" xfId="0" applyNumberFormat="1" applyFont="1" applyBorder="1"/>
    <xf numFmtId="166" fontId="34" fillId="0" borderId="10" xfId="0" applyNumberFormat="1" applyFont="1" applyBorder="1" applyAlignment="1">
      <alignment horizontal="right"/>
    </xf>
    <xf numFmtId="166" fontId="34" fillId="0" borderId="10" xfId="0" applyNumberFormat="1" applyFont="1" applyFill="1" applyBorder="1" applyAlignment="1">
      <alignment horizontal="right"/>
    </xf>
    <xf numFmtId="166" fontId="34" fillId="0" borderId="11" xfId="0" applyNumberFormat="1" applyFont="1" applyFill="1" applyBorder="1" applyAlignment="1">
      <alignment horizontal="right"/>
    </xf>
    <xf numFmtId="166" fontId="35" fillId="0" borderId="9" xfId="0" applyNumberFormat="1" applyFont="1" applyBorder="1"/>
    <xf numFmtId="0" fontId="17" fillId="0" borderId="10" xfId="0" applyFont="1" applyBorder="1" applyAlignment="1">
      <alignment horizontal="right"/>
    </xf>
    <xf numFmtId="9" fontId="17" fillId="0" borderId="9" xfId="4" applyFont="1" applyBorder="1"/>
    <xf numFmtId="169" fontId="18" fillId="0" borderId="0" xfId="1" applyNumberFormat="1" applyFont="1" applyBorder="1"/>
    <xf numFmtId="169" fontId="42" fillId="0" borderId="0" xfId="1" applyNumberFormat="1" applyFont="1" applyBorder="1"/>
    <xf numFmtId="169" fontId="44" fillId="0" borderId="0" xfId="1" applyNumberFormat="1" applyFont="1" applyFill="1" applyBorder="1"/>
    <xf numFmtId="169" fontId="45" fillId="0" borderId="0" xfId="1" applyNumberFormat="1" applyFont="1" applyFill="1" applyBorder="1"/>
    <xf numFmtId="169" fontId="46" fillId="0" borderId="0" xfId="1" applyNumberFormat="1" applyFont="1" applyFill="1" applyBorder="1"/>
    <xf numFmtId="169" fontId="17" fillId="0" borderId="3" xfId="1" applyNumberFormat="1" applyFont="1" applyBorder="1"/>
    <xf numFmtId="169" fontId="17" fillId="0" borderId="2" xfId="1" applyNumberFormat="1" applyFont="1" applyBorder="1"/>
    <xf numFmtId="169" fontId="49" fillId="0" borderId="5" xfId="1" applyNumberFormat="1" applyFont="1" applyFill="1" applyBorder="1"/>
    <xf numFmtId="169" fontId="49" fillId="0" borderId="5" xfId="0" applyNumberFormat="1" applyFont="1" applyFill="1" applyBorder="1"/>
    <xf numFmtId="3" fontId="49" fillId="0" borderId="5" xfId="0" applyNumberFormat="1" applyFont="1" applyFill="1" applyBorder="1"/>
    <xf numFmtId="169" fontId="49" fillId="0" borderId="8" xfId="1" applyNumberFormat="1" applyFont="1" applyFill="1" applyBorder="1"/>
    <xf numFmtId="9" fontId="17" fillId="0" borderId="9" xfId="0" applyNumberFormat="1" applyFont="1" applyBorder="1"/>
    <xf numFmtId="0" fontId="34" fillId="0" borderId="4" xfId="0" applyFont="1" applyFill="1" applyBorder="1"/>
    <xf numFmtId="0" fontId="37" fillId="0" borderId="1" xfId="0" applyFont="1" applyBorder="1"/>
    <xf numFmtId="0" fontId="53" fillId="0" borderId="4" xfId="0" applyFont="1" applyBorder="1"/>
    <xf numFmtId="0" fontId="31" fillId="0" borderId="4" xfId="0" applyFont="1" applyFill="1" applyBorder="1"/>
    <xf numFmtId="0" fontId="52" fillId="0" borderId="4" xfId="0" applyFont="1" applyBorder="1"/>
    <xf numFmtId="0" fontId="55" fillId="0" borderId="4" xfId="0" applyFont="1" applyFill="1" applyBorder="1"/>
    <xf numFmtId="165" fontId="21" fillId="0" borderId="5" xfId="0" applyNumberFormat="1" applyFont="1" applyFill="1" applyBorder="1"/>
    <xf numFmtId="165" fontId="56" fillId="0" borderId="5" xfId="0" applyNumberFormat="1" applyFont="1" applyFill="1" applyBorder="1"/>
    <xf numFmtId="165" fontId="17" fillId="0" borderId="5" xfId="0" applyNumberFormat="1" applyFont="1" applyFill="1" applyBorder="1"/>
    <xf numFmtId="165" fontId="21" fillId="0" borderId="8" xfId="0" applyNumberFormat="1" applyFont="1" applyFill="1" applyBorder="1"/>
    <xf numFmtId="2" fontId="17" fillId="0" borderId="9" xfId="0" applyNumberFormat="1" applyFont="1" applyFill="1" applyBorder="1"/>
    <xf numFmtId="2" fontId="17" fillId="0" borderId="10" xfId="0" applyNumberFormat="1" applyFont="1" applyFill="1" applyBorder="1"/>
    <xf numFmtId="2" fontId="17" fillId="0" borderId="11" xfId="0" applyNumberFormat="1" applyFont="1" applyFill="1" applyBorder="1"/>
    <xf numFmtId="169" fontId="27" fillId="0" borderId="10" xfId="1" applyNumberFormat="1" applyFont="1" applyBorder="1"/>
    <xf numFmtId="169" fontId="27" fillId="0" borderId="11" xfId="1" applyNumberFormat="1" applyFont="1" applyBorder="1"/>
    <xf numFmtId="2" fontId="51" fillId="0" borderId="1" xfId="0" applyNumberFormat="1" applyFont="1" applyBorder="1"/>
    <xf numFmtId="2" fontId="51" fillId="0" borderId="4" xfId="0" applyNumberFormat="1" applyFont="1" applyBorder="1"/>
    <xf numFmtId="2" fontId="51" fillId="0" borderId="4" xfId="0" applyNumberFormat="1" applyFont="1" applyFill="1" applyBorder="1"/>
    <xf numFmtId="2" fontId="51" fillId="0" borderId="6" xfId="0" applyNumberFormat="1" applyFont="1" applyBorder="1"/>
    <xf numFmtId="170" fontId="34" fillId="0" borderId="1" xfId="0" applyNumberFormat="1" applyFont="1" applyFill="1" applyBorder="1"/>
    <xf numFmtId="170" fontId="34" fillId="0" borderId="4" xfId="0" applyNumberFormat="1" applyFont="1" applyFill="1" applyBorder="1"/>
    <xf numFmtId="170" fontId="34" fillId="0" borderId="6" xfId="0" applyNumberFormat="1" applyFont="1" applyFill="1" applyBorder="1"/>
    <xf numFmtId="2" fontId="51" fillId="0" borderId="3" xfId="0" applyNumberFormat="1" applyFont="1" applyBorder="1"/>
    <xf numFmtId="2" fontId="51" fillId="0" borderId="5" xfId="0" applyNumberFormat="1" applyFont="1" applyBorder="1"/>
    <xf numFmtId="2" fontId="51" fillId="0" borderId="8" xfId="0" applyNumberFormat="1" applyFont="1" applyBorder="1"/>
    <xf numFmtId="2" fontId="17" fillId="0" borderId="2" xfId="0" applyNumberFormat="1" applyFont="1" applyBorder="1"/>
    <xf numFmtId="2" fontId="37" fillId="0" borderId="0" xfId="0" applyNumberFormat="1" applyFont="1" applyBorder="1"/>
    <xf numFmtId="2" fontId="31" fillId="0" borderId="0" xfId="0" applyNumberFormat="1" applyFont="1" applyFill="1" applyBorder="1"/>
    <xf numFmtId="2" fontId="31" fillId="0" borderId="7" xfId="0" applyNumberFormat="1" applyFont="1" applyFill="1" applyBorder="1"/>
    <xf numFmtId="2" fontId="36" fillId="0" borderId="1" xfId="0" applyNumberFormat="1" applyFont="1" applyBorder="1"/>
    <xf numFmtId="2" fontId="36" fillId="0" borderId="4" xfId="0" applyNumberFormat="1" applyFont="1" applyBorder="1"/>
    <xf numFmtId="2" fontId="17" fillId="0" borderId="4" xfId="0" applyNumberFormat="1" applyFont="1" applyFill="1" applyBorder="1"/>
    <xf numFmtId="2" fontId="53" fillId="0" borderId="2" xfId="0" applyNumberFormat="1" applyFont="1" applyBorder="1"/>
    <xf numFmtId="2" fontId="59" fillId="0" borderId="2" xfId="0" applyNumberFormat="1" applyFont="1" applyBorder="1"/>
    <xf numFmtId="2" fontId="59" fillId="0" borderId="0" xfId="0" applyNumberFormat="1" applyFont="1" applyBorder="1"/>
    <xf numFmtId="2" fontId="53" fillId="0" borderId="0" xfId="0" applyNumberFormat="1" applyFont="1" applyBorder="1"/>
    <xf numFmtId="2" fontId="31" fillId="0" borderId="4" xfId="0" applyNumberFormat="1" applyFont="1" applyBorder="1"/>
    <xf numFmtId="2" fontId="31" fillId="0" borderId="0" xfId="0" applyNumberFormat="1" applyFont="1" applyBorder="1"/>
    <xf numFmtId="2" fontId="17" fillId="0" borderId="0" xfId="0" applyNumberFormat="1" applyFont="1" applyFill="1" applyBorder="1"/>
    <xf numFmtId="2" fontId="17" fillId="0" borderId="7" xfId="0" applyNumberFormat="1" applyFont="1" applyFill="1" applyBorder="1"/>
    <xf numFmtId="2" fontId="59" fillId="0" borderId="7" xfId="0" applyNumberFormat="1" applyFont="1" applyFill="1" applyBorder="1"/>
    <xf numFmtId="164" fontId="17" fillId="0" borderId="3" xfId="1" applyFont="1" applyFill="1" applyBorder="1"/>
    <xf numFmtId="2" fontId="17" fillId="0" borderId="6" xfId="4" applyNumberFormat="1" applyFont="1" applyFill="1" applyBorder="1"/>
    <xf numFmtId="2" fontId="17" fillId="0" borderId="7" xfId="4" applyNumberFormat="1" applyFont="1" applyFill="1" applyBorder="1"/>
    <xf numFmtId="0" fontId="17" fillId="0" borderId="0" xfId="0" applyFont="1" applyFill="1" applyBorder="1" applyAlignment="1">
      <alignment horizontal="center"/>
    </xf>
    <xf numFmtId="169" fontId="29" fillId="0" borderId="1" xfId="1" applyNumberFormat="1" applyFont="1" applyBorder="1"/>
    <xf numFmtId="169" fontId="29" fillId="0" borderId="4" xfId="1" applyNumberFormat="1" applyFont="1" applyBorder="1"/>
    <xf numFmtId="169" fontId="40" fillId="0" borderId="4" xfId="1" applyNumberFormat="1" applyFont="1" applyBorder="1"/>
    <xf numFmtId="169" fontId="41" fillId="0" borderId="4" xfId="1" applyNumberFormat="1" applyFont="1" applyBorder="1"/>
    <xf numFmtId="169" fontId="43" fillId="0" borderId="4" xfId="1" applyNumberFormat="1" applyFont="1" applyBorder="1"/>
    <xf numFmtId="169" fontId="44" fillId="0" borderId="4" xfId="1" applyNumberFormat="1" applyFont="1" applyFill="1" applyBorder="1"/>
    <xf numFmtId="0" fontId="17" fillId="0" borderId="4" xfId="0" applyFont="1" applyFill="1" applyBorder="1" applyAlignment="1">
      <alignment horizontal="right"/>
    </xf>
    <xf numFmtId="0" fontId="17" fillId="0" borderId="4" xfId="0" applyFont="1" applyFill="1" applyBorder="1" applyAlignment="1">
      <alignment horizontal="left" wrapText="1"/>
    </xf>
    <xf numFmtId="0" fontId="60" fillId="6" borderId="10" xfId="0" applyFont="1" applyFill="1" applyBorder="1"/>
    <xf numFmtId="0" fontId="6" fillId="0" borderId="4" xfId="2" applyFill="1" applyBorder="1" applyAlignment="1" applyProtection="1">
      <alignment horizontal="left"/>
    </xf>
    <xf numFmtId="9" fontId="17" fillId="0" borderId="11" xfId="4" applyNumberFormat="1" applyFont="1" applyBorder="1"/>
    <xf numFmtId="0" fontId="10"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6" fillId="0" borderId="7" xfId="0" applyFont="1" applyBorder="1" applyAlignment="1">
      <alignment horizontal="center" shrinkToFit="1"/>
    </xf>
    <xf numFmtId="0" fontId="58" fillId="0" borderId="2" xfId="0" applyNumberFormat="1" applyFont="1" applyFill="1" applyBorder="1" applyAlignment="1">
      <alignment vertical="top" wrapText="1"/>
    </xf>
    <xf numFmtId="0" fontId="23" fillId="0" borderId="0" xfId="0" applyNumberFormat="1" applyFont="1" applyAlignment="1">
      <alignment horizontal="left" vertical="top" wrapText="1"/>
    </xf>
    <xf numFmtId="0" fontId="23" fillId="0" borderId="5" xfId="0" applyNumberFormat="1" applyFont="1" applyBorder="1" applyAlignment="1">
      <alignment horizontal="left" vertical="top" wrapText="1"/>
    </xf>
    <xf numFmtId="0" fontId="23" fillId="0" borderId="0" xfId="0" applyNumberFormat="1" applyFont="1" applyBorder="1" applyAlignment="1">
      <alignment horizontal="left" vertical="top" wrapText="1"/>
    </xf>
    <xf numFmtId="0" fontId="16" fillId="0" borderId="0" xfId="0" applyFont="1" applyFill="1" applyBorder="1"/>
    <xf numFmtId="0" fontId="16" fillId="8" borderId="12" xfId="0" applyFont="1" applyFill="1" applyBorder="1" applyAlignment="1">
      <alignment horizontal="center"/>
    </xf>
    <xf numFmtId="0" fontId="16" fillId="8" borderId="13" xfId="0" applyFont="1" applyFill="1" applyBorder="1" applyAlignment="1">
      <alignment horizontal="center"/>
    </xf>
    <xf numFmtId="0" fontId="16" fillId="8" borderId="14" xfId="0" applyFont="1" applyFill="1" applyBorder="1" applyAlignment="1">
      <alignment horizontal="center"/>
    </xf>
    <xf numFmtId="0" fontId="31" fillId="0" borderId="10" xfId="0" applyFont="1" applyFill="1" applyBorder="1" applyAlignment="1">
      <alignment horizontal="left" vertical="top" wrapText="1"/>
    </xf>
    <xf numFmtId="0" fontId="16" fillId="8" borderId="2" xfId="0" applyFont="1" applyFill="1" applyBorder="1" applyAlignment="1">
      <alignment horizontal="center"/>
    </xf>
    <xf numFmtId="0" fontId="16" fillId="8" borderId="3" xfId="0" applyFont="1" applyFill="1" applyBorder="1" applyAlignment="1">
      <alignment horizontal="center"/>
    </xf>
    <xf numFmtId="0" fontId="17" fillId="8" borderId="12" xfId="0" applyFont="1" applyFill="1" applyBorder="1" applyAlignment="1">
      <alignment horizontal="left"/>
    </xf>
    <xf numFmtId="0" fontId="17" fillId="8" borderId="13" xfId="0" applyFont="1" applyFill="1" applyBorder="1" applyAlignment="1">
      <alignment horizontal="left"/>
    </xf>
    <xf numFmtId="0" fontId="17" fillId="8" borderId="14" xfId="0" applyFont="1" applyFill="1" applyBorder="1" applyAlignment="1">
      <alignment horizontal="left"/>
    </xf>
    <xf numFmtId="0" fontId="17" fillId="9" borderId="6" xfId="0" applyFont="1" applyFill="1" applyBorder="1" applyAlignment="1">
      <alignment horizontal="center" wrapText="1"/>
    </xf>
    <xf numFmtId="0" fontId="17" fillId="9" borderId="7" xfId="0" applyFont="1" applyFill="1" applyBorder="1" applyAlignment="1">
      <alignment horizontal="center" wrapText="1"/>
    </xf>
    <xf numFmtId="0" fontId="38" fillId="9" borderId="11" xfId="0" applyFont="1" applyFill="1" applyBorder="1" applyAlignment="1">
      <alignment horizontal="center" wrapText="1"/>
    </xf>
    <xf numFmtId="0" fontId="17" fillId="0" borderId="0" xfId="0" applyFont="1" applyAlignment="1">
      <alignment horizontal="center" wrapText="1"/>
    </xf>
    <xf numFmtId="2" fontId="38" fillId="9" borderId="6" xfId="0" applyNumberFormat="1" applyFont="1" applyFill="1" applyBorder="1" applyAlignment="1">
      <alignment horizontal="center" vertical="top" wrapText="1"/>
    </xf>
    <xf numFmtId="0" fontId="23" fillId="0" borderId="0" xfId="0" applyFont="1" applyAlignment="1">
      <alignment horizontal="center" wrapText="1"/>
    </xf>
    <xf numFmtId="0" fontId="16" fillId="9" borderId="2" xfId="0" applyFont="1" applyFill="1" applyBorder="1" applyAlignment="1">
      <alignment horizontal="center" wrapText="1"/>
    </xf>
    <xf numFmtId="2" fontId="39" fillId="9" borderId="1" xfId="0" applyNumberFormat="1" applyFont="1" applyFill="1" applyBorder="1" applyAlignment="1">
      <alignment horizontal="center" vertical="top" wrapText="1"/>
    </xf>
    <xf numFmtId="2" fontId="16" fillId="9" borderId="3" xfId="0" applyNumberFormat="1" applyFont="1" applyFill="1" applyBorder="1" applyAlignment="1">
      <alignment horizontal="center" vertical="top" wrapText="1"/>
    </xf>
    <xf numFmtId="2" fontId="16" fillId="9" borderId="8" xfId="0" applyNumberFormat="1" applyFont="1" applyFill="1" applyBorder="1" applyAlignment="1">
      <alignment horizontal="center" vertical="top" wrapText="1"/>
    </xf>
    <xf numFmtId="0" fontId="16" fillId="9" borderId="2" xfId="0" applyFont="1" applyFill="1" applyBorder="1" applyAlignment="1">
      <alignment horizontal="center" vertical="top" wrapText="1"/>
    </xf>
    <xf numFmtId="0" fontId="39" fillId="9" borderId="9" xfId="0" applyFont="1" applyFill="1" applyBorder="1" applyAlignment="1">
      <alignment horizontal="center" vertical="top" wrapText="1"/>
    </xf>
    <xf numFmtId="0" fontId="16" fillId="6" borderId="0" xfId="0" applyFont="1" applyFill="1" applyBorder="1" applyAlignment="1">
      <alignment horizontal="center" wrapText="1"/>
    </xf>
    <xf numFmtId="0" fontId="16" fillId="9" borderId="12" xfId="0" applyFont="1" applyFill="1" applyBorder="1" applyAlignment="1">
      <alignment horizontal="center" wrapText="1"/>
    </xf>
    <xf numFmtId="0" fontId="16" fillId="9" borderId="13" xfId="0" applyFont="1" applyFill="1" applyBorder="1" applyAlignment="1">
      <alignment horizontal="center" wrapText="1"/>
    </xf>
    <xf numFmtId="0" fontId="16" fillId="9" borderId="14" xfId="0" applyFont="1" applyFill="1" applyBorder="1" applyAlignment="1">
      <alignment horizontal="center" wrapText="1"/>
    </xf>
    <xf numFmtId="164" fontId="17" fillId="0" borderId="0" xfId="1" applyFont="1" applyFill="1" applyBorder="1" applyAlignment="1">
      <alignment horizontal="center" wrapText="1"/>
    </xf>
    <xf numFmtId="164" fontId="17" fillId="0" borderId="0" xfId="1" applyFont="1" applyBorder="1" applyAlignment="1">
      <alignment horizontal="center" wrapText="1"/>
    </xf>
    <xf numFmtId="0" fontId="17" fillId="9" borderId="4" xfId="0" applyFont="1" applyFill="1" applyBorder="1" applyAlignment="1">
      <alignment horizontal="center"/>
    </xf>
    <xf numFmtId="0" fontId="17" fillId="9" borderId="10" xfId="0" applyFont="1" applyFill="1" applyBorder="1" applyAlignment="1">
      <alignment horizontal="center"/>
    </xf>
    <xf numFmtId="0" fontId="17" fillId="9" borderId="0" xfId="0" applyFont="1" applyFill="1" applyBorder="1" applyAlignment="1">
      <alignment horizontal="center"/>
    </xf>
    <xf numFmtId="0" fontId="17" fillId="9" borderId="5" xfId="0" applyFont="1" applyFill="1" applyBorder="1" applyAlignment="1">
      <alignment horizontal="center"/>
    </xf>
    <xf numFmtId="0" fontId="17" fillId="0" borderId="0" xfId="0" applyFont="1" applyAlignment="1">
      <alignment horizontal="center"/>
    </xf>
    <xf numFmtId="0" fontId="16" fillId="9" borderId="1" xfId="0" applyFont="1" applyFill="1" applyBorder="1" applyAlignment="1">
      <alignment horizontal="center" vertical="top" wrapText="1"/>
    </xf>
    <xf numFmtId="0" fontId="16" fillId="9" borderId="9" xfId="0" applyFont="1" applyFill="1" applyBorder="1" applyAlignment="1">
      <alignment horizontal="center" vertical="top" wrapText="1"/>
    </xf>
    <xf numFmtId="0" fontId="17" fillId="0" borderId="0" xfId="0" applyFont="1" applyAlignment="1">
      <alignment horizontal="center" vertical="top" wrapText="1"/>
    </xf>
    <xf numFmtId="0" fontId="23" fillId="0" borderId="0" xfId="0" applyFont="1" applyAlignment="1">
      <alignment horizontal="center" vertical="top" wrapText="1"/>
    </xf>
    <xf numFmtId="0" fontId="17" fillId="0" borderId="0" xfId="0" applyFont="1" applyAlignment="1"/>
    <xf numFmtId="1" fontId="31" fillId="0" borderId="10" xfId="0" applyNumberFormat="1" applyFont="1" applyFill="1" applyBorder="1"/>
    <xf numFmtId="1" fontId="31" fillId="0" borderId="11" xfId="0" applyNumberFormat="1" applyFont="1" applyFill="1" applyBorder="1"/>
    <xf numFmtId="3" fontId="18" fillId="0" borderId="3" xfId="0" applyNumberFormat="1" applyFont="1" applyBorder="1"/>
    <xf numFmtId="3" fontId="18" fillId="0" borderId="5" xfId="0" applyNumberFormat="1" applyFont="1" applyBorder="1"/>
    <xf numFmtId="3" fontId="18" fillId="0" borderId="5" xfId="0" applyNumberFormat="1" applyFont="1" applyFill="1" applyBorder="1"/>
    <xf numFmtId="3" fontId="27" fillId="0" borderId="5" xfId="0" applyNumberFormat="1" applyFont="1" applyBorder="1"/>
    <xf numFmtId="3" fontId="27" fillId="0" borderId="0" xfId="0" applyNumberFormat="1" applyFont="1"/>
    <xf numFmtId="3" fontId="27" fillId="0" borderId="0" xfId="0" applyNumberFormat="1" applyFont="1" applyBorder="1"/>
    <xf numFmtId="3" fontId="27" fillId="0" borderId="8" xfId="0" applyNumberFormat="1" applyFont="1" applyBorder="1"/>
    <xf numFmtId="3" fontId="21" fillId="0" borderId="1" xfId="0" applyNumberFormat="1" applyFont="1" applyFill="1" applyBorder="1"/>
    <xf numFmtId="3" fontId="21" fillId="0" borderId="2" xfId="0" applyNumberFormat="1" applyFont="1" applyFill="1" applyBorder="1"/>
    <xf numFmtId="3" fontId="17" fillId="0" borderId="3" xfId="0" applyNumberFormat="1" applyFont="1" applyFill="1" applyBorder="1"/>
    <xf numFmtId="3" fontId="21" fillId="0" borderId="4" xfId="0" applyNumberFormat="1" applyFont="1" applyFill="1" applyBorder="1"/>
    <xf numFmtId="3" fontId="21" fillId="0" borderId="0" xfId="0" applyNumberFormat="1" applyFont="1" applyFill="1" applyBorder="1"/>
    <xf numFmtId="3" fontId="17" fillId="0" borderId="5" xfId="0" applyNumberFormat="1" applyFont="1" applyFill="1" applyBorder="1"/>
    <xf numFmtId="3" fontId="60" fillId="0" borderId="6" xfId="0" applyNumberFormat="1" applyFont="1" applyFill="1" applyBorder="1"/>
    <xf numFmtId="3" fontId="21" fillId="0" borderId="7" xfId="0" applyNumberFormat="1" applyFont="1" applyFill="1" applyBorder="1"/>
    <xf numFmtId="3" fontId="17" fillId="0" borderId="8" xfId="0" applyNumberFormat="1" applyFont="1" applyFill="1" applyBorder="1"/>
    <xf numFmtId="0" fontId="17" fillId="8" borderId="4" xfId="0" applyFont="1" applyFill="1" applyBorder="1" applyAlignment="1">
      <alignment horizontal="center"/>
    </xf>
    <xf numFmtId="0" fontId="17" fillId="8" borderId="0" xfId="0" applyFont="1" applyFill="1" applyBorder="1" applyAlignment="1">
      <alignment horizontal="center"/>
    </xf>
    <xf numFmtId="0" fontId="17" fillId="8" borderId="10" xfId="0" applyFont="1" applyFill="1" applyBorder="1" applyAlignment="1">
      <alignment horizontal="center"/>
    </xf>
    <xf numFmtId="0" fontId="17" fillId="8" borderId="1" xfId="0" applyFont="1" applyFill="1" applyBorder="1" applyAlignment="1">
      <alignment horizontal="center"/>
    </xf>
    <xf numFmtId="0" fontId="17" fillId="8" borderId="2" xfId="0" applyFont="1" applyFill="1" applyBorder="1" applyAlignment="1">
      <alignment horizontal="center"/>
    </xf>
    <xf numFmtId="0" fontId="17" fillId="8" borderId="9" xfId="0" applyFont="1" applyFill="1" applyBorder="1" applyAlignment="1">
      <alignment horizontal="center"/>
    </xf>
    <xf numFmtId="0" fontId="17" fillId="8" borderId="11" xfId="0" applyFont="1" applyFill="1" applyBorder="1" applyAlignment="1">
      <alignment horizontal="center"/>
    </xf>
    <xf numFmtId="0" fontId="17" fillId="8" borderId="3" xfId="0" applyFont="1" applyFill="1" applyBorder="1" applyAlignment="1">
      <alignment horizontal="center"/>
    </xf>
    <xf numFmtId="0" fontId="17" fillId="8" borderId="5" xfId="0" applyFont="1" applyFill="1" applyBorder="1" applyAlignment="1">
      <alignment horizontal="center"/>
    </xf>
    <xf numFmtId="0" fontId="17" fillId="8" borderId="6" xfId="0" applyFont="1" applyFill="1" applyBorder="1" applyAlignment="1">
      <alignment horizontal="center"/>
    </xf>
    <xf numFmtId="0" fontId="17" fillId="8" borderId="7" xfId="0" applyFont="1" applyFill="1" applyBorder="1" applyAlignment="1">
      <alignment horizontal="center"/>
    </xf>
    <xf numFmtId="0" fontId="17" fillId="8" borderId="8" xfId="0" applyFont="1" applyFill="1" applyBorder="1" applyAlignment="1">
      <alignment horizontal="center"/>
    </xf>
    <xf numFmtId="166" fontId="34" fillId="0" borderId="9" xfId="0" applyNumberFormat="1" applyFont="1" applyFill="1" applyBorder="1"/>
    <xf numFmtId="166" fontId="34" fillId="0" borderId="10" xfId="0" applyNumberFormat="1" applyFont="1" applyFill="1" applyBorder="1"/>
    <xf numFmtId="166" fontId="34" fillId="0" borderId="11" xfId="0" applyNumberFormat="1" applyFont="1" applyFill="1" applyBorder="1"/>
    <xf numFmtId="2" fontId="27" fillId="0" borderId="4" xfId="0" applyNumberFormat="1" applyFont="1" applyBorder="1"/>
    <xf numFmtId="0" fontId="27" fillId="0" borderId="10" xfId="0" applyFont="1" applyBorder="1"/>
    <xf numFmtId="9" fontId="17" fillId="0" borderId="1" xfId="4" applyFont="1" applyBorder="1"/>
    <xf numFmtId="9" fontId="17" fillId="0" borderId="4" xfId="4" applyFont="1" applyBorder="1"/>
    <xf numFmtId="9" fontId="21" fillId="0" borderId="4" xfId="4" applyFont="1" applyBorder="1"/>
    <xf numFmtId="9" fontId="17" fillId="0" borderId="6" xfId="4" applyFont="1" applyBorder="1"/>
    <xf numFmtId="0" fontId="16" fillId="8" borderId="10" xfId="0" applyFont="1" applyFill="1" applyBorder="1" applyAlignment="1">
      <alignment horizontal="center"/>
    </xf>
    <xf numFmtId="9" fontId="29" fillId="0" borderId="10" xfId="4" applyFont="1" applyBorder="1"/>
    <xf numFmtId="9" fontId="29" fillId="0" borderId="10" xfId="4" applyFont="1" applyFill="1" applyBorder="1"/>
    <xf numFmtId="9" fontId="17" fillId="0" borderId="10" xfId="4" applyFont="1" applyFill="1" applyBorder="1"/>
    <xf numFmtId="2" fontId="17" fillId="0" borderId="5" xfId="0" applyNumberFormat="1" applyFont="1" applyFill="1" applyBorder="1" applyAlignment="1">
      <alignment horizontal="right" vertical="top" wrapText="1"/>
    </xf>
    <xf numFmtId="2" fontId="17" fillId="0" borderId="8" xfId="0" applyNumberFormat="1" applyFont="1" applyFill="1" applyBorder="1" applyAlignment="1">
      <alignment horizontal="right" vertical="top" wrapText="1"/>
    </xf>
    <xf numFmtId="0" fontId="6" fillId="0" borderId="4" xfId="2" applyBorder="1" applyAlignment="1" applyProtection="1"/>
    <xf numFmtId="9" fontId="36" fillId="0" borderId="10" xfId="4" applyFont="1" applyFill="1" applyBorder="1"/>
    <xf numFmtId="9" fontId="36" fillId="0" borderId="11" xfId="4" applyFont="1" applyFill="1" applyBorder="1"/>
    <xf numFmtId="0" fontId="17" fillId="0" borderId="0" xfId="0" applyFont="1" applyBorder="1" applyAlignment="1">
      <alignment horizontal="center"/>
    </xf>
    <xf numFmtId="165" fontId="17" fillId="0" borderId="0" xfId="0" applyNumberFormat="1" applyFont="1" applyAlignment="1">
      <alignment horizontal="center"/>
    </xf>
    <xf numFmtId="9" fontId="23" fillId="0" borderId="4" xfId="4" applyFont="1" applyBorder="1"/>
    <xf numFmtId="9" fontId="23" fillId="0" borderId="0" xfId="4" applyFont="1" applyBorder="1"/>
    <xf numFmtId="9" fontId="23" fillId="0" borderId="5" xfId="4" applyFont="1" applyBorder="1"/>
    <xf numFmtId="9" fontId="58" fillId="0" borderId="4" xfId="4" applyFont="1" applyFill="1" applyBorder="1"/>
    <xf numFmtId="9" fontId="58" fillId="0" borderId="0" xfId="4" applyFont="1" applyFill="1" applyBorder="1"/>
    <xf numFmtId="9" fontId="23" fillId="0" borderId="5" xfId="4" applyFont="1" applyFill="1" applyBorder="1"/>
    <xf numFmtId="9" fontId="23" fillId="0" borderId="4" xfId="4" applyFont="1" applyFill="1" applyBorder="1"/>
    <xf numFmtId="9" fontId="23" fillId="0" borderId="0" xfId="4" applyFont="1" applyFill="1" applyBorder="1"/>
    <xf numFmtId="9" fontId="58" fillId="0" borderId="6" xfId="4" applyFont="1" applyFill="1" applyBorder="1"/>
    <xf numFmtId="9" fontId="58" fillId="0" borderId="7" xfId="4" applyFont="1" applyFill="1" applyBorder="1"/>
    <xf numFmtId="9" fontId="23" fillId="0" borderId="8" xfId="4" applyFont="1" applyFill="1" applyBorder="1"/>
    <xf numFmtId="169" fontId="17" fillId="0" borderId="4" xfId="1" applyNumberFormat="1" applyFont="1" applyFill="1" applyBorder="1"/>
    <xf numFmtId="169" fontId="17" fillId="0" borderId="5" xfId="1" applyNumberFormat="1" applyFont="1" applyFill="1" applyBorder="1"/>
    <xf numFmtId="169" fontId="17" fillId="0" borderId="6" xfId="1" applyNumberFormat="1" applyFont="1" applyFill="1" applyBorder="1"/>
    <xf numFmtId="169" fontId="17" fillId="0" borderId="8" xfId="1" applyNumberFormat="1" applyFont="1" applyFill="1" applyBorder="1"/>
    <xf numFmtId="0" fontId="16" fillId="9" borderId="1" xfId="0" applyFont="1" applyFill="1" applyBorder="1" applyAlignment="1">
      <alignment horizontal="center"/>
    </xf>
    <xf numFmtId="0" fontId="16" fillId="9" borderId="9" xfId="0" applyFont="1" applyFill="1" applyBorder="1" applyAlignment="1">
      <alignment horizontal="center"/>
    </xf>
    <xf numFmtId="0" fontId="16" fillId="9" borderId="2" xfId="0" applyFont="1" applyFill="1" applyBorder="1" applyAlignment="1">
      <alignment horizontal="center"/>
    </xf>
    <xf numFmtId="0" fontId="16" fillId="9" borderId="3" xfId="0" applyFont="1" applyFill="1" applyBorder="1" applyAlignment="1">
      <alignment horizontal="center"/>
    </xf>
    <xf numFmtId="0" fontId="16" fillId="9" borderId="3" xfId="0" applyFont="1" applyFill="1" applyBorder="1" applyAlignment="1">
      <alignment horizontal="center" wrapText="1"/>
    </xf>
    <xf numFmtId="0" fontId="16" fillId="9" borderId="4" xfId="0" applyFont="1" applyFill="1" applyBorder="1" applyAlignment="1">
      <alignment horizontal="center"/>
    </xf>
    <xf numFmtId="0" fontId="16" fillId="9" borderId="10" xfId="0" applyFont="1" applyFill="1" applyBorder="1" applyAlignment="1">
      <alignment horizontal="center"/>
    </xf>
    <xf numFmtId="0" fontId="16" fillId="9" borderId="0" xfId="0" applyFont="1" applyFill="1" applyBorder="1" applyAlignment="1">
      <alignment horizontal="center"/>
    </xf>
    <xf numFmtId="0" fontId="16" fillId="9" borderId="5" xfId="0" applyFont="1" applyFill="1" applyBorder="1" applyAlignment="1">
      <alignment horizontal="center"/>
    </xf>
  </cellXfs>
  <cellStyles count="302">
    <cellStyle name="Comma" xfId="1" builtinId="3"/>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Hyperlink" xfId="2" builtinId="8"/>
    <cellStyle name="Normal" xfId="0" builtinId="0"/>
    <cellStyle name="Percent" xfId="4" builtinId="5"/>
    <cellStyle name="X06_Figs 1 dec" xfId="3"/>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FF"/>
    </mru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3.xml"/><Relationship Id="rId20" Type="http://schemas.openxmlformats.org/officeDocument/2006/relationships/styles" Target="styles.xml"/><Relationship Id="rId21" Type="http://schemas.openxmlformats.org/officeDocument/2006/relationships/sharedStrings" Target="sharedStrings.xml"/><Relationship Id="rId22" Type="http://schemas.openxmlformats.org/officeDocument/2006/relationships/calcChain" Target="calcChain.xml"/><Relationship Id="rId10" Type="http://schemas.openxmlformats.org/officeDocument/2006/relationships/worksheet" Target="worksheets/sheet4.xml"/><Relationship Id="rId11" Type="http://schemas.openxmlformats.org/officeDocument/2006/relationships/worksheet" Target="worksheets/sheet5.xml"/><Relationship Id="rId12" Type="http://schemas.openxmlformats.org/officeDocument/2006/relationships/worksheet" Target="worksheets/sheet6.xml"/><Relationship Id="rId13" Type="http://schemas.openxmlformats.org/officeDocument/2006/relationships/worksheet" Target="worksheets/sheet7.xml"/><Relationship Id="rId14" Type="http://schemas.openxmlformats.org/officeDocument/2006/relationships/worksheet" Target="worksheets/sheet8.xml"/><Relationship Id="rId15" Type="http://schemas.openxmlformats.org/officeDocument/2006/relationships/worksheet" Target="worksheets/sheet9.xml"/><Relationship Id="rId16" Type="http://schemas.openxmlformats.org/officeDocument/2006/relationships/worksheet" Target="worksheets/sheet10.xml"/><Relationship Id="rId17" Type="http://schemas.openxmlformats.org/officeDocument/2006/relationships/worksheet" Target="worksheets/sheet11.xml"/><Relationship Id="rId18" Type="http://schemas.openxmlformats.org/officeDocument/2006/relationships/worksheet" Target="worksheets/sheet12.xml"/><Relationship Id="rId19" Type="http://schemas.openxmlformats.org/officeDocument/2006/relationships/theme" Target="theme/theme1.xml"/><Relationship Id="rId1" Type="http://schemas.openxmlformats.org/officeDocument/2006/relationships/worksheet" Target="worksheets/sheet1.xml"/><Relationship Id="rId2" Type="http://schemas.openxmlformats.org/officeDocument/2006/relationships/chartsheet" Target="chartsheets/sheet1.xml"/><Relationship Id="rId3" Type="http://schemas.openxmlformats.org/officeDocument/2006/relationships/chartsheet" Target="chartsheets/sheet2.xml"/><Relationship Id="rId4" Type="http://schemas.openxmlformats.org/officeDocument/2006/relationships/chartsheet" Target="chartsheets/sheet3.xml"/><Relationship Id="rId5" Type="http://schemas.openxmlformats.org/officeDocument/2006/relationships/chartsheet" Target="chartsheets/sheet4.xml"/><Relationship Id="rId6" Type="http://schemas.openxmlformats.org/officeDocument/2006/relationships/chartsheet" Target="chartsheets/sheet5.xml"/><Relationship Id="rId7" Type="http://schemas.openxmlformats.org/officeDocument/2006/relationships/chartsheet" Target="chartsheets/sheet6.xml"/><Relationship Id="rId8"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chemeClr val="bg1"/>
                </a:solidFill>
                <a:latin typeface="Verdana"/>
                <a:ea typeface="Verdana"/>
                <a:cs typeface="Verdana"/>
              </a:defRPr>
            </a:pPr>
            <a:r>
              <a:rPr lang="en-US" sz="1200" b="1" i="0" strike="noStrike">
                <a:solidFill>
                  <a:schemeClr val="bg1"/>
                </a:solidFill>
                <a:latin typeface="Verdana"/>
                <a:ea typeface="Verdana"/>
                <a:cs typeface="Verdana"/>
              </a:rPr>
              <a:t>Low- or no-carbon worldwide </a:t>
            </a:r>
          </a:p>
          <a:p>
            <a:pPr>
              <a:defRPr sz="1000" b="0" i="0" u="none" strike="noStrike" baseline="0">
                <a:solidFill>
                  <a:schemeClr val="bg1"/>
                </a:solidFill>
                <a:latin typeface="Verdana"/>
                <a:ea typeface="Verdana"/>
                <a:cs typeface="Verdana"/>
              </a:defRPr>
            </a:pPr>
            <a:r>
              <a:rPr lang="en-US" sz="1200" b="1" i="0" strike="noStrike">
                <a:solidFill>
                  <a:schemeClr val="bg1"/>
                </a:solidFill>
                <a:latin typeface="Verdana"/>
                <a:ea typeface="Verdana"/>
                <a:cs typeface="Verdana"/>
              </a:rPr>
              <a:t>electrical output (except large hydro)</a:t>
            </a:r>
          </a:p>
        </c:rich>
      </c:tx>
      <c:layout>
        <c:manualLayout>
          <c:xMode val="edge"/>
          <c:yMode val="edge"/>
          <c:x val="0.207407416061123"/>
          <c:y val="0.0152505446623094"/>
        </c:manualLayout>
      </c:layout>
      <c:overlay val="0"/>
      <c:spPr>
        <a:noFill/>
        <a:ln w="25400">
          <a:noFill/>
        </a:ln>
      </c:spPr>
    </c:title>
    <c:autoTitleDeleted val="0"/>
    <c:plotArea>
      <c:layout>
        <c:manualLayout>
          <c:layoutTarget val="inner"/>
          <c:xMode val="edge"/>
          <c:yMode val="edge"/>
          <c:x val="0.0948148148148148"/>
          <c:y val="0.122004357298475"/>
          <c:w val="0.611851851851852"/>
          <c:h val="0.773420479302832"/>
        </c:manualLayout>
      </c:layout>
      <c:areaChart>
        <c:grouping val="stacked"/>
        <c:varyColors val="0"/>
        <c:ser>
          <c:idx val="0"/>
          <c:order val="0"/>
          <c:spPr>
            <a:solidFill>
              <a:srgbClr val="0000D4"/>
            </a:solidFill>
            <a:ln w="25400">
              <a:noFill/>
            </a:ln>
            <a:effectLst>
              <a:outerShdw dist="35921" dir="2700000" algn="br">
                <a:srgbClr val="000000"/>
              </a:outerShdw>
            </a:effectLst>
          </c:spPr>
          <c:cat>
            <c:numRef>
              <c:f>'Generation (TWh)'!$B$47:$B$59</c:f>
              <c:numCache>
                <c:formatCode>General</c:formatCode>
                <c:ptCount val="13"/>
              </c:numCache>
            </c:numRef>
          </c:cat>
          <c:val>
            <c:numRef>
              <c:f>'Generation (TWh)'!$D$47:$D$59</c:f>
              <c:numCache>
                <c:formatCode>0.000</c:formatCode>
                <c:ptCount val="13"/>
              </c:numCache>
            </c:numRef>
          </c:val>
        </c:ser>
        <c:ser>
          <c:idx val="1"/>
          <c:order val="1"/>
          <c:spPr>
            <a:solidFill>
              <a:srgbClr val="DD2D32"/>
            </a:solidFill>
            <a:ln w="25400">
              <a:noFill/>
            </a:ln>
            <a:effectLst>
              <a:outerShdw dist="35921" dir="2700000" algn="br">
                <a:srgbClr val="000000"/>
              </a:outerShdw>
            </a:effectLst>
          </c:spPr>
          <c:cat>
            <c:numRef>
              <c:f>'Generation (TWh)'!$B$47:$B$59</c:f>
              <c:numCache>
                <c:formatCode>General</c:formatCode>
                <c:ptCount val="13"/>
              </c:numCache>
            </c:numRef>
          </c:cat>
          <c:val>
            <c:numRef>
              <c:f>'Generation (TWh)'!$E$47:$E$59</c:f>
              <c:numCache>
                <c:formatCode>0.000</c:formatCode>
                <c:ptCount val="13"/>
              </c:numCache>
            </c:numRef>
          </c:val>
        </c:ser>
        <c:ser>
          <c:idx val="2"/>
          <c:order val="2"/>
          <c:spPr>
            <a:solidFill>
              <a:srgbClr val="99CC00"/>
            </a:solidFill>
            <a:ln w="25400">
              <a:noFill/>
            </a:ln>
            <a:effectLst>
              <a:outerShdw dist="35921" dir="2700000" algn="br">
                <a:srgbClr val="000000"/>
              </a:outerShdw>
            </a:effectLst>
          </c:spPr>
          <c:cat>
            <c:numRef>
              <c:f>'Generation (TWh)'!$B$47:$B$59</c:f>
              <c:numCache>
                <c:formatCode>General</c:formatCode>
                <c:ptCount val="13"/>
              </c:numCache>
            </c:numRef>
          </c:cat>
          <c:val>
            <c:numRef>
              <c:f>'Generation (TWh)'!$F$47:$F$59</c:f>
              <c:numCache>
                <c:formatCode>0.000</c:formatCode>
                <c:ptCount val="13"/>
              </c:numCache>
            </c:numRef>
          </c:val>
        </c:ser>
        <c:ser>
          <c:idx val="3"/>
          <c:order val="3"/>
          <c:spPr>
            <a:solidFill>
              <a:schemeClr val="bg1">
                <a:lumMod val="75000"/>
              </a:schemeClr>
            </a:solidFill>
            <a:ln w="25400">
              <a:noFill/>
            </a:ln>
            <a:effectLst>
              <a:outerShdw dist="35921" dir="2700000" algn="br">
                <a:srgbClr val="000000"/>
              </a:outerShdw>
            </a:effectLst>
          </c:spPr>
          <c:cat>
            <c:numRef>
              <c:f>'Generation (TWh)'!$B$47:$B$59</c:f>
              <c:numCache>
                <c:formatCode>General</c:formatCode>
                <c:ptCount val="13"/>
              </c:numCache>
            </c:numRef>
          </c:cat>
          <c:val>
            <c:numRef>
              <c:f>'Generation (TWh)'!$G$47:$G$59</c:f>
              <c:numCache>
                <c:formatCode>0.000</c:formatCode>
                <c:ptCount val="13"/>
              </c:numCache>
            </c:numRef>
          </c:val>
        </c:ser>
        <c:ser>
          <c:idx val="4"/>
          <c:order val="4"/>
          <c:spPr>
            <a:solidFill>
              <a:srgbClr val="6711FF"/>
            </a:solidFill>
            <a:ln w="25400">
              <a:noFill/>
            </a:ln>
            <a:effectLst>
              <a:outerShdw dist="35921" dir="2700000" algn="br">
                <a:srgbClr val="000000"/>
              </a:outerShdw>
            </a:effectLst>
          </c:spPr>
          <c:cat>
            <c:numRef>
              <c:f>'Generation (TWh)'!$B$47:$B$59</c:f>
              <c:numCache>
                <c:formatCode>General</c:formatCode>
                <c:ptCount val="13"/>
              </c:numCache>
            </c:numRef>
          </c:cat>
          <c:val>
            <c:numRef>
              <c:f>'Generation (TWh)'!$H$47:$H$59</c:f>
              <c:numCache>
                <c:formatCode>0.000</c:formatCode>
                <c:ptCount val="13"/>
              </c:numCache>
            </c:numRef>
          </c:val>
        </c:ser>
        <c:ser>
          <c:idx val="5"/>
          <c:order val="5"/>
          <c:spPr>
            <a:solidFill>
              <a:srgbClr val="FEA746"/>
            </a:solidFill>
            <a:ln w="25400">
              <a:noFill/>
            </a:ln>
            <a:effectLst>
              <a:outerShdw dist="35921" dir="2700000" algn="br">
                <a:srgbClr val="000000"/>
              </a:outerShdw>
            </a:effectLst>
          </c:spPr>
          <c:cat>
            <c:numRef>
              <c:f>'Generation (TWh)'!$B$47:$B$59</c:f>
              <c:numCache>
                <c:formatCode>General</c:formatCode>
                <c:ptCount val="13"/>
              </c:numCache>
            </c:numRef>
          </c:cat>
          <c:val>
            <c:numRef>
              <c:f>'Generation (TWh)'!$J$47:$J$59</c:f>
              <c:numCache>
                <c:formatCode>0.000</c:formatCode>
                <c:ptCount val="13"/>
              </c:numCache>
            </c:numRef>
          </c:val>
        </c:ser>
        <c:dLbls>
          <c:showLegendKey val="0"/>
          <c:showVal val="0"/>
          <c:showCatName val="0"/>
          <c:showSerName val="0"/>
          <c:showPercent val="0"/>
          <c:showBubbleSize val="0"/>
        </c:dLbls>
        <c:axId val="-2110246360"/>
        <c:axId val="-2123871560"/>
      </c:areaChart>
      <c:lineChart>
        <c:grouping val="standard"/>
        <c:varyColors val="0"/>
        <c:ser>
          <c:idx val="8"/>
          <c:order val="6"/>
          <c:spPr>
            <a:ln>
              <a:solidFill>
                <a:schemeClr val="bg1"/>
              </a:solidFill>
            </a:ln>
          </c:spPr>
          <c:marker>
            <c:spPr>
              <a:noFill/>
              <a:ln>
                <a:noFill/>
              </a:ln>
            </c:spPr>
          </c:marker>
          <c:val>
            <c:numRef>
              <c:f>'Generation (TWh)'!$C$47:$C$59</c:f>
              <c:numCache>
                <c:formatCode>0.000</c:formatCode>
                <c:ptCount val="13"/>
              </c:numCache>
            </c:numRef>
          </c:val>
          <c:smooth val="0"/>
        </c:ser>
        <c:ser>
          <c:idx val="6"/>
          <c:order val="7"/>
          <c:spPr>
            <a:ln>
              <a:solidFill>
                <a:schemeClr val="bg1"/>
              </a:solidFill>
              <a:prstDash val="sysDash"/>
            </a:ln>
          </c:spPr>
          <c:marker>
            <c:spPr>
              <a:noFill/>
              <a:ln>
                <a:noFill/>
              </a:ln>
            </c:spPr>
          </c:marker>
          <c:val>
            <c:numRef>
              <c:f>'Generation (TWh)'!$K$47:$K$59</c:f>
              <c:numCache>
                <c:formatCode>0.000</c:formatCode>
                <c:ptCount val="13"/>
              </c:numCache>
            </c:numRef>
          </c:val>
          <c:smooth val="0"/>
        </c:ser>
        <c:dLbls>
          <c:showLegendKey val="0"/>
          <c:showVal val="0"/>
          <c:showCatName val="0"/>
          <c:showSerName val="0"/>
          <c:showPercent val="0"/>
          <c:showBubbleSize val="0"/>
        </c:dLbls>
        <c:marker val="1"/>
        <c:smooth val="0"/>
        <c:axId val="-2110246360"/>
        <c:axId val="-2123871560"/>
      </c:lineChart>
      <c:catAx>
        <c:axId val="-2110246360"/>
        <c:scaling>
          <c:orientation val="minMax"/>
        </c:scaling>
        <c:delete val="0"/>
        <c:axPos val="b"/>
        <c:numFmt formatCode="General" sourceLinked="1"/>
        <c:majorTickMark val="out"/>
        <c:minorTickMark val="none"/>
        <c:tickLblPos val="nextTo"/>
        <c:spPr>
          <a:ln w="25400">
            <a:solidFill>
              <a:schemeClr val="bg1"/>
            </a:solidFill>
            <a:prstDash val="solid"/>
          </a:ln>
        </c:spPr>
        <c:txPr>
          <a:bodyPr rot="0" vert="horz"/>
          <a:lstStyle/>
          <a:p>
            <a:pPr>
              <a:defRPr sz="1000" b="1" i="0" u="none" strike="noStrike" baseline="0">
                <a:solidFill>
                  <a:schemeClr val="bg1"/>
                </a:solidFill>
                <a:latin typeface="Verdana"/>
                <a:ea typeface="Verdana"/>
                <a:cs typeface="Verdana"/>
              </a:defRPr>
            </a:pPr>
            <a:endParaRPr lang="en-US"/>
          </a:p>
        </c:txPr>
        <c:crossAx val="-2123871560"/>
        <c:crosses val="autoZero"/>
        <c:auto val="1"/>
        <c:lblAlgn val="ctr"/>
        <c:lblOffset val="100"/>
        <c:tickLblSkip val="1"/>
        <c:tickMarkSkip val="1"/>
        <c:noMultiLvlLbl val="0"/>
      </c:catAx>
      <c:valAx>
        <c:axId val="-2123871560"/>
        <c:scaling>
          <c:orientation val="minMax"/>
          <c:max val="5000.0"/>
          <c:min val="0.0"/>
        </c:scaling>
        <c:delete val="0"/>
        <c:axPos val="l"/>
        <c:numFmt formatCode="0" sourceLinked="0"/>
        <c:majorTickMark val="out"/>
        <c:minorTickMark val="none"/>
        <c:tickLblPos val="nextTo"/>
        <c:spPr>
          <a:ln w="25400">
            <a:solidFill>
              <a:schemeClr val="bg1"/>
            </a:solidFill>
            <a:prstDash val="solid"/>
          </a:ln>
        </c:spPr>
        <c:txPr>
          <a:bodyPr rot="0" vert="horz"/>
          <a:lstStyle/>
          <a:p>
            <a:pPr>
              <a:defRPr sz="1000" b="1" i="0" u="none" strike="noStrike" baseline="0">
                <a:solidFill>
                  <a:schemeClr val="bg1"/>
                </a:solidFill>
                <a:latin typeface="Verdana"/>
                <a:ea typeface="Verdana"/>
                <a:cs typeface="Verdana"/>
              </a:defRPr>
            </a:pPr>
            <a:endParaRPr lang="en-US"/>
          </a:p>
        </c:txPr>
        <c:crossAx val="-2110246360"/>
        <c:crosses val="autoZero"/>
        <c:crossBetween val="midCat"/>
        <c:majorUnit val="1000.0"/>
      </c:valAx>
      <c:spPr>
        <a:noFill/>
        <a:ln w="25400">
          <a:solidFill>
            <a:schemeClr val="bg1"/>
          </a:solidFill>
          <a:prstDash val="solid"/>
        </a:ln>
      </c:spPr>
    </c:plotArea>
    <c:plotVisOnly val="0"/>
    <c:dispBlanksAs val="zero"/>
    <c:showDLblsOverMax val="0"/>
  </c:chart>
  <c:spPr>
    <a:solidFill>
      <a:schemeClr val="tx1"/>
    </a:solidFill>
    <a:ln w="9525">
      <a:noFill/>
    </a:ln>
  </c:spPr>
  <c:txPr>
    <a:bodyPr/>
    <a:lstStyle/>
    <a:p>
      <a:pPr>
        <a:defRPr sz="1000" b="0" i="0" u="none" strike="noStrike" baseline="0">
          <a:solidFill>
            <a:srgbClr val="000000"/>
          </a:solidFill>
          <a:latin typeface="Verdana"/>
          <a:ea typeface="Verdana"/>
          <a:cs typeface="Verdana"/>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chemeClr val="tx1"/>
                </a:solidFill>
                <a:latin typeface="Verdana"/>
                <a:ea typeface="Verdana"/>
                <a:cs typeface="Verdana"/>
              </a:defRPr>
            </a:pPr>
            <a:r>
              <a:rPr lang="en-US" sz="1200" b="1" i="0" strike="noStrike">
                <a:solidFill>
                  <a:schemeClr val="tx1"/>
                </a:solidFill>
                <a:latin typeface="Verdana"/>
                <a:ea typeface="Verdana"/>
                <a:cs typeface="Verdana"/>
              </a:rPr>
              <a:t>Low- or no-carbon worldwide </a:t>
            </a:r>
          </a:p>
          <a:p>
            <a:pPr>
              <a:defRPr sz="1000" b="0" i="0" u="none" strike="noStrike" baseline="0">
                <a:solidFill>
                  <a:schemeClr val="tx1"/>
                </a:solidFill>
                <a:latin typeface="Verdana"/>
                <a:ea typeface="Verdana"/>
                <a:cs typeface="Verdana"/>
              </a:defRPr>
            </a:pPr>
            <a:r>
              <a:rPr lang="en-US" sz="1200" b="1" i="0" strike="noStrike">
                <a:solidFill>
                  <a:schemeClr val="tx1"/>
                </a:solidFill>
                <a:latin typeface="Verdana"/>
                <a:ea typeface="Verdana"/>
                <a:cs typeface="Verdana"/>
              </a:rPr>
              <a:t>electrical output (except large hydro)</a:t>
            </a:r>
          </a:p>
        </c:rich>
      </c:tx>
      <c:layout>
        <c:manualLayout>
          <c:xMode val="edge"/>
          <c:yMode val="edge"/>
          <c:x val="0.207407416061123"/>
          <c:y val="0.0152505446623094"/>
        </c:manualLayout>
      </c:layout>
      <c:overlay val="0"/>
      <c:spPr>
        <a:noFill/>
        <a:ln w="25400">
          <a:noFill/>
        </a:ln>
      </c:spPr>
    </c:title>
    <c:autoTitleDeleted val="0"/>
    <c:plotArea>
      <c:layout>
        <c:manualLayout>
          <c:layoutTarget val="inner"/>
          <c:xMode val="edge"/>
          <c:yMode val="edge"/>
          <c:x val="0.0948148148148148"/>
          <c:y val="0.122004357298475"/>
          <c:w val="0.611851851851852"/>
          <c:h val="0.773420479302832"/>
        </c:manualLayout>
      </c:layout>
      <c:areaChart>
        <c:grouping val="stacked"/>
        <c:varyColors val="0"/>
        <c:ser>
          <c:idx val="0"/>
          <c:order val="0"/>
          <c:spPr>
            <a:solidFill>
              <a:srgbClr val="0000D4"/>
            </a:solidFill>
            <a:ln w="25400">
              <a:noFill/>
            </a:ln>
            <a:effectLst>
              <a:outerShdw dist="35921" dir="2700000" algn="br">
                <a:srgbClr val="000000"/>
              </a:outerShdw>
            </a:effectLst>
          </c:spPr>
          <c:cat>
            <c:numRef>
              <c:f>'Generation (TWh)'!$B$47:$B$59</c:f>
              <c:numCache>
                <c:formatCode>General</c:formatCode>
                <c:ptCount val="13"/>
              </c:numCache>
            </c:numRef>
          </c:cat>
          <c:val>
            <c:numRef>
              <c:f>'Generation (TWh)'!$D$47:$D$59</c:f>
              <c:numCache>
                <c:formatCode>0.000</c:formatCode>
                <c:ptCount val="13"/>
              </c:numCache>
            </c:numRef>
          </c:val>
        </c:ser>
        <c:ser>
          <c:idx val="1"/>
          <c:order val="1"/>
          <c:spPr>
            <a:solidFill>
              <a:srgbClr val="DD2D32"/>
            </a:solidFill>
            <a:ln w="25400">
              <a:noFill/>
            </a:ln>
            <a:effectLst>
              <a:outerShdw dist="35921" dir="2700000" algn="br">
                <a:srgbClr val="000000"/>
              </a:outerShdw>
            </a:effectLst>
          </c:spPr>
          <c:cat>
            <c:numRef>
              <c:f>'Generation (TWh)'!$B$47:$B$59</c:f>
              <c:numCache>
                <c:formatCode>General</c:formatCode>
                <c:ptCount val="13"/>
              </c:numCache>
            </c:numRef>
          </c:cat>
          <c:val>
            <c:numRef>
              <c:f>'Generation (TWh)'!$E$47:$E$59</c:f>
              <c:numCache>
                <c:formatCode>0.000</c:formatCode>
                <c:ptCount val="13"/>
              </c:numCache>
            </c:numRef>
          </c:val>
        </c:ser>
        <c:ser>
          <c:idx val="2"/>
          <c:order val="2"/>
          <c:spPr>
            <a:solidFill>
              <a:srgbClr val="99CC00"/>
            </a:solidFill>
            <a:ln w="25400">
              <a:noFill/>
            </a:ln>
            <a:effectLst>
              <a:outerShdw dist="35921" dir="2700000" algn="br">
                <a:srgbClr val="000000"/>
              </a:outerShdw>
            </a:effectLst>
          </c:spPr>
          <c:cat>
            <c:numRef>
              <c:f>'Generation (TWh)'!$B$47:$B$59</c:f>
              <c:numCache>
                <c:formatCode>General</c:formatCode>
                <c:ptCount val="13"/>
              </c:numCache>
            </c:numRef>
          </c:cat>
          <c:val>
            <c:numRef>
              <c:f>'Generation (TWh)'!$F$47:$F$59</c:f>
              <c:numCache>
                <c:formatCode>0.000</c:formatCode>
                <c:ptCount val="13"/>
              </c:numCache>
            </c:numRef>
          </c:val>
        </c:ser>
        <c:ser>
          <c:idx val="3"/>
          <c:order val="3"/>
          <c:spPr>
            <a:solidFill>
              <a:schemeClr val="bg1">
                <a:lumMod val="75000"/>
              </a:schemeClr>
            </a:solidFill>
            <a:ln w="25400">
              <a:noFill/>
            </a:ln>
            <a:effectLst>
              <a:outerShdw dist="35921" dir="2700000" algn="br">
                <a:srgbClr val="000000"/>
              </a:outerShdw>
            </a:effectLst>
          </c:spPr>
          <c:cat>
            <c:numRef>
              <c:f>'Generation (TWh)'!$B$47:$B$59</c:f>
              <c:numCache>
                <c:formatCode>General</c:formatCode>
                <c:ptCount val="13"/>
              </c:numCache>
            </c:numRef>
          </c:cat>
          <c:val>
            <c:numRef>
              <c:f>'Generation (TWh)'!$G$47:$G$59</c:f>
              <c:numCache>
                <c:formatCode>0.000</c:formatCode>
                <c:ptCount val="13"/>
              </c:numCache>
            </c:numRef>
          </c:val>
        </c:ser>
        <c:ser>
          <c:idx val="4"/>
          <c:order val="4"/>
          <c:spPr>
            <a:solidFill>
              <a:srgbClr val="6711FF"/>
            </a:solidFill>
            <a:ln w="25400">
              <a:noFill/>
            </a:ln>
            <a:effectLst>
              <a:outerShdw dist="35921" dir="2700000" algn="br">
                <a:srgbClr val="000000"/>
              </a:outerShdw>
            </a:effectLst>
          </c:spPr>
          <c:cat>
            <c:numRef>
              <c:f>'Generation (TWh)'!$B$47:$B$59</c:f>
              <c:numCache>
                <c:formatCode>General</c:formatCode>
                <c:ptCount val="13"/>
              </c:numCache>
            </c:numRef>
          </c:cat>
          <c:val>
            <c:numRef>
              <c:f>'Generation (TWh)'!$H$47:$H$59</c:f>
              <c:numCache>
                <c:formatCode>0.000</c:formatCode>
                <c:ptCount val="13"/>
              </c:numCache>
            </c:numRef>
          </c:val>
        </c:ser>
        <c:ser>
          <c:idx val="5"/>
          <c:order val="5"/>
          <c:spPr>
            <a:solidFill>
              <a:srgbClr val="FEA746"/>
            </a:solidFill>
            <a:ln w="25400">
              <a:noFill/>
            </a:ln>
            <a:effectLst>
              <a:outerShdw dist="35921" dir="2700000" algn="br">
                <a:srgbClr val="000000"/>
              </a:outerShdw>
            </a:effectLst>
          </c:spPr>
          <c:cat>
            <c:numRef>
              <c:f>'Generation (TWh)'!$B$47:$B$59</c:f>
              <c:numCache>
                <c:formatCode>General</c:formatCode>
                <c:ptCount val="13"/>
              </c:numCache>
            </c:numRef>
          </c:cat>
          <c:val>
            <c:numRef>
              <c:f>'Generation (TWh)'!$J$47:$J$59</c:f>
              <c:numCache>
                <c:formatCode>0.000</c:formatCode>
                <c:ptCount val="13"/>
              </c:numCache>
            </c:numRef>
          </c:val>
        </c:ser>
        <c:dLbls>
          <c:showLegendKey val="0"/>
          <c:showVal val="0"/>
          <c:showCatName val="0"/>
          <c:showSerName val="0"/>
          <c:showPercent val="0"/>
          <c:showBubbleSize val="0"/>
        </c:dLbls>
        <c:axId val="2137459832"/>
        <c:axId val="2120450024"/>
      </c:areaChart>
      <c:lineChart>
        <c:grouping val="standard"/>
        <c:varyColors val="0"/>
        <c:ser>
          <c:idx val="8"/>
          <c:order val="6"/>
          <c:spPr>
            <a:ln>
              <a:solidFill>
                <a:schemeClr val="tx1"/>
              </a:solidFill>
            </a:ln>
          </c:spPr>
          <c:marker>
            <c:spPr>
              <a:noFill/>
              <a:ln>
                <a:noFill/>
              </a:ln>
            </c:spPr>
          </c:marker>
          <c:val>
            <c:numRef>
              <c:f>'Generation (TWh)'!$C$47:$C$59</c:f>
              <c:numCache>
                <c:formatCode>0.000</c:formatCode>
                <c:ptCount val="13"/>
              </c:numCache>
            </c:numRef>
          </c:val>
          <c:smooth val="0"/>
        </c:ser>
        <c:ser>
          <c:idx val="6"/>
          <c:order val="7"/>
          <c:spPr>
            <a:ln>
              <a:solidFill>
                <a:schemeClr val="tx1"/>
              </a:solidFill>
              <a:prstDash val="sysDash"/>
            </a:ln>
          </c:spPr>
          <c:marker>
            <c:spPr>
              <a:noFill/>
              <a:ln>
                <a:noFill/>
              </a:ln>
            </c:spPr>
          </c:marker>
          <c:val>
            <c:numRef>
              <c:f>'Generation (TWh)'!$K$47:$K$59</c:f>
              <c:numCache>
                <c:formatCode>0.000</c:formatCode>
                <c:ptCount val="13"/>
              </c:numCache>
            </c:numRef>
          </c:val>
          <c:smooth val="0"/>
        </c:ser>
        <c:dLbls>
          <c:showLegendKey val="0"/>
          <c:showVal val="0"/>
          <c:showCatName val="0"/>
          <c:showSerName val="0"/>
          <c:showPercent val="0"/>
          <c:showBubbleSize val="0"/>
        </c:dLbls>
        <c:marker val="1"/>
        <c:smooth val="0"/>
        <c:axId val="2137459832"/>
        <c:axId val="2120450024"/>
      </c:lineChart>
      <c:catAx>
        <c:axId val="2137459832"/>
        <c:scaling>
          <c:orientation val="minMax"/>
        </c:scaling>
        <c:delete val="0"/>
        <c:axPos val="b"/>
        <c:numFmt formatCode="General" sourceLinked="1"/>
        <c:majorTickMark val="out"/>
        <c:minorTickMark val="none"/>
        <c:tickLblPos val="nextTo"/>
        <c:spPr>
          <a:ln w="25400">
            <a:solidFill>
              <a:schemeClr val="tx1"/>
            </a:solidFill>
            <a:prstDash val="solid"/>
          </a:ln>
        </c:spPr>
        <c:txPr>
          <a:bodyPr rot="0" vert="horz"/>
          <a:lstStyle/>
          <a:p>
            <a:pPr>
              <a:defRPr sz="1000" b="1" i="0" u="none" strike="noStrike" baseline="0">
                <a:solidFill>
                  <a:schemeClr val="tx1"/>
                </a:solidFill>
                <a:latin typeface="Verdana"/>
                <a:ea typeface="Verdana"/>
                <a:cs typeface="Verdana"/>
              </a:defRPr>
            </a:pPr>
            <a:endParaRPr lang="en-US"/>
          </a:p>
        </c:txPr>
        <c:crossAx val="2120450024"/>
        <c:crosses val="autoZero"/>
        <c:auto val="1"/>
        <c:lblAlgn val="ctr"/>
        <c:lblOffset val="100"/>
        <c:tickLblSkip val="1"/>
        <c:tickMarkSkip val="1"/>
        <c:noMultiLvlLbl val="0"/>
      </c:catAx>
      <c:valAx>
        <c:axId val="2120450024"/>
        <c:scaling>
          <c:orientation val="minMax"/>
          <c:max val="5000.0"/>
          <c:min val="0.0"/>
        </c:scaling>
        <c:delete val="0"/>
        <c:axPos val="l"/>
        <c:numFmt formatCode="0" sourceLinked="0"/>
        <c:majorTickMark val="out"/>
        <c:minorTickMark val="none"/>
        <c:tickLblPos val="nextTo"/>
        <c:spPr>
          <a:ln w="25400">
            <a:solidFill>
              <a:schemeClr val="tx1"/>
            </a:solidFill>
            <a:prstDash val="solid"/>
          </a:ln>
        </c:spPr>
        <c:txPr>
          <a:bodyPr rot="0" vert="horz"/>
          <a:lstStyle/>
          <a:p>
            <a:pPr>
              <a:defRPr sz="1000" b="1" i="0" u="none" strike="noStrike" baseline="0">
                <a:solidFill>
                  <a:schemeClr val="tx1"/>
                </a:solidFill>
                <a:latin typeface="Verdana"/>
                <a:ea typeface="Verdana"/>
                <a:cs typeface="Verdana"/>
              </a:defRPr>
            </a:pPr>
            <a:endParaRPr lang="en-US"/>
          </a:p>
        </c:txPr>
        <c:crossAx val="2137459832"/>
        <c:crosses val="autoZero"/>
        <c:crossBetween val="midCat"/>
        <c:majorUnit val="1000.0"/>
      </c:valAx>
      <c:spPr>
        <a:noFill/>
        <a:ln w="25400">
          <a:solidFill>
            <a:schemeClr val="tx1"/>
          </a:solidFill>
          <a:prstDash val="solid"/>
        </a:ln>
      </c:spPr>
    </c:plotArea>
    <c:plotVisOnly val="0"/>
    <c:dispBlanksAs val="zero"/>
    <c:showDLblsOverMax val="0"/>
  </c:chart>
  <c:spPr>
    <a:noFill/>
    <a:ln w="9525">
      <a:noFill/>
    </a:ln>
  </c:spPr>
  <c:txPr>
    <a:bodyPr/>
    <a:lstStyle/>
    <a:p>
      <a:pPr>
        <a:defRPr sz="1000" b="0" i="0" u="none" strike="noStrike" baseline="0">
          <a:solidFill>
            <a:srgbClr val="000000"/>
          </a:solidFill>
          <a:latin typeface="Verdana"/>
          <a:ea typeface="Verdana"/>
          <a:cs typeface="Verdana"/>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chemeClr val="bg1"/>
                </a:solidFill>
                <a:latin typeface="Verdana"/>
                <a:ea typeface="Verdana"/>
                <a:cs typeface="Verdana"/>
              </a:defRPr>
            </a:pPr>
            <a:r>
              <a:rPr lang="en-US" sz="1200" b="1" i="0" strike="noStrike">
                <a:solidFill>
                  <a:schemeClr val="bg1"/>
                </a:solidFill>
                <a:latin typeface="Verdana"/>
                <a:ea typeface="Verdana"/>
                <a:cs typeface="Verdana"/>
              </a:rPr>
              <a:t>Low- or no-carbon worldwide installed electrical </a:t>
            </a:r>
          </a:p>
          <a:p>
            <a:pPr>
              <a:defRPr sz="1000" b="0" i="0" u="none" strike="noStrike" baseline="0">
                <a:solidFill>
                  <a:schemeClr val="bg1"/>
                </a:solidFill>
                <a:latin typeface="Verdana"/>
                <a:ea typeface="Verdana"/>
                <a:cs typeface="Verdana"/>
              </a:defRPr>
            </a:pPr>
            <a:r>
              <a:rPr lang="en-US" sz="1200" b="1" i="0" strike="noStrike">
                <a:solidFill>
                  <a:schemeClr val="bg1"/>
                </a:solidFill>
                <a:latin typeface="Verdana"/>
                <a:ea typeface="Verdana"/>
                <a:cs typeface="Verdana"/>
              </a:rPr>
              <a:t>generating capacity (except large hydro)</a:t>
            </a:r>
          </a:p>
        </c:rich>
      </c:tx>
      <c:layout>
        <c:manualLayout>
          <c:xMode val="edge"/>
          <c:yMode val="edge"/>
          <c:x val="0.145185167877754"/>
          <c:y val="0.0130718954248366"/>
        </c:manualLayout>
      </c:layout>
      <c:overlay val="0"/>
      <c:spPr>
        <a:noFill/>
        <a:ln w="25400">
          <a:noFill/>
        </a:ln>
      </c:spPr>
    </c:title>
    <c:autoTitleDeleted val="0"/>
    <c:plotArea>
      <c:layout>
        <c:manualLayout>
          <c:layoutTarget val="inner"/>
          <c:xMode val="edge"/>
          <c:yMode val="edge"/>
          <c:x val="0.0711111111111111"/>
          <c:y val="0.111111111111111"/>
          <c:w val="0.622222222222222"/>
          <c:h val="0.773420479302832"/>
        </c:manualLayout>
      </c:layout>
      <c:areaChart>
        <c:grouping val="stacked"/>
        <c:varyColors val="0"/>
        <c:ser>
          <c:idx val="0"/>
          <c:order val="0"/>
          <c:spPr>
            <a:solidFill>
              <a:srgbClr val="0000D4"/>
            </a:solidFill>
            <a:ln w="25400">
              <a:noFill/>
            </a:ln>
            <a:effectLst>
              <a:outerShdw dist="35921" dir="2700000" algn="br">
                <a:srgbClr val="000000"/>
              </a:outerShdw>
            </a:effectLst>
          </c:spPr>
          <c:cat>
            <c:numRef>
              <c:f>'Capacity (GW)'!$B$18:$B$31</c:f>
              <c:numCache>
                <c:formatCode>General</c:formatCode>
                <c:ptCount val="14"/>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numCache>
            </c:numRef>
          </c:cat>
          <c:val>
            <c:numRef>
              <c:f>'Capacity (GW)'!$D$18:$D$31</c:f>
              <c:numCache>
                <c:formatCode>_(* #,##0.00_);_(* \(#,##0.00\);_(* "-"??_);_(@_)</c:formatCode>
                <c:ptCount val="14"/>
                <c:pt idx="0">
                  <c:v>17.4</c:v>
                </c:pt>
                <c:pt idx="1">
                  <c:v>23.9</c:v>
                </c:pt>
                <c:pt idx="2">
                  <c:v>31.1</c:v>
                </c:pt>
                <c:pt idx="3">
                  <c:v>39.431</c:v>
                </c:pt>
                <c:pt idx="4">
                  <c:v>47.62</c:v>
                </c:pt>
                <c:pt idx="5">
                  <c:v>59.091</c:v>
                </c:pt>
                <c:pt idx="6">
                  <c:v>74.006</c:v>
                </c:pt>
                <c:pt idx="7">
                  <c:v>93.639</c:v>
                </c:pt>
                <c:pt idx="8">
                  <c:v>120.267</c:v>
                </c:pt>
                <c:pt idx="9">
                  <c:v>158.864</c:v>
                </c:pt>
                <c:pt idx="10">
                  <c:v>197.686</c:v>
                </c:pt>
                <c:pt idx="11">
                  <c:v>238.035</c:v>
                </c:pt>
                <c:pt idx="12">
                  <c:v>282.43</c:v>
                </c:pt>
                <c:pt idx="13">
                  <c:v>318.105</c:v>
                </c:pt>
              </c:numCache>
            </c:numRef>
          </c:val>
        </c:ser>
        <c:ser>
          <c:idx val="1"/>
          <c:order val="1"/>
          <c:spPr>
            <a:solidFill>
              <a:srgbClr val="DD2D32"/>
            </a:solidFill>
            <a:ln w="25400">
              <a:noFill/>
            </a:ln>
            <a:effectLst>
              <a:outerShdw dist="35921" dir="2700000" algn="br">
                <a:srgbClr val="000000"/>
              </a:outerShdw>
            </a:effectLst>
          </c:spPr>
          <c:cat>
            <c:numRef>
              <c:f>'Capacity (GW)'!$B$18:$B$31</c:f>
              <c:numCache>
                <c:formatCode>General</c:formatCode>
                <c:ptCount val="14"/>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numCache>
            </c:numRef>
          </c:cat>
          <c:val>
            <c:numRef>
              <c:f>'Capacity (TW)'!#REF!</c:f>
              <c:numCache>
                <c:formatCode>General</c:formatCode>
                <c:ptCount val="1"/>
                <c:pt idx="0">
                  <c:v>1.0</c:v>
                </c:pt>
              </c:numCache>
            </c:numRef>
          </c:val>
        </c:ser>
        <c:ser>
          <c:idx val="2"/>
          <c:order val="2"/>
          <c:spPr>
            <a:solidFill>
              <a:srgbClr val="99CC00"/>
            </a:solidFill>
            <a:ln w="25400">
              <a:noFill/>
            </a:ln>
            <a:effectLst>
              <a:outerShdw dist="35921" dir="2700000" algn="br">
                <a:srgbClr val="000000"/>
              </a:outerShdw>
            </a:effectLst>
          </c:spPr>
          <c:cat>
            <c:numRef>
              <c:f>'Capacity (GW)'!$B$18:$B$31</c:f>
              <c:numCache>
                <c:formatCode>General</c:formatCode>
                <c:ptCount val="14"/>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numCache>
            </c:numRef>
          </c:cat>
          <c:val>
            <c:numRef>
              <c:f>'Capacity (TW)'!#REF!</c:f>
              <c:numCache>
                <c:formatCode>General</c:formatCode>
                <c:ptCount val="1"/>
                <c:pt idx="0">
                  <c:v>1.0</c:v>
                </c:pt>
              </c:numCache>
            </c:numRef>
          </c:val>
        </c:ser>
        <c:ser>
          <c:idx val="3"/>
          <c:order val="3"/>
          <c:spPr>
            <a:solidFill>
              <a:schemeClr val="bg1">
                <a:lumMod val="75000"/>
              </a:schemeClr>
            </a:solidFill>
            <a:ln w="25400">
              <a:noFill/>
            </a:ln>
            <a:effectLst>
              <a:outerShdw dist="35921" dir="2700000" algn="br">
                <a:srgbClr val="000000"/>
              </a:outerShdw>
            </a:effectLst>
          </c:spPr>
          <c:cat>
            <c:numRef>
              <c:f>'Capacity (GW)'!$B$18:$B$31</c:f>
              <c:numCache>
                <c:formatCode>General</c:formatCode>
                <c:ptCount val="14"/>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numCache>
            </c:numRef>
          </c:cat>
          <c:val>
            <c:numRef>
              <c:f>'Capacity (TW)'!#REF!</c:f>
              <c:numCache>
                <c:formatCode>General</c:formatCode>
                <c:ptCount val="1"/>
                <c:pt idx="0">
                  <c:v>1.0</c:v>
                </c:pt>
              </c:numCache>
            </c:numRef>
          </c:val>
        </c:ser>
        <c:ser>
          <c:idx val="4"/>
          <c:order val="4"/>
          <c:spPr>
            <a:solidFill>
              <a:srgbClr val="6711FF"/>
            </a:solidFill>
            <a:ln w="25400">
              <a:noFill/>
            </a:ln>
            <a:effectLst>
              <a:outerShdw dist="35921" dir="2700000" algn="br">
                <a:srgbClr val="000000"/>
              </a:outerShdw>
            </a:effectLst>
          </c:spPr>
          <c:cat>
            <c:numRef>
              <c:f>'Capacity (GW)'!$B$18:$B$31</c:f>
              <c:numCache>
                <c:formatCode>General</c:formatCode>
                <c:ptCount val="14"/>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numCache>
            </c:numRef>
          </c:cat>
          <c:val>
            <c:numRef>
              <c:f>'Capacity (TW)'!#REF!</c:f>
              <c:numCache>
                <c:formatCode>General</c:formatCode>
                <c:ptCount val="1"/>
                <c:pt idx="0">
                  <c:v>1.0</c:v>
                </c:pt>
              </c:numCache>
            </c:numRef>
          </c:val>
        </c:ser>
        <c:ser>
          <c:idx val="5"/>
          <c:order val="5"/>
          <c:spPr>
            <a:solidFill>
              <a:srgbClr val="FEA746"/>
            </a:solidFill>
            <a:ln w="25400">
              <a:noFill/>
            </a:ln>
            <a:effectLst>
              <a:outerShdw dist="35921" dir="2700000" algn="br">
                <a:srgbClr val="000000"/>
              </a:outerShdw>
            </a:effectLst>
          </c:spPr>
          <c:cat>
            <c:numRef>
              <c:f>'Capacity (GW)'!$B$18:$B$31</c:f>
              <c:numCache>
                <c:formatCode>General</c:formatCode>
                <c:ptCount val="14"/>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numCache>
            </c:numRef>
          </c:cat>
          <c:val>
            <c:numRef>
              <c:f>'Capacity (TW)'!#REF!</c:f>
              <c:numCache>
                <c:formatCode>General</c:formatCode>
                <c:ptCount val="1"/>
                <c:pt idx="0">
                  <c:v>1.0</c:v>
                </c:pt>
              </c:numCache>
            </c:numRef>
          </c:val>
        </c:ser>
        <c:dLbls>
          <c:showLegendKey val="0"/>
          <c:showVal val="0"/>
          <c:showCatName val="0"/>
          <c:showSerName val="0"/>
          <c:showPercent val="0"/>
          <c:showBubbleSize val="0"/>
        </c:dLbls>
        <c:axId val="-2110723208"/>
        <c:axId val="-2126926056"/>
      </c:areaChart>
      <c:lineChart>
        <c:grouping val="standard"/>
        <c:varyColors val="0"/>
        <c:ser>
          <c:idx val="6"/>
          <c:order val="6"/>
          <c:spPr>
            <a:ln>
              <a:solidFill>
                <a:schemeClr val="bg1"/>
              </a:solidFill>
            </a:ln>
          </c:spPr>
          <c:marker>
            <c:spPr>
              <a:ln>
                <a:noFill/>
              </a:ln>
            </c:spPr>
          </c:marker>
          <c:cat>
            <c:multiLvlStrRef>
              <c:f>'Capacity (TW)'!#REF!</c:f>
            </c:multiLvlStrRef>
          </c:cat>
          <c:val>
            <c:numRef>
              <c:f>'Capacity (TW)'!#REF!</c:f>
              <c:numCache>
                <c:formatCode>General</c:formatCode>
                <c:ptCount val="1"/>
                <c:pt idx="0">
                  <c:v>1.0</c:v>
                </c:pt>
              </c:numCache>
            </c:numRef>
          </c:val>
          <c:smooth val="0"/>
        </c:ser>
        <c:ser>
          <c:idx val="7"/>
          <c:order val="7"/>
          <c:spPr>
            <a:ln>
              <a:solidFill>
                <a:schemeClr val="bg1"/>
              </a:solidFill>
              <a:prstDash val="sysDash"/>
            </a:ln>
          </c:spPr>
          <c:marker>
            <c:symbol val="none"/>
          </c:marker>
          <c:val>
            <c:numRef>
              <c:f>'Capacity (TW)'!#REF!</c:f>
              <c:numCache>
                <c:formatCode>General</c:formatCode>
                <c:ptCount val="1"/>
                <c:pt idx="0">
                  <c:v>1.0</c:v>
                </c:pt>
              </c:numCache>
            </c:numRef>
          </c:val>
          <c:smooth val="0"/>
        </c:ser>
        <c:dLbls>
          <c:showLegendKey val="0"/>
          <c:showVal val="0"/>
          <c:showCatName val="0"/>
          <c:showSerName val="0"/>
          <c:showPercent val="0"/>
          <c:showBubbleSize val="0"/>
        </c:dLbls>
        <c:marker val="1"/>
        <c:smooth val="0"/>
        <c:axId val="-2110723208"/>
        <c:axId val="-2126926056"/>
      </c:lineChart>
      <c:catAx>
        <c:axId val="-2110723208"/>
        <c:scaling>
          <c:orientation val="minMax"/>
        </c:scaling>
        <c:delete val="0"/>
        <c:axPos val="b"/>
        <c:numFmt formatCode="General" sourceLinked="1"/>
        <c:majorTickMark val="out"/>
        <c:minorTickMark val="none"/>
        <c:tickLblPos val="nextTo"/>
        <c:spPr>
          <a:noFill/>
          <a:ln w="25400">
            <a:solidFill>
              <a:schemeClr val="bg1"/>
            </a:solidFill>
            <a:prstDash val="solid"/>
          </a:ln>
        </c:spPr>
        <c:txPr>
          <a:bodyPr rot="0" vert="horz"/>
          <a:lstStyle/>
          <a:p>
            <a:pPr>
              <a:defRPr sz="1000" b="1" i="0" u="none" strike="noStrike" baseline="0">
                <a:solidFill>
                  <a:schemeClr val="bg1"/>
                </a:solidFill>
                <a:latin typeface="Verdana"/>
                <a:ea typeface="Verdana"/>
                <a:cs typeface="Verdana"/>
              </a:defRPr>
            </a:pPr>
            <a:endParaRPr lang="en-US"/>
          </a:p>
        </c:txPr>
        <c:crossAx val="-2126926056"/>
        <c:crosses val="autoZero"/>
        <c:auto val="1"/>
        <c:lblAlgn val="ctr"/>
        <c:lblOffset val="100"/>
        <c:tickLblSkip val="1"/>
        <c:tickMarkSkip val="1"/>
        <c:noMultiLvlLbl val="0"/>
      </c:catAx>
      <c:valAx>
        <c:axId val="-2126926056"/>
        <c:scaling>
          <c:orientation val="minMax"/>
          <c:max val="1000.0"/>
          <c:min val="0.0"/>
        </c:scaling>
        <c:delete val="0"/>
        <c:axPos val="l"/>
        <c:numFmt formatCode="0" sourceLinked="0"/>
        <c:majorTickMark val="out"/>
        <c:minorTickMark val="none"/>
        <c:tickLblPos val="nextTo"/>
        <c:spPr>
          <a:ln w="25400">
            <a:solidFill>
              <a:schemeClr val="bg1"/>
            </a:solidFill>
            <a:prstDash val="solid"/>
          </a:ln>
        </c:spPr>
        <c:txPr>
          <a:bodyPr rot="0" vert="horz"/>
          <a:lstStyle/>
          <a:p>
            <a:pPr>
              <a:defRPr sz="1000" b="1" i="0" u="none" strike="noStrike" baseline="0">
                <a:solidFill>
                  <a:schemeClr val="bg1"/>
                </a:solidFill>
                <a:latin typeface="Verdana"/>
                <a:ea typeface="Verdana"/>
                <a:cs typeface="Verdana"/>
              </a:defRPr>
            </a:pPr>
            <a:endParaRPr lang="en-US"/>
          </a:p>
        </c:txPr>
        <c:crossAx val="-2110723208"/>
        <c:crosses val="autoZero"/>
        <c:crossBetween val="midCat"/>
        <c:majorUnit val="200.0"/>
      </c:valAx>
      <c:spPr>
        <a:noFill/>
        <a:ln w="25400">
          <a:solidFill>
            <a:schemeClr val="bg1"/>
          </a:solidFill>
          <a:prstDash val="solid"/>
        </a:ln>
      </c:spPr>
    </c:plotArea>
    <c:plotVisOnly val="0"/>
    <c:dispBlanksAs val="zero"/>
    <c:showDLblsOverMax val="0"/>
  </c:chart>
  <c:spPr>
    <a:solidFill>
      <a:schemeClr val="tx1"/>
    </a:solidFill>
    <a:ln w="9525">
      <a:noFill/>
    </a:ln>
  </c:spPr>
  <c:txPr>
    <a:bodyPr/>
    <a:lstStyle/>
    <a:p>
      <a:pPr>
        <a:defRPr sz="1000" b="0" i="0" u="none" strike="noStrike" baseline="0">
          <a:solidFill>
            <a:srgbClr val="000000"/>
          </a:solidFill>
          <a:latin typeface="Verdana"/>
          <a:ea typeface="Verdana"/>
          <a:cs typeface="Verdana"/>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Verdana"/>
                <a:ea typeface="Verdana"/>
                <a:cs typeface="Verdana"/>
              </a:defRPr>
            </a:pPr>
            <a:r>
              <a:rPr lang="en-US" sz="1200" b="1" i="0" strike="noStrike">
                <a:solidFill>
                  <a:srgbClr val="000000"/>
                </a:solidFill>
                <a:latin typeface="Verdana"/>
                <a:ea typeface="Verdana"/>
                <a:cs typeface="Verdana"/>
              </a:rPr>
              <a:t>Low- or no-carbon worldwide installed electrical </a:t>
            </a:r>
          </a:p>
          <a:p>
            <a:pPr>
              <a:defRPr sz="1000" b="0" i="0" u="none" strike="noStrike" baseline="0">
                <a:solidFill>
                  <a:srgbClr val="000000"/>
                </a:solidFill>
                <a:latin typeface="Verdana"/>
                <a:ea typeface="Verdana"/>
                <a:cs typeface="Verdana"/>
              </a:defRPr>
            </a:pPr>
            <a:r>
              <a:rPr lang="en-US" sz="1200" b="1" i="0" strike="noStrike">
                <a:solidFill>
                  <a:srgbClr val="000000"/>
                </a:solidFill>
                <a:latin typeface="Verdana"/>
                <a:ea typeface="Verdana"/>
                <a:cs typeface="Verdana"/>
              </a:rPr>
              <a:t>generating capacity (except large hydro)</a:t>
            </a:r>
          </a:p>
        </c:rich>
      </c:tx>
      <c:layout>
        <c:manualLayout>
          <c:xMode val="edge"/>
          <c:yMode val="edge"/>
          <c:x val="0.145185167877754"/>
          <c:y val="0.0130718954248366"/>
        </c:manualLayout>
      </c:layout>
      <c:overlay val="0"/>
      <c:spPr>
        <a:noFill/>
        <a:ln w="25400">
          <a:noFill/>
        </a:ln>
      </c:spPr>
    </c:title>
    <c:autoTitleDeleted val="0"/>
    <c:plotArea>
      <c:layout>
        <c:manualLayout>
          <c:layoutTarget val="inner"/>
          <c:xMode val="edge"/>
          <c:yMode val="edge"/>
          <c:x val="0.0711111111111111"/>
          <c:y val="0.111111111111111"/>
          <c:w val="0.622222222222222"/>
          <c:h val="0.773420479302832"/>
        </c:manualLayout>
      </c:layout>
      <c:areaChart>
        <c:grouping val="stacked"/>
        <c:varyColors val="0"/>
        <c:ser>
          <c:idx val="0"/>
          <c:order val="0"/>
          <c:spPr>
            <a:solidFill>
              <a:srgbClr val="0000D4"/>
            </a:solidFill>
            <a:ln w="25400">
              <a:noFill/>
            </a:ln>
            <a:effectLst>
              <a:outerShdw dist="35921" dir="2700000" algn="br">
                <a:srgbClr val="000000"/>
              </a:outerShdw>
            </a:effectLst>
          </c:spPr>
          <c:cat>
            <c:multiLvlStrRef>
              <c:f>'Capacity (TW)'!#REF!</c:f>
            </c:multiLvlStrRef>
          </c:cat>
          <c:val>
            <c:numRef>
              <c:f>'Capacity (TW)'!#REF!</c:f>
              <c:numCache>
                <c:formatCode>General</c:formatCode>
                <c:ptCount val="1"/>
                <c:pt idx="0">
                  <c:v>1.0</c:v>
                </c:pt>
              </c:numCache>
            </c:numRef>
          </c:val>
        </c:ser>
        <c:ser>
          <c:idx val="1"/>
          <c:order val="1"/>
          <c:spPr>
            <a:solidFill>
              <a:srgbClr val="DD2D32"/>
            </a:solidFill>
            <a:ln w="25400">
              <a:noFill/>
            </a:ln>
            <a:effectLst>
              <a:outerShdw dist="35921" dir="2700000" algn="br">
                <a:srgbClr val="000000"/>
              </a:outerShdw>
            </a:effectLst>
          </c:spPr>
          <c:cat>
            <c:multiLvlStrRef>
              <c:f>'Capacity (TW)'!#REF!</c:f>
            </c:multiLvlStrRef>
          </c:cat>
          <c:val>
            <c:numRef>
              <c:f>'Capacity (TW)'!#REF!</c:f>
              <c:numCache>
                <c:formatCode>General</c:formatCode>
                <c:ptCount val="1"/>
                <c:pt idx="0">
                  <c:v>1.0</c:v>
                </c:pt>
              </c:numCache>
            </c:numRef>
          </c:val>
        </c:ser>
        <c:ser>
          <c:idx val="2"/>
          <c:order val="2"/>
          <c:spPr>
            <a:solidFill>
              <a:srgbClr val="99CC00"/>
            </a:solidFill>
            <a:ln w="25400">
              <a:noFill/>
            </a:ln>
            <a:effectLst>
              <a:outerShdw dist="35921" dir="2700000" algn="br">
                <a:srgbClr val="000000"/>
              </a:outerShdw>
            </a:effectLst>
          </c:spPr>
          <c:cat>
            <c:multiLvlStrRef>
              <c:f>'Capacity (TW)'!#REF!</c:f>
            </c:multiLvlStrRef>
          </c:cat>
          <c:val>
            <c:numRef>
              <c:f>'Capacity (TW)'!#REF!</c:f>
              <c:numCache>
                <c:formatCode>General</c:formatCode>
                <c:ptCount val="1"/>
                <c:pt idx="0">
                  <c:v>1.0</c:v>
                </c:pt>
              </c:numCache>
            </c:numRef>
          </c:val>
        </c:ser>
        <c:ser>
          <c:idx val="3"/>
          <c:order val="3"/>
          <c:spPr>
            <a:solidFill>
              <a:schemeClr val="tx1"/>
            </a:solidFill>
            <a:ln w="25400">
              <a:noFill/>
            </a:ln>
            <a:effectLst>
              <a:outerShdw dist="35921" dir="2700000" algn="br">
                <a:srgbClr val="000000"/>
              </a:outerShdw>
            </a:effectLst>
          </c:spPr>
          <c:cat>
            <c:multiLvlStrRef>
              <c:f>'Capacity (TW)'!#REF!</c:f>
            </c:multiLvlStrRef>
          </c:cat>
          <c:val>
            <c:numRef>
              <c:f>'Capacity (TW)'!#REF!</c:f>
              <c:numCache>
                <c:formatCode>General</c:formatCode>
                <c:ptCount val="1"/>
                <c:pt idx="0">
                  <c:v>1.0</c:v>
                </c:pt>
              </c:numCache>
            </c:numRef>
          </c:val>
        </c:ser>
        <c:ser>
          <c:idx val="4"/>
          <c:order val="4"/>
          <c:spPr>
            <a:solidFill>
              <a:srgbClr val="6711FF"/>
            </a:solidFill>
            <a:ln w="25400">
              <a:noFill/>
            </a:ln>
            <a:effectLst>
              <a:outerShdw dist="35921" dir="2700000" algn="br">
                <a:srgbClr val="000000"/>
              </a:outerShdw>
            </a:effectLst>
          </c:spPr>
          <c:cat>
            <c:multiLvlStrRef>
              <c:f>'Capacity (TW)'!#REF!</c:f>
            </c:multiLvlStrRef>
          </c:cat>
          <c:val>
            <c:numRef>
              <c:f>'Capacity (TW)'!#REF!</c:f>
              <c:numCache>
                <c:formatCode>General</c:formatCode>
                <c:ptCount val="1"/>
                <c:pt idx="0">
                  <c:v>1.0</c:v>
                </c:pt>
              </c:numCache>
            </c:numRef>
          </c:val>
        </c:ser>
        <c:ser>
          <c:idx val="5"/>
          <c:order val="5"/>
          <c:spPr>
            <a:solidFill>
              <a:srgbClr val="FEA746"/>
            </a:solidFill>
            <a:ln w="25400">
              <a:noFill/>
            </a:ln>
            <a:effectLst>
              <a:outerShdw dist="35921" dir="2700000" algn="br">
                <a:srgbClr val="000000"/>
              </a:outerShdw>
            </a:effectLst>
          </c:spPr>
          <c:cat>
            <c:multiLvlStrRef>
              <c:f>'Capacity (TW)'!#REF!</c:f>
            </c:multiLvlStrRef>
          </c:cat>
          <c:val>
            <c:numRef>
              <c:f>'Capacity (TW)'!#REF!</c:f>
              <c:numCache>
                <c:formatCode>General</c:formatCode>
                <c:ptCount val="1"/>
                <c:pt idx="0">
                  <c:v>1.0</c:v>
                </c:pt>
              </c:numCache>
            </c:numRef>
          </c:val>
        </c:ser>
        <c:dLbls>
          <c:showLegendKey val="0"/>
          <c:showVal val="0"/>
          <c:showCatName val="0"/>
          <c:showSerName val="0"/>
          <c:showPercent val="0"/>
          <c:showBubbleSize val="0"/>
        </c:dLbls>
        <c:axId val="-2127242728"/>
        <c:axId val="-2126537592"/>
      </c:areaChart>
      <c:lineChart>
        <c:grouping val="standard"/>
        <c:varyColors val="0"/>
        <c:ser>
          <c:idx val="6"/>
          <c:order val="6"/>
          <c:spPr>
            <a:ln>
              <a:solidFill>
                <a:schemeClr val="tx1"/>
              </a:solidFill>
            </a:ln>
          </c:spPr>
          <c:marker>
            <c:spPr>
              <a:ln>
                <a:noFill/>
              </a:ln>
            </c:spPr>
          </c:marker>
          <c:cat>
            <c:multiLvlStrRef>
              <c:f>'Capacity (TW)'!#REF!</c:f>
            </c:multiLvlStrRef>
          </c:cat>
          <c:val>
            <c:numRef>
              <c:f>'Capacity (TW)'!#REF!</c:f>
              <c:numCache>
                <c:formatCode>General</c:formatCode>
                <c:ptCount val="1"/>
                <c:pt idx="0">
                  <c:v>1.0</c:v>
                </c:pt>
              </c:numCache>
            </c:numRef>
          </c:val>
          <c:smooth val="0"/>
        </c:ser>
        <c:ser>
          <c:idx val="7"/>
          <c:order val="7"/>
          <c:spPr>
            <a:ln>
              <a:solidFill>
                <a:schemeClr val="tx1"/>
              </a:solidFill>
              <a:prstDash val="sysDash"/>
            </a:ln>
          </c:spPr>
          <c:marker>
            <c:symbol val="none"/>
          </c:marker>
          <c:val>
            <c:numRef>
              <c:f>'Capacity (TW)'!#REF!</c:f>
              <c:numCache>
                <c:formatCode>General</c:formatCode>
                <c:ptCount val="1"/>
                <c:pt idx="0">
                  <c:v>1.0</c:v>
                </c:pt>
              </c:numCache>
            </c:numRef>
          </c:val>
          <c:smooth val="0"/>
        </c:ser>
        <c:dLbls>
          <c:showLegendKey val="0"/>
          <c:showVal val="0"/>
          <c:showCatName val="0"/>
          <c:showSerName val="0"/>
          <c:showPercent val="0"/>
          <c:showBubbleSize val="0"/>
        </c:dLbls>
        <c:marker val="1"/>
        <c:smooth val="0"/>
        <c:axId val="-2127242728"/>
        <c:axId val="-2126537592"/>
      </c:lineChart>
      <c:catAx>
        <c:axId val="-2127242728"/>
        <c:scaling>
          <c:orientation val="minMax"/>
        </c:scaling>
        <c:delete val="0"/>
        <c:axPos val="b"/>
        <c:numFmt formatCode="General" sourceLinked="1"/>
        <c:majorTickMark val="out"/>
        <c:minorTickMark val="none"/>
        <c:tickLblPos val="nextTo"/>
        <c:spPr>
          <a:ln w="25400">
            <a:solidFill>
              <a:srgbClr val="000000"/>
            </a:solidFill>
            <a:prstDash val="solid"/>
          </a:ln>
        </c:spPr>
        <c:txPr>
          <a:bodyPr rot="0" vert="horz"/>
          <a:lstStyle/>
          <a:p>
            <a:pPr>
              <a:defRPr sz="1000" b="1" i="0" u="none" strike="noStrike" baseline="0">
                <a:solidFill>
                  <a:srgbClr val="000000"/>
                </a:solidFill>
                <a:latin typeface="Verdana"/>
                <a:ea typeface="Verdana"/>
                <a:cs typeface="Verdana"/>
              </a:defRPr>
            </a:pPr>
            <a:endParaRPr lang="en-US"/>
          </a:p>
        </c:txPr>
        <c:crossAx val="-2126537592"/>
        <c:crosses val="autoZero"/>
        <c:auto val="1"/>
        <c:lblAlgn val="ctr"/>
        <c:lblOffset val="100"/>
        <c:tickLblSkip val="1"/>
        <c:tickMarkSkip val="1"/>
        <c:noMultiLvlLbl val="0"/>
      </c:catAx>
      <c:valAx>
        <c:axId val="-2126537592"/>
        <c:scaling>
          <c:orientation val="minMax"/>
          <c:max val="1000.0"/>
          <c:min val="0.0"/>
        </c:scaling>
        <c:delete val="0"/>
        <c:axPos val="l"/>
        <c:numFmt formatCode="0" sourceLinked="0"/>
        <c:majorTickMark val="out"/>
        <c:minorTickMark val="none"/>
        <c:tickLblPos val="nextTo"/>
        <c:spPr>
          <a:ln w="25400">
            <a:solidFill>
              <a:srgbClr val="000000"/>
            </a:solidFill>
            <a:prstDash val="solid"/>
          </a:ln>
        </c:spPr>
        <c:txPr>
          <a:bodyPr rot="0" vert="horz"/>
          <a:lstStyle/>
          <a:p>
            <a:pPr>
              <a:defRPr sz="1000" b="1" i="0" u="none" strike="noStrike" baseline="0">
                <a:solidFill>
                  <a:srgbClr val="000000"/>
                </a:solidFill>
                <a:latin typeface="Verdana"/>
                <a:ea typeface="Verdana"/>
                <a:cs typeface="Verdana"/>
              </a:defRPr>
            </a:pPr>
            <a:endParaRPr lang="en-US"/>
          </a:p>
        </c:txPr>
        <c:crossAx val="-2127242728"/>
        <c:crosses val="autoZero"/>
        <c:crossBetween val="midCat"/>
        <c:majorUnit val="200.0"/>
      </c:valAx>
      <c:spPr>
        <a:noFill/>
        <a:ln w="25400">
          <a:solidFill>
            <a:srgbClr val="000000"/>
          </a:solidFill>
          <a:prstDash val="solid"/>
        </a:ln>
      </c:spPr>
    </c:plotArea>
    <c:plotVisOnly val="0"/>
    <c:dispBlanksAs val="zero"/>
    <c:showDLblsOverMax val="0"/>
  </c:chart>
  <c:spPr>
    <a:noFill/>
    <a:ln w="9525">
      <a:noFill/>
    </a:ln>
  </c:spPr>
  <c:txPr>
    <a:bodyPr/>
    <a:lstStyle/>
    <a:p>
      <a:pPr>
        <a:defRPr sz="1000" b="0" i="0" u="none" strike="noStrike" baseline="0">
          <a:solidFill>
            <a:srgbClr val="000000"/>
          </a:solidFill>
          <a:latin typeface="Verdana"/>
          <a:ea typeface="Verdana"/>
          <a:cs typeface="Verdana"/>
        </a:defRPr>
      </a:pPr>
      <a:endParaRPr lang="en-US"/>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948148148148148"/>
          <c:y val="0.122004357298475"/>
          <c:w val="0.611851851851852"/>
          <c:h val="0.773420479302832"/>
        </c:manualLayout>
      </c:layout>
      <c:areaChart>
        <c:grouping val="stacked"/>
        <c:varyColors val="0"/>
        <c:ser>
          <c:idx val="0"/>
          <c:order val="0"/>
          <c:tx>
            <c:v>Wind</c:v>
          </c:tx>
          <c:spPr>
            <a:solidFill>
              <a:srgbClr val="0000D4"/>
            </a:solidFill>
            <a:ln w="25400">
              <a:noFill/>
            </a:ln>
            <a:effectLst>
              <a:outerShdw dist="35921" dir="2700000" algn="br">
                <a:srgbClr val="000000"/>
              </a:outerShdw>
            </a:effectLst>
          </c:spPr>
          <c:cat>
            <c:numRef>
              <c:f>'Generation (TWh)'!$B$47:$B$57</c:f>
              <c:numCache>
                <c:formatCode>General</c:formatCode>
                <c:ptCount val="11"/>
              </c:numCache>
            </c:numRef>
          </c:cat>
          <c:val>
            <c:numRef>
              <c:f>'Generation (TWh)'!$D$47:$D$57</c:f>
              <c:numCache>
                <c:formatCode>0.000</c:formatCode>
                <c:ptCount val="11"/>
              </c:numCache>
            </c:numRef>
          </c:val>
        </c:ser>
        <c:ser>
          <c:idx val="1"/>
          <c:order val="1"/>
          <c:tx>
            <c:v>Small Hydro (&lt;10MW)</c:v>
          </c:tx>
          <c:spPr>
            <a:solidFill>
              <a:srgbClr val="DD2D32"/>
            </a:solidFill>
            <a:ln w="25400">
              <a:noFill/>
            </a:ln>
            <a:effectLst>
              <a:outerShdw dist="35921" dir="2700000" algn="br">
                <a:srgbClr val="000000"/>
              </a:outerShdw>
            </a:effectLst>
          </c:spPr>
          <c:cat>
            <c:numRef>
              <c:f>'Generation (TWh)'!$B$47:$B$57</c:f>
              <c:numCache>
                <c:formatCode>General</c:formatCode>
                <c:ptCount val="11"/>
              </c:numCache>
            </c:numRef>
          </c:cat>
          <c:val>
            <c:numRef>
              <c:f>'Generation (TWh)'!$E$47:$E$57</c:f>
              <c:numCache>
                <c:formatCode>0.000</c:formatCode>
                <c:ptCount val="11"/>
              </c:numCache>
            </c:numRef>
          </c:val>
        </c:ser>
        <c:ser>
          <c:idx val="2"/>
          <c:order val="2"/>
          <c:tx>
            <c:v>Biomass</c:v>
          </c:tx>
          <c:spPr>
            <a:solidFill>
              <a:srgbClr val="99CC00"/>
            </a:solidFill>
            <a:ln w="25400">
              <a:noFill/>
            </a:ln>
            <a:effectLst>
              <a:outerShdw dist="35921" dir="2700000" algn="br">
                <a:srgbClr val="000000"/>
              </a:outerShdw>
            </a:effectLst>
          </c:spPr>
          <c:cat>
            <c:numRef>
              <c:f>'Generation (TWh)'!$B$47:$B$57</c:f>
              <c:numCache>
                <c:formatCode>General</c:formatCode>
                <c:ptCount val="11"/>
              </c:numCache>
            </c:numRef>
          </c:cat>
          <c:val>
            <c:numRef>
              <c:f>'Generation (TWh)'!$F$47:$F$57</c:f>
              <c:numCache>
                <c:formatCode>0.000</c:formatCode>
                <c:ptCount val="11"/>
              </c:numCache>
            </c:numRef>
          </c:val>
        </c:ser>
        <c:ser>
          <c:idx val="3"/>
          <c:order val="3"/>
          <c:tx>
            <c:v>Photovoltaic</c:v>
          </c:tx>
          <c:spPr>
            <a:solidFill>
              <a:srgbClr val="000000"/>
            </a:solidFill>
            <a:ln w="25400">
              <a:noFill/>
            </a:ln>
            <a:effectLst>
              <a:outerShdw dist="35921" dir="2700000" algn="br">
                <a:srgbClr val="000000"/>
              </a:outerShdw>
            </a:effectLst>
          </c:spPr>
          <c:cat>
            <c:numRef>
              <c:f>'Generation (TWh)'!$B$47:$B$57</c:f>
              <c:numCache>
                <c:formatCode>General</c:formatCode>
                <c:ptCount val="11"/>
              </c:numCache>
            </c:numRef>
          </c:cat>
          <c:val>
            <c:numRef>
              <c:f>'Generation (TWh)'!$G$47:$G$57</c:f>
              <c:numCache>
                <c:formatCode>0.000</c:formatCode>
                <c:ptCount val="11"/>
              </c:numCache>
            </c:numRef>
          </c:val>
        </c:ser>
        <c:ser>
          <c:idx val="4"/>
          <c:order val="4"/>
          <c:tx>
            <c:v>Geothermal</c:v>
          </c:tx>
          <c:spPr>
            <a:solidFill>
              <a:srgbClr val="6711FF"/>
            </a:solidFill>
            <a:ln w="25400">
              <a:noFill/>
            </a:ln>
            <a:effectLst>
              <a:outerShdw dist="35921" dir="2700000" algn="br">
                <a:srgbClr val="000000"/>
              </a:outerShdw>
            </a:effectLst>
          </c:spPr>
          <c:cat>
            <c:numRef>
              <c:f>'Generation (TWh)'!$B$47:$B$57</c:f>
              <c:numCache>
                <c:formatCode>General</c:formatCode>
                <c:ptCount val="11"/>
              </c:numCache>
            </c:numRef>
          </c:cat>
          <c:val>
            <c:numRef>
              <c:f>'Generation (TWh)'!$H$47:$H$57</c:f>
              <c:numCache>
                <c:formatCode>0.000</c:formatCode>
                <c:ptCount val="11"/>
              </c:numCache>
            </c:numRef>
          </c:val>
        </c:ser>
        <c:ser>
          <c:idx val="5"/>
          <c:order val="5"/>
          <c:tx>
            <c:v>Non-Biomass Cogeneration</c:v>
          </c:tx>
          <c:spPr>
            <a:solidFill>
              <a:srgbClr val="FEA746"/>
            </a:solidFill>
            <a:ln w="25400">
              <a:noFill/>
            </a:ln>
            <a:effectLst>
              <a:outerShdw dist="35921" dir="2700000" algn="br">
                <a:srgbClr val="000000"/>
              </a:outerShdw>
            </a:effectLst>
          </c:spPr>
          <c:cat>
            <c:numRef>
              <c:f>'Generation (TWh)'!$B$47:$B$57</c:f>
              <c:numCache>
                <c:formatCode>General</c:formatCode>
                <c:ptCount val="11"/>
              </c:numCache>
            </c:numRef>
          </c:cat>
          <c:val>
            <c:numRef>
              <c:f>'Generation (TWh)'!$J$47:$J$57</c:f>
              <c:numCache>
                <c:formatCode>0.000</c:formatCode>
                <c:ptCount val="11"/>
              </c:numCache>
            </c:numRef>
          </c:val>
        </c:ser>
        <c:ser>
          <c:idx val="10"/>
          <c:order val="7"/>
          <c:tx>
            <c:v>Nuclear</c:v>
          </c:tx>
          <c:cat>
            <c:numRef>
              <c:f>'Generation (TWh)'!$B$47:$B$57</c:f>
              <c:numCache>
                <c:formatCode>General</c:formatCode>
                <c:ptCount val="11"/>
              </c:numCache>
            </c:numRef>
          </c:cat>
          <c:val>
            <c:numRef>
              <c:f>'Generation (TWh)'!$C$47:$C$57</c:f>
              <c:numCache>
                <c:formatCode>0.000</c:formatCode>
                <c:ptCount val="11"/>
              </c:numCache>
            </c:numRef>
          </c:val>
        </c:ser>
        <c:ser>
          <c:idx val="9"/>
          <c:order val="8"/>
          <c:tx>
            <c:v>Large Hydro</c:v>
          </c:tx>
          <c:cat>
            <c:numRef>
              <c:f>'Generation (TWh)'!$B$47:$B$57</c:f>
              <c:numCache>
                <c:formatCode>General</c:formatCode>
                <c:ptCount val="11"/>
              </c:numCache>
            </c:numRef>
          </c:cat>
          <c:val>
            <c:numRef>
              <c:f>'Generation (TWh)'!$M$47:$M$57</c:f>
              <c:numCache>
                <c:formatCode>0.000</c:formatCode>
                <c:ptCount val="11"/>
              </c:numCache>
            </c:numRef>
          </c:val>
        </c:ser>
        <c:ser>
          <c:idx val="8"/>
          <c:order val="10"/>
          <c:tx>
            <c:v>Fossil Fueled Except Cogeneration</c:v>
          </c:tx>
          <c:cat>
            <c:numRef>
              <c:f>'Generation (TWh)'!$B$47:$B$57</c:f>
              <c:numCache>
                <c:formatCode>General</c:formatCode>
                <c:ptCount val="11"/>
              </c:numCache>
            </c:numRef>
          </c:cat>
          <c:val>
            <c:numRef>
              <c:f>'Generation (TWh)'!$P$47:$P$57</c:f>
              <c:numCache>
                <c:formatCode>0.000</c:formatCode>
                <c:ptCount val="11"/>
              </c:numCache>
            </c:numRef>
          </c:val>
        </c:ser>
        <c:dLbls>
          <c:showLegendKey val="0"/>
          <c:showVal val="0"/>
          <c:showCatName val="0"/>
          <c:showSerName val="0"/>
          <c:showPercent val="0"/>
          <c:showBubbleSize val="0"/>
        </c:dLbls>
        <c:axId val="2120065384"/>
        <c:axId val="2134163576"/>
      </c:areaChart>
      <c:lineChart>
        <c:grouping val="standard"/>
        <c:varyColors val="0"/>
        <c:ser>
          <c:idx val="6"/>
          <c:order val="6"/>
          <c:tx>
            <c:v>Total Micropower</c:v>
          </c:tx>
          <c:spPr>
            <a:ln>
              <a:solidFill>
                <a:schemeClr val="bg1"/>
              </a:solidFill>
              <a:prstDash val="sysDash"/>
            </a:ln>
          </c:spPr>
          <c:marker>
            <c:spPr>
              <a:noFill/>
              <a:ln>
                <a:noFill/>
              </a:ln>
            </c:spPr>
          </c:marker>
          <c:cat>
            <c:numRef>
              <c:f>'Generation (TWh)'!$B$47:$B$57</c:f>
              <c:numCache>
                <c:formatCode>General</c:formatCode>
                <c:ptCount val="11"/>
              </c:numCache>
            </c:numRef>
          </c:cat>
          <c:val>
            <c:numRef>
              <c:f>'Generation (TWh)'!$K$47:$K$57</c:f>
              <c:numCache>
                <c:formatCode>0.000</c:formatCode>
                <c:ptCount val="11"/>
              </c:numCache>
            </c:numRef>
          </c:val>
          <c:smooth val="0"/>
        </c:ser>
        <c:ser>
          <c:idx val="7"/>
          <c:order val="9"/>
          <c:tx>
            <c:v>Total World Electricity Production</c:v>
          </c:tx>
          <c:spPr>
            <a:ln>
              <a:solidFill>
                <a:srgbClr val="FF00FF"/>
              </a:solidFill>
            </a:ln>
          </c:spPr>
          <c:cat>
            <c:numRef>
              <c:f>'Generation (TWh)'!$B$47:$B$57</c:f>
              <c:numCache>
                <c:formatCode>General</c:formatCode>
                <c:ptCount val="11"/>
              </c:numCache>
            </c:numRef>
          </c:cat>
          <c:val>
            <c:numRef>
              <c:f>'Generation (TWh)'!$N$47:$N$57</c:f>
              <c:numCache>
                <c:formatCode>0.000</c:formatCode>
                <c:ptCount val="11"/>
              </c:numCache>
            </c:numRef>
          </c:val>
          <c:smooth val="0"/>
        </c:ser>
        <c:dLbls>
          <c:showLegendKey val="0"/>
          <c:showVal val="0"/>
          <c:showCatName val="0"/>
          <c:showSerName val="0"/>
          <c:showPercent val="0"/>
          <c:showBubbleSize val="0"/>
        </c:dLbls>
        <c:marker val="1"/>
        <c:smooth val="0"/>
        <c:axId val="2120065384"/>
        <c:axId val="2134163576"/>
      </c:lineChart>
      <c:catAx>
        <c:axId val="2120065384"/>
        <c:scaling>
          <c:orientation val="minMax"/>
        </c:scaling>
        <c:delete val="0"/>
        <c:axPos val="b"/>
        <c:numFmt formatCode="General" sourceLinked="1"/>
        <c:majorTickMark val="out"/>
        <c:minorTickMark val="none"/>
        <c:tickLblPos val="nextTo"/>
        <c:spPr>
          <a:ln w="25400">
            <a:solidFill>
              <a:schemeClr val="bg1"/>
            </a:solidFill>
            <a:prstDash val="solid"/>
          </a:ln>
        </c:spPr>
        <c:txPr>
          <a:bodyPr rot="0" vert="horz"/>
          <a:lstStyle/>
          <a:p>
            <a:pPr>
              <a:defRPr sz="1000" b="1" i="0" u="none" strike="noStrike" baseline="0">
                <a:solidFill>
                  <a:schemeClr val="bg1"/>
                </a:solidFill>
                <a:latin typeface="Verdana"/>
                <a:ea typeface="Verdana"/>
                <a:cs typeface="Verdana"/>
              </a:defRPr>
            </a:pPr>
            <a:endParaRPr lang="en-US"/>
          </a:p>
        </c:txPr>
        <c:crossAx val="2134163576"/>
        <c:crosses val="autoZero"/>
        <c:auto val="1"/>
        <c:lblAlgn val="ctr"/>
        <c:lblOffset val="100"/>
        <c:tickLblSkip val="1"/>
        <c:tickMarkSkip val="1"/>
        <c:noMultiLvlLbl val="0"/>
      </c:catAx>
      <c:valAx>
        <c:axId val="2134163576"/>
        <c:scaling>
          <c:orientation val="minMax"/>
          <c:max val="22000.0"/>
          <c:min val="0.0"/>
        </c:scaling>
        <c:delete val="0"/>
        <c:axPos val="l"/>
        <c:numFmt formatCode="General" sourceLinked="0"/>
        <c:majorTickMark val="out"/>
        <c:minorTickMark val="none"/>
        <c:tickLblPos val="nextTo"/>
        <c:spPr>
          <a:ln w="25400">
            <a:solidFill>
              <a:schemeClr val="bg1"/>
            </a:solidFill>
            <a:prstDash val="solid"/>
          </a:ln>
        </c:spPr>
        <c:txPr>
          <a:bodyPr rot="0" vert="horz"/>
          <a:lstStyle/>
          <a:p>
            <a:pPr>
              <a:defRPr sz="1000" b="1" i="0" u="none" strike="noStrike" baseline="0">
                <a:solidFill>
                  <a:schemeClr val="bg1"/>
                </a:solidFill>
                <a:latin typeface="Verdana"/>
                <a:ea typeface="Verdana"/>
                <a:cs typeface="Verdana"/>
              </a:defRPr>
            </a:pPr>
            <a:endParaRPr lang="en-US"/>
          </a:p>
        </c:txPr>
        <c:crossAx val="2120065384"/>
        <c:crosses val="autoZero"/>
        <c:crossBetween val="midCat"/>
        <c:majorUnit val="2000.0"/>
        <c:minorUnit val="600.0"/>
      </c:valAx>
      <c:spPr>
        <a:noFill/>
        <a:ln w="25400">
          <a:solidFill>
            <a:schemeClr val="bg1"/>
          </a:solidFill>
          <a:prstDash val="solid"/>
        </a:ln>
      </c:spPr>
    </c:plotArea>
    <c:legend>
      <c:legendPos val="r"/>
      <c:layout>
        <c:manualLayout>
          <c:xMode val="edge"/>
          <c:yMode val="edge"/>
          <c:x val="0.734674992406365"/>
          <c:y val="0.0923625478187775"/>
          <c:w val="0.25180821981822"/>
          <c:h val="0.580741083835109"/>
        </c:manualLayout>
      </c:layout>
      <c:overlay val="0"/>
      <c:spPr>
        <a:solidFill>
          <a:schemeClr val="bg1">
            <a:lumMod val="50000"/>
          </a:schemeClr>
        </a:solidFill>
      </c:spPr>
      <c:txPr>
        <a:bodyPr/>
        <a:lstStyle/>
        <a:p>
          <a:pPr>
            <a:defRPr sz="900">
              <a:solidFill>
                <a:schemeClr val="bg1"/>
              </a:solidFill>
            </a:defRPr>
          </a:pPr>
          <a:endParaRPr lang="en-US"/>
        </a:p>
      </c:txPr>
    </c:legend>
    <c:plotVisOnly val="0"/>
    <c:dispBlanksAs val="zero"/>
    <c:showDLblsOverMax val="0"/>
  </c:chart>
  <c:spPr>
    <a:solidFill>
      <a:schemeClr val="tx1"/>
    </a:solidFill>
    <a:ln w="9525">
      <a:noFill/>
    </a:ln>
  </c:spPr>
  <c:txPr>
    <a:bodyPr/>
    <a:lstStyle/>
    <a:p>
      <a:pPr>
        <a:defRPr sz="1000" b="0" i="0" u="none" strike="noStrike" baseline="0">
          <a:solidFill>
            <a:srgbClr val="000000"/>
          </a:solidFill>
          <a:latin typeface="Verdana"/>
          <a:ea typeface="Verdana"/>
          <a:cs typeface="Verdana"/>
        </a:defRPr>
      </a:pPr>
      <a:endParaRPr lang="en-US"/>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Micropower generates more than one-quarter of the</a:t>
            </a:r>
            <a:r>
              <a:rPr lang="en-US" baseline="0"/>
              <a:t> world's electricity</a:t>
            </a:r>
            <a:endParaRPr lang="en-US"/>
          </a:p>
        </c:rich>
      </c:tx>
      <c:layout/>
      <c:overlay val="0"/>
    </c:title>
    <c:autoTitleDeleted val="0"/>
    <c:plotArea>
      <c:layout/>
      <c:lineChart>
        <c:grouping val="standard"/>
        <c:varyColors val="0"/>
        <c:ser>
          <c:idx val="0"/>
          <c:order val="0"/>
          <c:tx>
            <c:v>Micropower</c:v>
          </c:tx>
          <c:marker>
            <c:symbol val="none"/>
          </c:marker>
          <c:cat>
            <c:numRef>
              <c:f>'Generation (TWh)'!$B$19:$B$33</c:f>
              <c:numCache>
                <c:formatCode>General</c:formatCode>
                <c:ptCount val="15"/>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numCache>
            </c:numRef>
          </c:cat>
          <c:val>
            <c:numRef>
              <c:f>'Generation (TWh)'!$O$19:$O$33</c:f>
              <c:numCache>
                <c:formatCode>0%</c:formatCode>
                <c:ptCount val="15"/>
                <c:pt idx="0">
                  <c:v>0.1514707049064</c:v>
                </c:pt>
                <c:pt idx="1">
                  <c:v>0.155678395049414</c:v>
                </c:pt>
                <c:pt idx="2">
                  <c:v>0.158569105868587</c:v>
                </c:pt>
                <c:pt idx="3">
                  <c:v>0.161192615736097</c:v>
                </c:pt>
                <c:pt idx="4">
                  <c:v>0.162028584824197</c:v>
                </c:pt>
                <c:pt idx="5">
                  <c:v>0.16405584916373</c:v>
                </c:pt>
                <c:pt idx="6">
                  <c:v>0.16786618625799</c:v>
                </c:pt>
                <c:pt idx="7">
                  <c:v>0.171816100690915</c:v>
                </c:pt>
                <c:pt idx="8">
                  <c:v>0.181591895653169</c:v>
                </c:pt>
                <c:pt idx="9">
                  <c:v>0.198043839909844</c:v>
                </c:pt>
                <c:pt idx="10">
                  <c:v>0.20052587156993</c:v>
                </c:pt>
                <c:pt idx="11">
                  <c:v>0.213442567321418</c:v>
                </c:pt>
                <c:pt idx="12">
                  <c:v>0.226936857321716</c:v>
                </c:pt>
                <c:pt idx="13">
                  <c:v>0.241382575958668</c:v>
                </c:pt>
                <c:pt idx="14">
                  <c:v>0.25788793566678</c:v>
                </c:pt>
              </c:numCache>
            </c:numRef>
          </c:val>
          <c:smooth val="0"/>
        </c:ser>
        <c:ser>
          <c:idx val="1"/>
          <c:order val="1"/>
          <c:tx>
            <c:v>Nuclear</c:v>
          </c:tx>
          <c:marker>
            <c:symbol val="none"/>
          </c:marker>
          <c:cat>
            <c:numRef>
              <c:f>'Generation (TWh)'!$B$19:$B$33</c:f>
              <c:numCache>
                <c:formatCode>General</c:formatCode>
                <c:ptCount val="15"/>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numCache>
            </c:numRef>
          </c:cat>
          <c:val>
            <c:numRef>
              <c:f>'Generation (TWh)'!$P$19:$P$33</c:f>
              <c:numCache>
                <c:formatCode>0%</c:formatCode>
                <c:ptCount val="15"/>
                <c:pt idx="0">
                  <c:v>0.158900343038582</c:v>
                </c:pt>
                <c:pt idx="1">
                  <c:v>0.160694833345809</c:v>
                </c:pt>
                <c:pt idx="2">
                  <c:v>0.157768362127911</c:v>
                </c:pt>
                <c:pt idx="3">
                  <c:v>0.149159651712296</c:v>
                </c:pt>
                <c:pt idx="4">
                  <c:v>0.149042943365546</c:v>
                </c:pt>
                <c:pt idx="5">
                  <c:v>0.143425277682972</c:v>
                </c:pt>
                <c:pt idx="6">
                  <c:v>0.13985685917762</c:v>
                </c:pt>
                <c:pt idx="7">
                  <c:v>0.131013010375995</c:v>
                </c:pt>
                <c:pt idx="8">
                  <c:v>0.12774268271909</c:v>
                </c:pt>
                <c:pt idx="9">
                  <c:v>0.127307452348141</c:v>
                </c:pt>
                <c:pt idx="10">
                  <c:v>0.122862924119998</c:v>
                </c:pt>
                <c:pt idx="11">
                  <c:v>0.114189377511689</c:v>
                </c:pt>
                <c:pt idx="12">
                  <c:v>0.103674261170814</c:v>
                </c:pt>
                <c:pt idx="13">
                  <c:v>0.101745169082126</c:v>
                </c:pt>
                <c:pt idx="14">
                  <c:v>0.10240987402545</c:v>
                </c:pt>
              </c:numCache>
            </c:numRef>
          </c:val>
          <c:smooth val="0"/>
        </c:ser>
        <c:dLbls>
          <c:showLegendKey val="0"/>
          <c:showVal val="0"/>
          <c:showCatName val="0"/>
          <c:showSerName val="0"/>
          <c:showPercent val="0"/>
          <c:showBubbleSize val="0"/>
        </c:dLbls>
        <c:marker val="1"/>
        <c:smooth val="0"/>
        <c:axId val="-2110036968"/>
        <c:axId val="-2127411176"/>
      </c:lineChart>
      <c:catAx>
        <c:axId val="-2110036968"/>
        <c:scaling>
          <c:orientation val="minMax"/>
        </c:scaling>
        <c:delete val="0"/>
        <c:axPos val="b"/>
        <c:numFmt formatCode="General" sourceLinked="1"/>
        <c:majorTickMark val="out"/>
        <c:minorTickMark val="none"/>
        <c:tickLblPos val="nextTo"/>
        <c:crossAx val="-2127411176"/>
        <c:crosses val="autoZero"/>
        <c:auto val="1"/>
        <c:lblAlgn val="ctr"/>
        <c:lblOffset val="100"/>
        <c:noMultiLvlLbl val="0"/>
      </c:catAx>
      <c:valAx>
        <c:axId val="-2127411176"/>
        <c:scaling>
          <c:orientation val="minMax"/>
        </c:scaling>
        <c:delete val="0"/>
        <c:axPos val="l"/>
        <c:majorGridlines/>
        <c:title>
          <c:tx>
            <c:rich>
              <a:bodyPr rot="-5400000" vert="horz"/>
              <a:lstStyle/>
              <a:p>
                <a:pPr>
                  <a:defRPr/>
                </a:pPr>
                <a:r>
                  <a:rPr lang="en-US"/>
                  <a:t>Percentage of electricity consumption</a:t>
                </a:r>
              </a:p>
            </c:rich>
          </c:tx>
          <c:layout/>
          <c:overlay val="0"/>
        </c:title>
        <c:numFmt formatCode="0%" sourceLinked="1"/>
        <c:majorTickMark val="out"/>
        <c:minorTickMark val="none"/>
        <c:tickLblPos val="nextTo"/>
        <c:crossAx val="-2110036968"/>
        <c:crosses val="autoZero"/>
        <c:crossBetween val="between"/>
      </c:valAx>
      <c:spPr>
        <a:noFill/>
      </c:spPr>
    </c:plotArea>
    <c:legend>
      <c:legendPos val="l"/>
      <c:layout>
        <c:manualLayout>
          <c:xMode val="edge"/>
          <c:yMode val="edge"/>
          <c:x val="0.124444475559725"/>
          <c:y val="0.148940081503409"/>
          <c:w val="0.158518518518519"/>
          <c:h val="0.105203688418628"/>
        </c:manualLayout>
      </c:layout>
      <c:overlay val="1"/>
    </c:legend>
    <c:plotVisOnly val="1"/>
    <c:dispBlanksAs val="gap"/>
    <c:showDLblsOverMax val="0"/>
  </c:chart>
  <c:spPr>
    <a:noFill/>
  </c:spPr>
  <c:txPr>
    <a:bodyPr/>
    <a:lstStyle/>
    <a:p>
      <a:pPr>
        <a:defRPr sz="1400">
          <a:latin typeface="Helvetica Neue"/>
          <a:cs typeface="Helvetica Neue"/>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2400" b="1"/>
            </a:pPr>
            <a:r>
              <a:rPr lang="en-US" sz="2400" b="1"/>
              <a:t>Worldwide low- or no-carbon installed electricity generation capacity</a:t>
            </a:r>
          </a:p>
        </c:rich>
      </c:tx>
      <c:layout/>
      <c:overlay val="0"/>
    </c:title>
    <c:autoTitleDeleted val="0"/>
    <c:plotArea>
      <c:layout/>
      <c:areaChart>
        <c:grouping val="stacked"/>
        <c:varyColors val="0"/>
        <c:ser>
          <c:idx val="0"/>
          <c:order val="0"/>
          <c:tx>
            <c:v>Wind</c:v>
          </c:tx>
          <c:cat>
            <c:numRef>
              <c:f>'Capacity (GW)'!$B$18:$B$32</c:f>
              <c:numCache>
                <c:formatCode>General</c:formatCode>
                <c:ptCount val="15"/>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numCache>
            </c:numRef>
          </c:cat>
          <c:val>
            <c:numRef>
              <c:f>'Capacity (GW)'!$D$18:$D$32</c:f>
              <c:numCache>
                <c:formatCode>_(* #,##0.00_);_(* \(#,##0.00\);_(* "-"??_);_(@_)</c:formatCode>
                <c:ptCount val="15"/>
                <c:pt idx="0">
                  <c:v>17.4</c:v>
                </c:pt>
                <c:pt idx="1">
                  <c:v>23.9</c:v>
                </c:pt>
                <c:pt idx="2">
                  <c:v>31.1</c:v>
                </c:pt>
                <c:pt idx="3">
                  <c:v>39.431</c:v>
                </c:pt>
                <c:pt idx="4">
                  <c:v>47.62</c:v>
                </c:pt>
                <c:pt idx="5">
                  <c:v>59.091</c:v>
                </c:pt>
                <c:pt idx="6">
                  <c:v>74.006</c:v>
                </c:pt>
                <c:pt idx="7">
                  <c:v>93.639</c:v>
                </c:pt>
                <c:pt idx="8">
                  <c:v>120.267</c:v>
                </c:pt>
                <c:pt idx="9">
                  <c:v>158.864</c:v>
                </c:pt>
                <c:pt idx="10">
                  <c:v>197.686</c:v>
                </c:pt>
                <c:pt idx="11">
                  <c:v>238.035</c:v>
                </c:pt>
                <c:pt idx="12">
                  <c:v>282.43</c:v>
                </c:pt>
                <c:pt idx="13">
                  <c:v>318.105</c:v>
                </c:pt>
                <c:pt idx="14">
                  <c:v>369.553</c:v>
                </c:pt>
              </c:numCache>
            </c:numRef>
          </c:val>
        </c:ser>
        <c:ser>
          <c:idx val="1"/>
          <c:order val="1"/>
          <c:tx>
            <c:v>Small hydro</c:v>
          </c:tx>
          <c:cat>
            <c:numRef>
              <c:f>'Capacity (GW)'!$B$18:$B$32</c:f>
              <c:numCache>
                <c:formatCode>General</c:formatCode>
                <c:ptCount val="15"/>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numCache>
            </c:numRef>
          </c:cat>
          <c:val>
            <c:numRef>
              <c:f>'Capacity (GW)'!$E$18:$E$32</c:f>
              <c:numCache>
                <c:formatCode>_(* #,##0.00_);_(* \(#,##0.00\);_(* "-"??_);_(@_)</c:formatCode>
                <c:ptCount val="15"/>
                <c:pt idx="0">
                  <c:v>136.15472</c:v>
                </c:pt>
                <c:pt idx="1">
                  <c:v>138.06808</c:v>
                </c:pt>
                <c:pt idx="2">
                  <c:v>141.00814</c:v>
                </c:pt>
                <c:pt idx="3">
                  <c:v>143.96007</c:v>
                </c:pt>
                <c:pt idx="4">
                  <c:v>148.58673</c:v>
                </c:pt>
                <c:pt idx="5">
                  <c:v>153.28586</c:v>
                </c:pt>
                <c:pt idx="6">
                  <c:v>158.9304</c:v>
                </c:pt>
                <c:pt idx="7">
                  <c:v>164.19574</c:v>
                </c:pt>
                <c:pt idx="8">
                  <c:v>169.90951</c:v>
                </c:pt>
                <c:pt idx="9">
                  <c:v>175.18079</c:v>
                </c:pt>
                <c:pt idx="10">
                  <c:v>181.18122</c:v>
                </c:pt>
                <c:pt idx="11">
                  <c:v>185.94913</c:v>
                </c:pt>
                <c:pt idx="12">
                  <c:v>190.8675</c:v>
                </c:pt>
                <c:pt idx="13">
                  <c:v>196.57385</c:v>
                </c:pt>
                <c:pt idx="14">
                  <c:v>200.11218</c:v>
                </c:pt>
              </c:numCache>
            </c:numRef>
          </c:val>
        </c:ser>
        <c:ser>
          <c:idx val="2"/>
          <c:order val="2"/>
          <c:tx>
            <c:v>Biomass</c:v>
          </c:tx>
          <c:cat>
            <c:numRef>
              <c:f>'Capacity (GW)'!$B$18:$B$32</c:f>
              <c:numCache>
                <c:formatCode>General</c:formatCode>
                <c:ptCount val="15"/>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numCache>
            </c:numRef>
          </c:cat>
          <c:val>
            <c:numRef>
              <c:f>'Capacity (GW)'!$F$18:$F$32</c:f>
              <c:numCache>
                <c:formatCode>_(* #,##0.00_);_(* \(#,##0.00\);_(* "-"??_);_(@_)</c:formatCode>
                <c:ptCount val="15"/>
                <c:pt idx="0">
                  <c:v>35.36169</c:v>
                </c:pt>
                <c:pt idx="1">
                  <c:v>36.18108</c:v>
                </c:pt>
                <c:pt idx="2">
                  <c:v>37.63354</c:v>
                </c:pt>
                <c:pt idx="3">
                  <c:v>39.65275</c:v>
                </c:pt>
                <c:pt idx="4">
                  <c:v>41.05401000000001</c:v>
                </c:pt>
                <c:pt idx="5">
                  <c:v>43.22538</c:v>
                </c:pt>
                <c:pt idx="6">
                  <c:v>46.93504</c:v>
                </c:pt>
                <c:pt idx="7">
                  <c:v>50.4053</c:v>
                </c:pt>
                <c:pt idx="8">
                  <c:v>54.14246</c:v>
                </c:pt>
                <c:pt idx="9">
                  <c:v>60.09329</c:v>
                </c:pt>
                <c:pt idx="10">
                  <c:v>63.55535</c:v>
                </c:pt>
                <c:pt idx="11">
                  <c:v>71.64216</c:v>
                </c:pt>
                <c:pt idx="12">
                  <c:v>76.45691</c:v>
                </c:pt>
                <c:pt idx="13">
                  <c:v>84.56064</c:v>
                </c:pt>
                <c:pt idx="14">
                  <c:v>94.27975000000001</c:v>
                </c:pt>
              </c:numCache>
            </c:numRef>
          </c:val>
        </c:ser>
        <c:ser>
          <c:idx val="3"/>
          <c:order val="3"/>
          <c:tx>
            <c:v>Solar PV</c:v>
          </c:tx>
          <c:cat>
            <c:numRef>
              <c:f>'Capacity (GW)'!$B$18:$B$32</c:f>
              <c:numCache>
                <c:formatCode>General</c:formatCode>
                <c:ptCount val="15"/>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numCache>
            </c:numRef>
          </c:cat>
          <c:val>
            <c:numRef>
              <c:f>'Capacity (GW)'!$G$18:$G$32</c:f>
              <c:numCache>
                <c:formatCode>_(* #,##0.00_);_(* \(#,##0.00\);_(* "-"??_);_(@_)</c:formatCode>
                <c:ptCount val="15"/>
                <c:pt idx="0">
                  <c:v>1.288</c:v>
                </c:pt>
                <c:pt idx="1">
                  <c:v>1.615</c:v>
                </c:pt>
                <c:pt idx="2">
                  <c:v>2.069</c:v>
                </c:pt>
                <c:pt idx="3">
                  <c:v>2.635</c:v>
                </c:pt>
                <c:pt idx="4">
                  <c:v>3.723</c:v>
                </c:pt>
                <c:pt idx="5">
                  <c:v>5.112</c:v>
                </c:pt>
                <c:pt idx="6">
                  <c:v>6.66</c:v>
                </c:pt>
                <c:pt idx="7">
                  <c:v>9.183</c:v>
                </c:pt>
                <c:pt idx="8">
                  <c:v>15.844</c:v>
                </c:pt>
                <c:pt idx="9">
                  <c:v>23.185</c:v>
                </c:pt>
                <c:pt idx="10">
                  <c:v>40.336</c:v>
                </c:pt>
                <c:pt idx="11">
                  <c:v>70.469</c:v>
                </c:pt>
                <c:pt idx="12">
                  <c:v>100.504</c:v>
                </c:pt>
                <c:pt idx="13">
                  <c:v>138.257</c:v>
                </c:pt>
                <c:pt idx="14">
                  <c:v>178.391</c:v>
                </c:pt>
              </c:numCache>
            </c:numRef>
          </c:val>
        </c:ser>
        <c:ser>
          <c:idx val="4"/>
          <c:order val="4"/>
          <c:tx>
            <c:v>Geothermal</c:v>
          </c:tx>
          <c:cat>
            <c:numRef>
              <c:f>'Capacity (GW)'!$B$18:$B$32</c:f>
              <c:numCache>
                <c:formatCode>General</c:formatCode>
                <c:ptCount val="15"/>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numCache>
            </c:numRef>
          </c:cat>
          <c:val>
            <c:numRef>
              <c:f>'Capacity (GW)'!$H$18:$H$32</c:f>
              <c:numCache>
                <c:formatCode>_(* #,##0.00_);_(* \(#,##0.00\);_(* "-"??_);_(@_)</c:formatCode>
                <c:ptCount val="15"/>
                <c:pt idx="0">
                  <c:v>7.9954</c:v>
                </c:pt>
                <c:pt idx="1">
                  <c:v>8.14565</c:v>
                </c:pt>
                <c:pt idx="2">
                  <c:v>8.38265</c:v>
                </c:pt>
                <c:pt idx="3">
                  <c:v>8.52765</c:v>
                </c:pt>
                <c:pt idx="4">
                  <c:v>8.54075</c:v>
                </c:pt>
                <c:pt idx="5">
                  <c:v>8.751250000000001</c:v>
                </c:pt>
                <c:pt idx="6">
                  <c:v>9.335719999999998</c:v>
                </c:pt>
                <c:pt idx="7">
                  <c:v>9.64949</c:v>
                </c:pt>
                <c:pt idx="8">
                  <c:v>10.06229</c:v>
                </c:pt>
                <c:pt idx="9">
                  <c:v>10.39745</c:v>
                </c:pt>
                <c:pt idx="10">
                  <c:v>10.70295</c:v>
                </c:pt>
                <c:pt idx="11">
                  <c:v>10.84205</c:v>
                </c:pt>
                <c:pt idx="12">
                  <c:v>11.29078</c:v>
                </c:pt>
                <c:pt idx="13">
                  <c:v>11.7761</c:v>
                </c:pt>
                <c:pt idx="14">
                  <c:v>12.47364</c:v>
                </c:pt>
              </c:numCache>
            </c:numRef>
          </c:val>
        </c:ser>
        <c:ser>
          <c:idx val="5"/>
          <c:order val="5"/>
          <c:tx>
            <c:v>Cogeneration</c:v>
          </c:tx>
          <c:spPr>
            <a:ln w="25400">
              <a:noFill/>
            </a:ln>
          </c:spPr>
          <c:cat>
            <c:numRef>
              <c:f>'Capacity (GW)'!$B$18:$B$32</c:f>
              <c:numCache>
                <c:formatCode>General</c:formatCode>
                <c:ptCount val="15"/>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numCache>
            </c:numRef>
          </c:cat>
          <c:val>
            <c:numRef>
              <c:f>'Capacity (GW)'!$J$18:$J$32</c:f>
              <c:numCache>
                <c:formatCode>_(* #,##0.00_);_(* \(#,##0.00\);_(* "-"??_);_(@_)</c:formatCode>
                <c:ptCount val="15"/>
                <c:pt idx="0">
                  <c:v>223.2398455745038</c:v>
                </c:pt>
                <c:pt idx="1">
                  <c:v>236.9173190011406</c:v>
                </c:pt>
                <c:pt idx="2">
                  <c:v>252.9338303177385</c:v>
                </c:pt>
                <c:pt idx="3">
                  <c:v>264.4070441343364</c:v>
                </c:pt>
                <c:pt idx="4">
                  <c:v>279.5945429509343</c:v>
                </c:pt>
                <c:pt idx="5">
                  <c:v>296.4234580175322</c:v>
                </c:pt>
                <c:pt idx="6">
                  <c:v>314.325</c:v>
                </c:pt>
                <c:pt idx="7">
                  <c:v>338.7147702468333</c:v>
                </c:pt>
                <c:pt idx="8">
                  <c:v>362.5490836037993</c:v>
                </c:pt>
                <c:pt idx="9">
                  <c:v>385.2183614500752</c:v>
                </c:pt>
                <c:pt idx="10">
                  <c:v>418.6022748485755</c:v>
                </c:pt>
                <c:pt idx="11">
                  <c:v>451.8428115458893</c:v>
                </c:pt>
                <c:pt idx="12">
                  <c:v>484.33798708276</c:v>
                </c:pt>
                <c:pt idx="13">
                  <c:v>524.965977969699</c:v>
                </c:pt>
                <c:pt idx="14">
                  <c:v>561.9927042943202</c:v>
                </c:pt>
              </c:numCache>
            </c:numRef>
          </c:val>
        </c:ser>
        <c:dLbls>
          <c:showLegendKey val="0"/>
          <c:showVal val="0"/>
          <c:showCatName val="0"/>
          <c:showSerName val="0"/>
          <c:showPercent val="0"/>
          <c:showBubbleSize val="0"/>
        </c:dLbls>
        <c:axId val="2136720312"/>
        <c:axId val="-2112465864"/>
      </c:areaChart>
      <c:lineChart>
        <c:grouping val="standard"/>
        <c:varyColors val="0"/>
        <c:ser>
          <c:idx val="6"/>
          <c:order val="6"/>
          <c:tx>
            <c:v>Nuclear</c:v>
          </c:tx>
          <c:spPr>
            <a:ln>
              <a:solidFill>
                <a:schemeClr val="tx1"/>
              </a:solidFill>
            </a:ln>
          </c:spPr>
          <c:marker>
            <c:symbol val="none"/>
          </c:marker>
          <c:val>
            <c:numRef>
              <c:f>'Capacity (GW)'!$C$18:$C$32</c:f>
              <c:numCache>
                <c:formatCode>_(* #,##0.00_);_(* \(#,##0.00\);_(* "-"??_);_(@_)</c:formatCode>
                <c:ptCount val="15"/>
                <c:pt idx="0">
                  <c:v>349.98</c:v>
                </c:pt>
                <c:pt idx="1">
                  <c:v>352.72</c:v>
                </c:pt>
                <c:pt idx="2">
                  <c:v>357.48</c:v>
                </c:pt>
                <c:pt idx="3">
                  <c:v>359.83</c:v>
                </c:pt>
                <c:pt idx="4">
                  <c:v>364.67</c:v>
                </c:pt>
                <c:pt idx="5">
                  <c:v>368.12</c:v>
                </c:pt>
                <c:pt idx="6">
                  <c:v>369.58</c:v>
                </c:pt>
                <c:pt idx="7">
                  <c:v>371.71</c:v>
                </c:pt>
                <c:pt idx="8">
                  <c:v>371.56</c:v>
                </c:pt>
                <c:pt idx="9">
                  <c:v>370.7</c:v>
                </c:pt>
                <c:pt idx="10">
                  <c:v>375.28</c:v>
                </c:pt>
                <c:pt idx="11">
                  <c:v>368.92</c:v>
                </c:pt>
                <c:pt idx="12">
                  <c:v>373.26</c:v>
                </c:pt>
                <c:pt idx="13">
                  <c:v>371.74</c:v>
                </c:pt>
                <c:pt idx="14">
                  <c:v>376.22</c:v>
                </c:pt>
              </c:numCache>
            </c:numRef>
          </c:val>
          <c:smooth val="0"/>
        </c:ser>
        <c:dLbls>
          <c:showLegendKey val="0"/>
          <c:showVal val="0"/>
          <c:showCatName val="0"/>
          <c:showSerName val="0"/>
          <c:showPercent val="0"/>
          <c:showBubbleSize val="0"/>
        </c:dLbls>
        <c:marker val="1"/>
        <c:smooth val="0"/>
        <c:axId val="2136720312"/>
        <c:axId val="-2112465864"/>
      </c:lineChart>
      <c:catAx>
        <c:axId val="2136720312"/>
        <c:scaling>
          <c:orientation val="minMax"/>
        </c:scaling>
        <c:delete val="0"/>
        <c:axPos val="b"/>
        <c:numFmt formatCode="General" sourceLinked="1"/>
        <c:majorTickMark val="out"/>
        <c:minorTickMark val="none"/>
        <c:tickLblPos val="nextTo"/>
        <c:crossAx val="-2112465864"/>
        <c:crosses val="autoZero"/>
        <c:auto val="1"/>
        <c:lblAlgn val="ctr"/>
        <c:lblOffset val="100"/>
        <c:noMultiLvlLbl val="0"/>
      </c:catAx>
      <c:valAx>
        <c:axId val="-2112465864"/>
        <c:scaling>
          <c:orientation val="minMax"/>
        </c:scaling>
        <c:delete val="0"/>
        <c:axPos val="l"/>
        <c:title>
          <c:tx>
            <c:rich>
              <a:bodyPr rot="-5400000" vert="horz"/>
              <a:lstStyle/>
              <a:p>
                <a:pPr>
                  <a:defRPr/>
                </a:pPr>
                <a:r>
                  <a:rPr lang="en-US"/>
                  <a:t>GW</a:t>
                </a:r>
              </a:p>
            </c:rich>
          </c:tx>
          <c:layout/>
          <c:overlay val="0"/>
        </c:title>
        <c:numFmt formatCode="0" sourceLinked="0"/>
        <c:majorTickMark val="out"/>
        <c:minorTickMark val="none"/>
        <c:tickLblPos val="nextTo"/>
        <c:crossAx val="2136720312"/>
        <c:crosses val="autoZero"/>
        <c:crossBetween val="between"/>
      </c:valAx>
    </c:plotArea>
    <c:legend>
      <c:legendPos val="r"/>
      <c:layout/>
      <c:overlay val="0"/>
    </c:legend>
    <c:plotVisOnly val="1"/>
    <c:dispBlanksAs val="zero"/>
    <c:showDLblsOverMax val="0"/>
  </c:chart>
  <c:txPr>
    <a:bodyPr/>
    <a:lstStyle/>
    <a:p>
      <a:pPr>
        <a:defRPr sz="1800">
          <a:latin typeface="Helvetica Neue"/>
          <a:cs typeface="Helvetica Neue"/>
        </a:defRPr>
      </a:pPr>
      <a:endParaRPr lang="en-US"/>
    </a:p>
  </c:txPr>
  <c:printSettings>
    <c:headerFooter/>
    <c:pageMargins b="1.0" l="0.75" r="0.75" t="1.0" header="0.5" footer="0.5"/>
    <c:pageSetup orientation="portrait" horizontalDpi="-4" verticalDpi="-4"/>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2400"/>
            </a:pPr>
            <a:r>
              <a:rPr lang="en-US" sz="2400"/>
              <a:t>Worldwide low- or no-carbon electricity generation</a:t>
            </a:r>
          </a:p>
        </c:rich>
      </c:tx>
      <c:layout/>
      <c:overlay val="0"/>
    </c:title>
    <c:autoTitleDeleted val="0"/>
    <c:plotArea>
      <c:layout/>
      <c:areaChart>
        <c:grouping val="stacked"/>
        <c:varyColors val="0"/>
        <c:ser>
          <c:idx val="0"/>
          <c:order val="0"/>
          <c:tx>
            <c:strRef>
              <c:f>'Generation (TWh)'!$D$6</c:f>
              <c:strCache>
                <c:ptCount val="1"/>
                <c:pt idx="0">
                  <c:v>Wind</c:v>
                </c:pt>
              </c:strCache>
            </c:strRef>
          </c:tx>
          <c:cat>
            <c:numRef>
              <c:f>'Capacity (GW)'!$B$18:$B$32</c:f>
              <c:numCache>
                <c:formatCode>General</c:formatCode>
                <c:ptCount val="15"/>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numCache>
            </c:numRef>
          </c:cat>
          <c:val>
            <c:numRef>
              <c:f>'Generation (TWh)'!$D$19:$D$33</c:f>
              <c:numCache>
                <c:formatCode>_(* #,##0.00_);_(* \(#,##0.00\);_(* "-"??_);_(@_)</c:formatCode>
                <c:ptCount val="15"/>
                <c:pt idx="0">
                  <c:v>29.5</c:v>
                </c:pt>
                <c:pt idx="1">
                  <c:v>38.5</c:v>
                </c:pt>
                <c:pt idx="2">
                  <c:v>53.0</c:v>
                </c:pt>
                <c:pt idx="3">
                  <c:v>63.4</c:v>
                </c:pt>
                <c:pt idx="4">
                  <c:v>85.7</c:v>
                </c:pt>
                <c:pt idx="5">
                  <c:v>104.4</c:v>
                </c:pt>
                <c:pt idx="6">
                  <c:v>133.2</c:v>
                </c:pt>
                <c:pt idx="7">
                  <c:v>170.7</c:v>
                </c:pt>
                <c:pt idx="8">
                  <c:v>219.2</c:v>
                </c:pt>
                <c:pt idx="9">
                  <c:v>277.8</c:v>
                </c:pt>
                <c:pt idx="10">
                  <c:v>343.4</c:v>
                </c:pt>
                <c:pt idx="11">
                  <c:v>436.5</c:v>
                </c:pt>
                <c:pt idx="12">
                  <c:v>525.1</c:v>
                </c:pt>
                <c:pt idx="13">
                  <c:v>640.7</c:v>
                </c:pt>
                <c:pt idx="14">
                  <c:v>706.2</c:v>
                </c:pt>
              </c:numCache>
            </c:numRef>
          </c:val>
        </c:ser>
        <c:ser>
          <c:idx val="1"/>
          <c:order val="1"/>
          <c:tx>
            <c:strRef>
              <c:f>'Generation (TWh)'!$E$6</c:f>
              <c:strCache>
                <c:ptCount val="1"/>
                <c:pt idx="0">
                  <c:v>Small Hydro</c:v>
                </c:pt>
              </c:strCache>
            </c:strRef>
          </c:tx>
          <c:cat>
            <c:numRef>
              <c:f>'Capacity (GW)'!$B$18:$B$32</c:f>
              <c:numCache>
                <c:formatCode>General</c:formatCode>
                <c:ptCount val="15"/>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numCache>
            </c:numRef>
          </c:cat>
          <c:val>
            <c:numRef>
              <c:f>'Generation (TWh)'!$E$19:$E$33</c:f>
              <c:numCache>
                <c:formatCode>_(* #,##0.00_);_(* \(#,##0.00\);_(* "-"??_);_(@_)</c:formatCode>
                <c:ptCount val="15"/>
                <c:pt idx="0">
                  <c:v>477.412910208</c:v>
                </c:pt>
                <c:pt idx="1">
                  <c:v>479.090161584</c:v>
                </c:pt>
                <c:pt idx="2">
                  <c:v>486.699172308</c:v>
                </c:pt>
                <c:pt idx="3">
                  <c:v>497.0186039340001</c:v>
                </c:pt>
                <c:pt idx="4">
                  <c:v>508.837319604</c:v>
                </c:pt>
                <c:pt idx="5">
                  <c:v>525.12376743</c:v>
                </c:pt>
                <c:pt idx="6">
                  <c:v>542.429543268</c:v>
                </c:pt>
                <c:pt idx="7">
                  <c:v>561.8891516040001</c:v>
                </c:pt>
                <c:pt idx="8">
                  <c:v>580.744633518</c:v>
                </c:pt>
                <c:pt idx="9">
                  <c:v>600.3915099119999</c:v>
                </c:pt>
                <c:pt idx="10">
                  <c:v>619.5138989940001</c:v>
                </c:pt>
                <c:pt idx="11">
                  <c:v>639.473379714</c:v>
                </c:pt>
                <c:pt idx="12">
                  <c:v>656.323472574</c:v>
                </c:pt>
                <c:pt idx="13">
                  <c:v>674.25998841</c:v>
                </c:pt>
                <c:pt idx="14">
                  <c:v>692.368247718</c:v>
                </c:pt>
              </c:numCache>
            </c:numRef>
          </c:val>
        </c:ser>
        <c:ser>
          <c:idx val="2"/>
          <c:order val="2"/>
          <c:tx>
            <c:strRef>
              <c:f>'Generation (TWh)'!$F$6</c:f>
              <c:strCache>
                <c:ptCount val="1"/>
                <c:pt idx="0">
                  <c:v>Biomass</c:v>
                </c:pt>
              </c:strCache>
            </c:strRef>
          </c:tx>
          <c:cat>
            <c:numRef>
              <c:f>'Capacity (GW)'!$B$18:$B$32</c:f>
              <c:numCache>
                <c:formatCode>General</c:formatCode>
                <c:ptCount val="15"/>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numCache>
            </c:numRef>
          </c:cat>
          <c:val>
            <c:numRef>
              <c:f>'Generation (TWh)'!$F$19:$F$33</c:f>
              <c:numCache>
                <c:formatCode>_(* #,##0.00_);_(* \(#,##0.00\);_(* "-"??_);_(@_)</c:formatCode>
                <c:ptCount val="15"/>
                <c:pt idx="0">
                  <c:v>216.986402178</c:v>
                </c:pt>
                <c:pt idx="1">
                  <c:v>218.2433874075</c:v>
                </c:pt>
                <c:pt idx="2">
                  <c:v>224.242489359</c:v>
                </c:pt>
                <c:pt idx="3">
                  <c:v>234.0244972485</c:v>
                </c:pt>
                <c:pt idx="4">
                  <c:v>245.466807453</c:v>
                </c:pt>
                <c:pt idx="5">
                  <c:v>255.2466063105</c:v>
                </c:pt>
                <c:pt idx="6">
                  <c:v>270.930380679</c:v>
                </c:pt>
                <c:pt idx="7">
                  <c:v>293.326344801</c:v>
                </c:pt>
                <c:pt idx="8">
                  <c:v>315.029992158</c:v>
                </c:pt>
                <c:pt idx="9">
                  <c:v>341.3578338135</c:v>
                </c:pt>
                <c:pt idx="10">
                  <c:v>374.055419241</c:v>
                </c:pt>
                <c:pt idx="11">
                  <c:v>402.3939095504999</c:v>
                </c:pt>
                <c:pt idx="12">
                  <c:v>446.9966894295</c:v>
                </c:pt>
                <c:pt idx="13">
                  <c:v>481.5864181484999</c:v>
                </c:pt>
                <c:pt idx="14">
                  <c:v>533.7905998635</c:v>
                </c:pt>
              </c:numCache>
            </c:numRef>
          </c:val>
        </c:ser>
        <c:ser>
          <c:idx val="3"/>
          <c:order val="3"/>
          <c:tx>
            <c:strRef>
              <c:f>'Generation (TWh)'!$G$6</c:f>
              <c:strCache>
                <c:ptCount val="1"/>
                <c:pt idx="0">
                  <c:v>Photovoltaic</c:v>
                </c:pt>
              </c:strCache>
            </c:strRef>
          </c:tx>
          <c:cat>
            <c:numRef>
              <c:f>'Capacity (GW)'!$B$18:$B$32</c:f>
              <c:numCache>
                <c:formatCode>General</c:formatCode>
                <c:ptCount val="15"/>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numCache>
            </c:numRef>
          </c:cat>
          <c:val>
            <c:numRef>
              <c:f>'Generation (TWh)'!$G$19:$G$33</c:f>
              <c:numCache>
                <c:formatCode>_(* #,##0.00_);_(* \(#,##0.00\);_(* "-"??_);_(@_)</c:formatCode>
                <c:ptCount val="15"/>
                <c:pt idx="0">
                  <c:v>1.0</c:v>
                </c:pt>
                <c:pt idx="1">
                  <c:v>1.3</c:v>
                </c:pt>
                <c:pt idx="2">
                  <c:v>1.6</c:v>
                </c:pt>
                <c:pt idx="3">
                  <c:v>2.0</c:v>
                </c:pt>
                <c:pt idx="4">
                  <c:v>2.6</c:v>
                </c:pt>
                <c:pt idx="5">
                  <c:v>3.7</c:v>
                </c:pt>
                <c:pt idx="6">
                  <c:v>5.0</c:v>
                </c:pt>
                <c:pt idx="7">
                  <c:v>6.8</c:v>
                </c:pt>
                <c:pt idx="8">
                  <c:v>11.4</c:v>
                </c:pt>
                <c:pt idx="9">
                  <c:v>19.3</c:v>
                </c:pt>
                <c:pt idx="10">
                  <c:v>31.4</c:v>
                </c:pt>
                <c:pt idx="11">
                  <c:v>60.6</c:v>
                </c:pt>
                <c:pt idx="12">
                  <c:v>96.7</c:v>
                </c:pt>
                <c:pt idx="13">
                  <c:v>134.5</c:v>
                </c:pt>
                <c:pt idx="14">
                  <c:v>185.9</c:v>
                </c:pt>
              </c:numCache>
            </c:numRef>
          </c:val>
        </c:ser>
        <c:ser>
          <c:idx val="4"/>
          <c:order val="4"/>
          <c:tx>
            <c:strRef>
              <c:f>'Generation (TWh)'!$H$6</c:f>
              <c:strCache>
                <c:ptCount val="1"/>
                <c:pt idx="0">
                  <c:v>Geothermal</c:v>
                </c:pt>
              </c:strCache>
            </c:strRef>
          </c:tx>
          <c:cat>
            <c:numRef>
              <c:f>'Capacity (GW)'!$B$18:$B$32</c:f>
              <c:numCache>
                <c:formatCode>General</c:formatCode>
                <c:ptCount val="15"/>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numCache>
            </c:numRef>
          </c:cat>
          <c:val>
            <c:numRef>
              <c:f>'Generation (TWh)'!$H$19:$H$33</c:f>
              <c:numCache>
                <c:formatCode>_(* #,##0.00_);_(* \(#,##0.00\);_(* "-"??_);_(@_)</c:formatCode>
                <c:ptCount val="15"/>
                <c:pt idx="0">
                  <c:v>49.762250244</c:v>
                </c:pt>
                <c:pt idx="1">
                  <c:v>50.4185356809</c:v>
                </c:pt>
                <c:pt idx="2">
                  <c:v>51.9292387548</c:v>
                </c:pt>
                <c:pt idx="3">
                  <c:v>53.7264563472</c:v>
                </c:pt>
                <c:pt idx="4">
                  <c:v>54.8900529957</c:v>
                </c:pt>
                <c:pt idx="5">
                  <c:v>55.743848685</c:v>
                </c:pt>
                <c:pt idx="6">
                  <c:v>58.18376533473</c:v>
                </c:pt>
                <c:pt idx="7">
                  <c:v>62.05846045320001</c:v>
                </c:pt>
                <c:pt idx="8">
                  <c:v>64.80299704932001</c:v>
                </c:pt>
                <c:pt idx="9">
                  <c:v>67.95057048192</c:v>
                </c:pt>
                <c:pt idx="10">
                  <c:v>67.2</c:v>
                </c:pt>
                <c:pt idx="11">
                  <c:v>69.0</c:v>
                </c:pt>
                <c:pt idx="12">
                  <c:v>72.0</c:v>
                </c:pt>
                <c:pt idx="13">
                  <c:v>76.0</c:v>
                </c:pt>
                <c:pt idx="14">
                  <c:v>74.0</c:v>
                </c:pt>
              </c:numCache>
            </c:numRef>
          </c:val>
        </c:ser>
        <c:ser>
          <c:idx val="5"/>
          <c:order val="5"/>
          <c:tx>
            <c:strRef>
              <c:f>'Generation (TWh)'!$J$6</c:f>
              <c:strCache>
                <c:ptCount val="1"/>
                <c:pt idx="0">
                  <c:v>Cogeneration</c:v>
                </c:pt>
              </c:strCache>
            </c:strRef>
          </c:tx>
          <c:spPr>
            <a:ln w="25400">
              <a:noFill/>
            </a:ln>
          </c:spPr>
          <c:cat>
            <c:numRef>
              <c:f>'Capacity (GW)'!$B$18:$B$32</c:f>
              <c:numCache>
                <c:formatCode>General</c:formatCode>
                <c:ptCount val="15"/>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numCache>
            </c:numRef>
          </c:cat>
          <c:val>
            <c:numRef>
              <c:f>'Generation (TWh)'!$J$19:$J$33</c:f>
              <c:numCache>
                <c:formatCode>_(* #,##0.00_);_(* \(#,##0.00\);_(* "-"??_);_(@_)</c:formatCode>
                <c:ptCount val="15"/>
                <c:pt idx="0">
                  <c:v>1554.92234579257</c:v>
                </c:pt>
                <c:pt idx="1">
                  <c:v>1645.148786197436</c:v>
                </c:pt>
                <c:pt idx="2">
                  <c:v>1748.667609613059</c:v>
                </c:pt>
                <c:pt idx="3">
                  <c:v>1856.675325845539</c:v>
                </c:pt>
                <c:pt idx="4">
                  <c:v>1946.690557501603</c:v>
                </c:pt>
                <c:pt idx="5">
                  <c:v>2059.903641965609</c:v>
                </c:pt>
                <c:pt idx="6">
                  <c:v>2183.998429131628</c:v>
                </c:pt>
                <c:pt idx="7">
                  <c:v>2325.705552878634</c:v>
                </c:pt>
                <c:pt idx="8">
                  <c:v>2501.72464302818</c:v>
                </c:pt>
                <c:pt idx="9">
                  <c:v>2672.605971116403</c:v>
                </c:pt>
                <c:pt idx="10">
                  <c:v>2856.587582222495</c:v>
                </c:pt>
                <c:pt idx="11">
                  <c:v>3098.636138965674</c:v>
                </c:pt>
                <c:pt idx="12">
                  <c:v>3338.551693929863</c:v>
                </c:pt>
                <c:pt idx="13">
                  <c:v>3589.167234467254</c:v>
                </c:pt>
                <c:pt idx="14">
                  <c:v>3877.52055023967</c:v>
                </c:pt>
              </c:numCache>
            </c:numRef>
          </c:val>
        </c:ser>
        <c:dLbls>
          <c:showLegendKey val="0"/>
          <c:showVal val="0"/>
          <c:showCatName val="0"/>
          <c:showSerName val="0"/>
          <c:showPercent val="0"/>
          <c:showBubbleSize val="0"/>
        </c:dLbls>
        <c:axId val="-2113919256"/>
        <c:axId val="-2112386424"/>
      </c:areaChart>
      <c:lineChart>
        <c:grouping val="standard"/>
        <c:varyColors val="0"/>
        <c:ser>
          <c:idx val="6"/>
          <c:order val="6"/>
          <c:tx>
            <c:strRef>
              <c:f>'Generation (TWh)'!$C$6</c:f>
              <c:strCache>
                <c:ptCount val="1"/>
                <c:pt idx="0">
                  <c:v>Nuclear </c:v>
                </c:pt>
              </c:strCache>
            </c:strRef>
          </c:tx>
          <c:spPr>
            <a:ln>
              <a:solidFill>
                <a:schemeClr val="tx1"/>
              </a:solidFill>
            </a:ln>
          </c:spPr>
          <c:marker>
            <c:symbol val="none"/>
          </c:marker>
          <c:val>
            <c:numRef>
              <c:f>'Generation (TWh)'!$C$19:$C$33</c:f>
              <c:numCache>
                <c:formatCode>_(* #,##0.00_);_(* \(#,##0.00\);_(* "-"??_);_(@_)</c:formatCode>
                <c:ptCount val="15"/>
                <c:pt idx="0">
                  <c:v>2443.85</c:v>
                </c:pt>
                <c:pt idx="1">
                  <c:v>2511.09</c:v>
                </c:pt>
                <c:pt idx="2">
                  <c:v>2553.18</c:v>
                </c:pt>
                <c:pt idx="3">
                  <c:v>2504.78</c:v>
                </c:pt>
                <c:pt idx="4">
                  <c:v>2616.24</c:v>
                </c:pt>
                <c:pt idx="5">
                  <c:v>2626.34</c:v>
                </c:pt>
                <c:pt idx="6">
                  <c:v>2660.85</c:v>
                </c:pt>
                <c:pt idx="7">
                  <c:v>2608.18</c:v>
                </c:pt>
                <c:pt idx="8">
                  <c:v>2597.81</c:v>
                </c:pt>
                <c:pt idx="9">
                  <c:v>2558.06</c:v>
                </c:pt>
                <c:pt idx="10">
                  <c:v>2629.82</c:v>
                </c:pt>
                <c:pt idx="11">
                  <c:v>2517.98</c:v>
                </c:pt>
                <c:pt idx="12">
                  <c:v>2346.19</c:v>
                </c:pt>
                <c:pt idx="13">
                  <c:v>2358.86</c:v>
                </c:pt>
                <c:pt idx="14">
                  <c:v>2410.37</c:v>
                </c:pt>
              </c:numCache>
            </c:numRef>
          </c:val>
          <c:smooth val="0"/>
        </c:ser>
        <c:dLbls>
          <c:showLegendKey val="0"/>
          <c:showVal val="0"/>
          <c:showCatName val="0"/>
          <c:showSerName val="0"/>
          <c:showPercent val="0"/>
          <c:showBubbleSize val="0"/>
        </c:dLbls>
        <c:marker val="1"/>
        <c:smooth val="0"/>
        <c:axId val="-2113919256"/>
        <c:axId val="-2112386424"/>
      </c:lineChart>
      <c:catAx>
        <c:axId val="-2113919256"/>
        <c:scaling>
          <c:orientation val="minMax"/>
        </c:scaling>
        <c:delete val="0"/>
        <c:axPos val="b"/>
        <c:numFmt formatCode="General" sourceLinked="1"/>
        <c:majorTickMark val="out"/>
        <c:minorTickMark val="none"/>
        <c:tickLblPos val="nextTo"/>
        <c:crossAx val="-2112386424"/>
        <c:crosses val="autoZero"/>
        <c:auto val="1"/>
        <c:lblAlgn val="ctr"/>
        <c:lblOffset val="100"/>
        <c:noMultiLvlLbl val="0"/>
      </c:catAx>
      <c:valAx>
        <c:axId val="-2112386424"/>
        <c:scaling>
          <c:orientation val="minMax"/>
        </c:scaling>
        <c:delete val="0"/>
        <c:axPos val="l"/>
        <c:title>
          <c:tx>
            <c:rich>
              <a:bodyPr rot="-5400000" vert="horz"/>
              <a:lstStyle/>
              <a:p>
                <a:pPr>
                  <a:defRPr/>
                </a:pPr>
                <a:r>
                  <a:rPr lang="en-US"/>
                  <a:t>TWh/y</a:t>
                </a:r>
              </a:p>
            </c:rich>
          </c:tx>
          <c:layout/>
          <c:overlay val="0"/>
        </c:title>
        <c:numFmt formatCode="0" sourceLinked="0"/>
        <c:majorTickMark val="out"/>
        <c:minorTickMark val="none"/>
        <c:tickLblPos val="nextTo"/>
        <c:crossAx val="-2113919256"/>
        <c:crosses val="autoZero"/>
        <c:crossBetween val="between"/>
      </c:valAx>
    </c:plotArea>
    <c:legend>
      <c:legendPos val="r"/>
      <c:layout/>
      <c:overlay val="0"/>
    </c:legend>
    <c:plotVisOnly val="1"/>
    <c:dispBlanksAs val="zero"/>
    <c:showDLblsOverMax val="0"/>
  </c:chart>
  <c:txPr>
    <a:bodyPr/>
    <a:lstStyle/>
    <a:p>
      <a:pPr>
        <a:defRPr sz="1800">
          <a:latin typeface="Helvetica Neue"/>
          <a:cs typeface="Helvetica Neue"/>
        </a:defRPr>
      </a:pPr>
      <a:endParaRPr lang="en-US"/>
    </a:p>
  </c:txPr>
  <c:printSettings>
    <c:headerFooter/>
    <c:pageMargins b="1.0" l="0.75" r="0.75" t="1.0" header="0.5" footer="0.5"/>
    <c:pageSetup orientation="portrait" horizontalDpi="-4" verticalDpi="-4"/>
  </c:printSettings>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chartsheets/sheet1.xml><?xml version="1.0" encoding="utf-8"?>
<chartsheet xmlns="http://schemas.openxmlformats.org/spreadsheetml/2006/main" xmlns:r="http://schemas.openxmlformats.org/officeDocument/2006/relationships">
  <sheetPr/>
  <sheetViews>
    <sheetView zoomScale="125" workbookViewId="0"/>
  </sheetViews>
  <pageMargins left="0.75" right="0.75" top="1" bottom="1" header="0.5" footer="0.5"/>
  <pageSetup orientation="landscape" horizontalDpi="4294967292" verticalDpi="4294967292"/>
  <drawing r:id="rId1"/>
</chartsheet>
</file>

<file path=xl/chartsheets/sheet2.xml><?xml version="1.0" encoding="utf-8"?>
<chartsheet xmlns="http://schemas.openxmlformats.org/spreadsheetml/2006/main" xmlns:r="http://schemas.openxmlformats.org/officeDocument/2006/relationships">
  <sheetPr/>
  <sheetViews>
    <sheetView zoomScale="125" workbookViewId="0"/>
  </sheetViews>
  <pageMargins left="0.75" right="0.75" top="1" bottom="1" header="0.5" footer="0.5"/>
  <pageSetup orientation="landscape" horizontalDpi="4294967292" verticalDpi="4294967292"/>
  <drawing r:id="rId1"/>
</chartsheet>
</file>

<file path=xl/chartsheets/sheet3.xml><?xml version="1.0" encoding="utf-8"?>
<chartsheet xmlns="http://schemas.openxmlformats.org/spreadsheetml/2006/main" xmlns:r="http://schemas.openxmlformats.org/officeDocument/2006/relationships">
  <sheetPr/>
  <sheetViews>
    <sheetView zoomScale="125" workbookViewId="0"/>
  </sheetViews>
  <pageMargins left="0.75" right="0.75" top="1" bottom="1" header="0.5" footer="0.5"/>
  <pageSetup orientation="landscape" horizontalDpi="4294967292" verticalDpi="4294967292"/>
  <drawing r:id="rId1"/>
</chartsheet>
</file>

<file path=xl/chartsheets/sheet4.xml><?xml version="1.0" encoding="utf-8"?>
<chartsheet xmlns="http://schemas.openxmlformats.org/spreadsheetml/2006/main" xmlns:r="http://schemas.openxmlformats.org/officeDocument/2006/relationships">
  <sheetPr/>
  <sheetViews>
    <sheetView zoomScale="125" workbookViewId="0"/>
  </sheetViews>
  <pageMargins left="0.75" right="0.75" top="1" bottom="1" header="0.5" footer="0.5"/>
  <pageSetup orientation="landscape" horizontalDpi="4294967292" verticalDpi="4294967292"/>
  <drawing r:id="rId1"/>
</chartsheet>
</file>

<file path=xl/chartsheets/sheet5.xml><?xml version="1.0" encoding="utf-8"?>
<chartsheet xmlns="http://schemas.openxmlformats.org/spreadsheetml/2006/main" xmlns:r="http://schemas.openxmlformats.org/officeDocument/2006/relationships">
  <sheetPr/>
  <sheetViews>
    <sheetView zoomScale="125" workbookViewId="0"/>
  </sheetViews>
  <pageMargins left="0.75" right="0.75" top="1" bottom="1" header="0.5" footer="0.5"/>
  <pageSetup orientation="landscape" horizontalDpi="4294967292" verticalDpi="4294967292"/>
  <drawing r:id="rId1"/>
</chartsheet>
</file>

<file path=xl/chartsheets/sheet6.xml><?xml version="1.0" encoding="utf-8"?>
<chartsheet xmlns="http://schemas.openxmlformats.org/spreadsheetml/2006/main" xmlns:r="http://schemas.openxmlformats.org/officeDocument/2006/relationships">
  <sheetPr>
    <tabColor theme="3" tint="0.39997558519241921"/>
  </sheetPr>
  <sheetViews>
    <sheetView zoomScale="143" workbookViewId="0" zoomToFit="1"/>
  </sheetViews>
  <pageMargins left="0.75" right="0.75" top="1" bottom="1" header="0.5" footer="0.5"/>
  <pageSetup orientation="landscape" horizontalDpi="4294967292" verticalDpi="4294967292"/>
  <drawing r:id="rId1"/>
</chartsheet>
</file>

<file path=xl/drawings/_rels/drawing1.xml.rels><?xml version="1.0" encoding="UTF-8" standalone="yes"?>
<Relationships xmlns="http://schemas.openxmlformats.org/package/2006/relationships"><Relationship Id="rId1" Type="http://schemas.openxmlformats.org/officeDocument/2006/relationships/hyperlink" Target="file://localhost/MegaByte/RMI/Macintosh%20HD/Desktop/+$E$29+$D$29+$D$29+$F$29+$E$14" TargetMode="External"/><Relationship Id="rId2"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22</xdr:row>
      <xdr:rowOff>114300</xdr:rowOff>
    </xdr:from>
    <xdr:to>
      <xdr:col>4</xdr:col>
      <xdr:colOff>835660</xdr:colOff>
      <xdr:row>27</xdr:row>
      <xdr:rowOff>114300</xdr:rowOff>
    </xdr:to>
    <xdr:pic>
      <xdr:nvPicPr>
        <xdr:cNvPr id="2" name="Picture -1022">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4889500" y="3517900"/>
          <a:ext cx="838200" cy="82550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8575040" cy="583184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0.80325</cdr:x>
      <cdr:y>0.59075</cdr:y>
    </cdr:from>
    <cdr:to>
      <cdr:x>0.80925</cdr:x>
      <cdr:y>0.5995</cdr:y>
    </cdr:to>
    <cdr:sp macro="" textlink="">
      <cdr:nvSpPr>
        <cdr:cNvPr id="311300" name="Text Box 4"/>
        <cdr:cNvSpPr txBox="1">
          <a:spLocks xmlns:a="http://schemas.openxmlformats.org/drawingml/2006/main" noChangeArrowheads="1"/>
        </cdr:cNvSpPr>
      </cdr:nvSpPr>
      <cdr:spPr bwMode="auto">
        <a:xfrm xmlns:a="http://schemas.openxmlformats.org/drawingml/2006/main">
          <a:off x="6885861" y="3443659"/>
          <a:ext cx="51435" cy="5100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000" b="0" i="0" strike="noStrike">
              <a:solidFill>
                <a:srgbClr val="000000"/>
              </a:solidFill>
              <a:latin typeface="Verdana"/>
              <a:ea typeface="Verdana"/>
              <a:cs typeface="Verdana"/>
            </a:rPr>
            <a:t>Bio</a:t>
          </a:r>
        </a:p>
      </cdr:txBody>
    </cdr:sp>
  </cdr:relSizeAnchor>
  <cdr:relSizeAnchor xmlns:cdr="http://schemas.openxmlformats.org/drawingml/2006/chartDrawing">
    <cdr:from>
      <cdr:x>0.70286</cdr:x>
      <cdr:y>0.54918</cdr:y>
    </cdr:from>
    <cdr:to>
      <cdr:x>0.71234</cdr:x>
      <cdr:y>0.99879</cdr:y>
    </cdr:to>
    <cdr:sp macro="" textlink="">
      <cdr:nvSpPr>
        <cdr:cNvPr id="311303" name="Text Box 7"/>
        <cdr:cNvSpPr txBox="1">
          <a:spLocks xmlns:a="http://schemas.openxmlformats.org/drawingml/2006/main" noChangeArrowheads="1"/>
        </cdr:cNvSpPr>
      </cdr:nvSpPr>
      <cdr:spPr bwMode="auto">
        <a:xfrm xmlns:a="http://schemas.openxmlformats.org/drawingml/2006/main">
          <a:off x="6104563" y="3368927"/>
          <a:ext cx="27700" cy="1769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endParaRPr lang="en-US" sz="1000" b="1" i="0" strike="noStrike">
            <a:solidFill>
              <a:srgbClr val="6711FF"/>
            </a:solidFill>
            <a:latin typeface="Verdana"/>
            <a:ea typeface="Verdana"/>
            <a:cs typeface="Verdana"/>
          </a:endParaRPr>
        </a:p>
      </cdr:txBody>
    </cdr:sp>
  </cdr:relSizeAnchor>
  <cdr:relSizeAnchor xmlns:cdr="http://schemas.openxmlformats.org/drawingml/2006/chartDrawing">
    <cdr:from>
      <cdr:x>0.4995</cdr:x>
      <cdr:y>0.469</cdr:y>
    </cdr:from>
    <cdr:to>
      <cdr:x>0.5115</cdr:x>
      <cdr:y>0.505</cdr:y>
    </cdr:to>
    <cdr:sp macro="" textlink="">
      <cdr:nvSpPr>
        <cdr:cNvPr id="311309" name="Text Box 13"/>
        <cdr:cNvSpPr txBox="1">
          <a:spLocks xmlns:a="http://schemas.openxmlformats.org/drawingml/2006/main" noChangeArrowheads="1"/>
        </cdr:cNvSpPr>
      </cdr:nvSpPr>
      <cdr:spPr bwMode="auto">
        <a:xfrm xmlns:a="http://schemas.openxmlformats.org/drawingml/2006/main">
          <a:off x="4286250" y="2722283"/>
          <a:ext cx="100727" cy="21277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0.42225</cdr:x>
      <cdr:y>0.89725</cdr:y>
    </cdr:from>
    <cdr:to>
      <cdr:x>0.42225</cdr:x>
      <cdr:y>0.92575</cdr:y>
    </cdr:to>
    <cdr:sp macro="" textlink="">
      <cdr:nvSpPr>
        <cdr:cNvPr id="311317" name="Text Box 21"/>
        <cdr:cNvSpPr txBox="1">
          <a:spLocks xmlns:a="http://schemas.openxmlformats.org/drawingml/2006/main" noChangeArrowheads="1"/>
        </cdr:cNvSpPr>
      </cdr:nvSpPr>
      <cdr:spPr bwMode="auto">
        <a:xfrm xmlns:a="http://schemas.openxmlformats.org/drawingml/2006/main">
          <a:off x="3597275" y="5019027"/>
          <a:ext cx="507921" cy="2025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US" sz="1000" b="0" i="0" strike="noStrike">
              <a:solidFill>
                <a:srgbClr val="FFFFFF"/>
              </a:solidFill>
              <a:latin typeface="Verdana"/>
              <a:ea typeface="Verdana"/>
              <a:cs typeface="Verdana"/>
            </a:rPr>
            <a:t>Actual</a:t>
          </a:r>
        </a:p>
      </cdr:txBody>
    </cdr:sp>
  </cdr:relSizeAnchor>
  <cdr:relSizeAnchor xmlns:cdr="http://schemas.openxmlformats.org/drawingml/2006/chartDrawing">
    <cdr:from>
      <cdr:x>0.62375</cdr:x>
      <cdr:y>0.89725</cdr:y>
    </cdr:from>
    <cdr:to>
      <cdr:x>0.62375</cdr:x>
      <cdr:y>0.92425</cdr:y>
    </cdr:to>
    <cdr:sp macro="" textlink="">
      <cdr:nvSpPr>
        <cdr:cNvPr id="311319" name="Text Box 23"/>
        <cdr:cNvSpPr txBox="1">
          <a:spLocks xmlns:a="http://schemas.openxmlformats.org/drawingml/2006/main" noChangeArrowheads="1"/>
        </cdr:cNvSpPr>
      </cdr:nvSpPr>
      <cdr:spPr bwMode="auto">
        <a:xfrm xmlns:a="http://schemas.openxmlformats.org/drawingml/2006/main">
          <a:off x="5332413" y="5027730"/>
          <a:ext cx="711517" cy="2025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US" sz="1000" b="0" i="0" strike="noStrike">
              <a:solidFill>
                <a:srgbClr val="FFFFFF"/>
              </a:solidFill>
              <a:latin typeface="Verdana"/>
              <a:ea typeface="Verdana"/>
              <a:cs typeface="Verdana"/>
            </a:rPr>
            <a:t>Projected</a:t>
          </a:r>
        </a:p>
      </cdr:txBody>
    </cdr:sp>
  </cdr:relSizeAnchor>
  <cdr:relSizeAnchor xmlns:cdr="http://schemas.openxmlformats.org/drawingml/2006/chartDrawing">
    <cdr:from>
      <cdr:x>0.712</cdr:x>
      <cdr:y>0.89375</cdr:y>
    </cdr:from>
    <cdr:to>
      <cdr:x>0.712</cdr:x>
      <cdr:y>0.921</cdr:y>
    </cdr:to>
    <cdr:sp macro="" textlink="">
      <cdr:nvSpPr>
        <cdr:cNvPr id="18" name="Text Box 6"/>
        <cdr:cNvSpPr txBox="1">
          <a:spLocks xmlns:a="http://schemas.openxmlformats.org/drawingml/2006/main" noChangeArrowheads="1"/>
        </cdr:cNvSpPr>
      </cdr:nvSpPr>
      <cdr:spPr bwMode="auto">
        <a:xfrm xmlns:a="http://schemas.openxmlformats.org/drawingml/2006/main">
          <a:off x="6080547" y="3560279"/>
          <a:ext cx="880289" cy="84437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en-US" sz="1000" b="1" i="0" strike="noStrike">
              <a:solidFill>
                <a:srgbClr val="6666FF"/>
              </a:solidFill>
              <a:latin typeface="Verdana"/>
              <a:ea typeface="Verdana"/>
              <a:cs typeface="Verdana"/>
            </a:rPr>
            <a:t>Geothermal</a:t>
          </a:r>
        </a:p>
      </cdr:txBody>
    </cdr:sp>
  </cdr:relSizeAnchor>
  <cdr:relSizeAnchor xmlns:cdr="http://schemas.openxmlformats.org/drawingml/2006/chartDrawing">
    <cdr:from>
      <cdr:x>0.03917</cdr:x>
      <cdr:y>0.06797</cdr:y>
    </cdr:from>
    <cdr:to>
      <cdr:x>0.0802</cdr:x>
      <cdr:y>0.09833</cdr:y>
    </cdr:to>
    <cdr:sp macro="" textlink="">
      <cdr:nvSpPr>
        <cdr:cNvPr id="8" name="Text Box 4"/>
        <cdr:cNvSpPr txBox="1">
          <a:spLocks xmlns:a="http://schemas.openxmlformats.org/drawingml/2006/main" noChangeArrowheads="1"/>
        </cdr:cNvSpPr>
      </cdr:nvSpPr>
      <cdr:spPr bwMode="auto">
        <a:xfrm xmlns:a="http://schemas.openxmlformats.org/drawingml/2006/main">
          <a:off x="335280" y="396240"/>
          <a:ext cx="351181" cy="1769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en-US" sz="1000" b="1" i="0" strike="noStrike">
              <a:solidFill>
                <a:schemeClr val="bg1"/>
              </a:solidFill>
              <a:latin typeface="Verdana"/>
              <a:ea typeface="Verdana"/>
              <a:cs typeface="Verdana"/>
            </a:rPr>
            <a:t>TWh</a:t>
          </a:r>
        </a:p>
      </cdr:txBody>
    </cdr:sp>
  </cdr:relSizeAnchor>
  <cdr:relSizeAnchor xmlns:cdr="http://schemas.openxmlformats.org/drawingml/2006/chartDrawing">
    <cdr:from>
      <cdr:x>0.80325</cdr:x>
      <cdr:y>0.59075</cdr:y>
    </cdr:from>
    <cdr:to>
      <cdr:x>0.80925</cdr:x>
      <cdr:y>0.5995</cdr:y>
    </cdr:to>
    <cdr:sp macro="" textlink="">
      <cdr:nvSpPr>
        <cdr:cNvPr id="2" name="Text Box 4"/>
        <cdr:cNvSpPr txBox="1">
          <a:spLocks xmlns:a="http://schemas.openxmlformats.org/drawingml/2006/main" noChangeArrowheads="1"/>
        </cdr:cNvSpPr>
      </cdr:nvSpPr>
      <cdr:spPr bwMode="auto">
        <a:xfrm xmlns:a="http://schemas.openxmlformats.org/drawingml/2006/main">
          <a:off x="6885861" y="3443659"/>
          <a:ext cx="51435" cy="5100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000" b="0" i="0" strike="noStrike">
              <a:solidFill>
                <a:srgbClr val="000000"/>
              </a:solidFill>
              <a:latin typeface="Verdana"/>
              <a:ea typeface="Verdana"/>
              <a:cs typeface="Verdana"/>
            </a:rPr>
            <a:t>Bio</a:t>
          </a:r>
        </a:p>
      </cdr:txBody>
    </cdr:sp>
  </cdr:relSizeAnchor>
  <cdr:relSizeAnchor xmlns:cdr="http://schemas.openxmlformats.org/drawingml/2006/chartDrawing">
    <cdr:from>
      <cdr:x>0.70286</cdr:x>
      <cdr:y>0.54918</cdr:y>
    </cdr:from>
    <cdr:to>
      <cdr:x>0.71234</cdr:x>
      <cdr:y>0.99879</cdr:y>
    </cdr:to>
    <cdr:sp macro="" textlink="">
      <cdr:nvSpPr>
        <cdr:cNvPr id="3" name="Text Box 7"/>
        <cdr:cNvSpPr txBox="1">
          <a:spLocks xmlns:a="http://schemas.openxmlformats.org/drawingml/2006/main" noChangeArrowheads="1"/>
        </cdr:cNvSpPr>
      </cdr:nvSpPr>
      <cdr:spPr bwMode="auto">
        <a:xfrm xmlns:a="http://schemas.openxmlformats.org/drawingml/2006/main">
          <a:off x="6104563" y="3368927"/>
          <a:ext cx="27700" cy="1769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endParaRPr lang="en-US" sz="1000" b="1" i="0" strike="noStrike">
            <a:solidFill>
              <a:srgbClr val="6711FF"/>
            </a:solidFill>
            <a:latin typeface="Verdana"/>
            <a:ea typeface="Verdana"/>
            <a:cs typeface="Verdana"/>
          </a:endParaRPr>
        </a:p>
      </cdr:txBody>
    </cdr:sp>
  </cdr:relSizeAnchor>
  <cdr:relSizeAnchor xmlns:cdr="http://schemas.openxmlformats.org/drawingml/2006/chartDrawing">
    <cdr:from>
      <cdr:x>0.4995</cdr:x>
      <cdr:y>0.469</cdr:y>
    </cdr:from>
    <cdr:to>
      <cdr:x>0.5115</cdr:x>
      <cdr:y>0.505</cdr:y>
    </cdr:to>
    <cdr:sp macro="" textlink="">
      <cdr:nvSpPr>
        <cdr:cNvPr id="4" name="Text Box 13"/>
        <cdr:cNvSpPr txBox="1">
          <a:spLocks xmlns:a="http://schemas.openxmlformats.org/drawingml/2006/main" noChangeArrowheads="1"/>
        </cdr:cNvSpPr>
      </cdr:nvSpPr>
      <cdr:spPr bwMode="auto">
        <a:xfrm xmlns:a="http://schemas.openxmlformats.org/drawingml/2006/main">
          <a:off x="4286250" y="2722283"/>
          <a:ext cx="100727" cy="21277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0.23264</cdr:x>
      <cdr:y>0.05054</cdr:y>
    </cdr:from>
    <cdr:to>
      <cdr:x>0.57804</cdr:x>
      <cdr:y>0.10109</cdr:y>
    </cdr:to>
    <cdr:sp macro="" textlink="">
      <cdr:nvSpPr>
        <cdr:cNvPr id="311316" name="Text Box 20"/>
        <cdr:cNvSpPr txBox="1">
          <a:spLocks xmlns:a="http://schemas.openxmlformats.org/drawingml/2006/main" noChangeArrowheads="1"/>
        </cdr:cNvSpPr>
      </cdr:nvSpPr>
      <cdr:spPr bwMode="auto">
        <a:xfrm xmlns:a="http://schemas.openxmlformats.org/drawingml/2006/main">
          <a:off x="1991384" y="294636"/>
          <a:ext cx="2956536" cy="294671"/>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r>
            <a:rPr lang="en-US" sz="1100" b="1" i="0">
              <a:solidFill>
                <a:schemeClr val="bg1"/>
              </a:solidFill>
              <a:latin typeface="Verdana"/>
              <a:ea typeface="+mn-ea"/>
              <a:cs typeface="Verdana"/>
            </a:rPr>
            <a:t>Worldwide Electrical Output</a:t>
          </a:r>
        </a:p>
      </cdr:txBody>
    </cdr:sp>
  </cdr:relSizeAnchor>
  <cdr:relSizeAnchor xmlns:cdr="http://schemas.openxmlformats.org/drawingml/2006/chartDrawing">
    <cdr:from>
      <cdr:x>0.42225</cdr:x>
      <cdr:y>0.89725</cdr:y>
    </cdr:from>
    <cdr:to>
      <cdr:x>0.42225</cdr:x>
      <cdr:y>0.92575</cdr:y>
    </cdr:to>
    <cdr:sp macro="" textlink="">
      <cdr:nvSpPr>
        <cdr:cNvPr id="5" name="Text Box 21"/>
        <cdr:cNvSpPr txBox="1">
          <a:spLocks xmlns:a="http://schemas.openxmlformats.org/drawingml/2006/main" noChangeArrowheads="1"/>
        </cdr:cNvSpPr>
      </cdr:nvSpPr>
      <cdr:spPr bwMode="auto">
        <a:xfrm xmlns:a="http://schemas.openxmlformats.org/drawingml/2006/main">
          <a:off x="3597275" y="5019027"/>
          <a:ext cx="507921" cy="2025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US" sz="1000" b="0" i="0" strike="noStrike">
              <a:solidFill>
                <a:srgbClr val="FFFFFF"/>
              </a:solidFill>
              <a:latin typeface="Verdana"/>
              <a:ea typeface="Verdana"/>
              <a:cs typeface="Verdana"/>
            </a:rPr>
            <a:t>Actual</a:t>
          </a:r>
        </a:p>
      </cdr:txBody>
    </cdr:sp>
  </cdr:relSizeAnchor>
  <cdr:relSizeAnchor xmlns:cdr="http://schemas.openxmlformats.org/drawingml/2006/chartDrawing">
    <cdr:from>
      <cdr:x>0.62375</cdr:x>
      <cdr:y>0.89725</cdr:y>
    </cdr:from>
    <cdr:to>
      <cdr:x>0.62375</cdr:x>
      <cdr:y>0.92425</cdr:y>
    </cdr:to>
    <cdr:sp macro="" textlink="">
      <cdr:nvSpPr>
        <cdr:cNvPr id="6" name="Text Box 23"/>
        <cdr:cNvSpPr txBox="1">
          <a:spLocks xmlns:a="http://schemas.openxmlformats.org/drawingml/2006/main" noChangeArrowheads="1"/>
        </cdr:cNvSpPr>
      </cdr:nvSpPr>
      <cdr:spPr bwMode="auto">
        <a:xfrm xmlns:a="http://schemas.openxmlformats.org/drawingml/2006/main">
          <a:off x="5332413" y="5027730"/>
          <a:ext cx="711517" cy="2025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US" sz="1000" b="0" i="0" strike="noStrike">
              <a:solidFill>
                <a:srgbClr val="FFFFFF"/>
              </a:solidFill>
              <a:latin typeface="Verdana"/>
              <a:ea typeface="Verdana"/>
              <a:cs typeface="Verdana"/>
            </a:rPr>
            <a:t>Projected</a:t>
          </a:r>
        </a:p>
      </cdr:txBody>
    </cdr:sp>
  </cdr:relSizeAnchor>
  <cdr:relSizeAnchor xmlns:cdr="http://schemas.openxmlformats.org/drawingml/2006/chartDrawing">
    <cdr:from>
      <cdr:x>0.712</cdr:x>
      <cdr:y>0.89375</cdr:y>
    </cdr:from>
    <cdr:to>
      <cdr:x>0.712</cdr:x>
      <cdr:y>0.921</cdr:y>
    </cdr:to>
    <cdr:sp macro="" textlink="">
      <cdr:nvSpPr>
        <cdr:cNvPr id="7" name="Text Box 6"/>
        <cdr:cNvSpPr txBox="1">
          <a:spLocks xmlns:a="http://schemas.openxmlformats.org/drawingml/2006/main" noChangeArrowheads="1"/>
        </cdr:cNvSpPr>
      </cdr:nvSpPr>
      <cdr:spPr bwMode="auto">
        <a:xfrm xmlns:a="http://schemas.openxmlformats.org/drawingml/2006/main">
          <a:off x="6080547" y="3560279"/>
          <a:ext cx="880289" cy="84437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en-US" sz="1000" b="1" i="0" strike="noStrike">
              <a:solidFill>
                <a:srgbClr val="6666FF"/>
              </a:solidFill>
              <a:latin typeface="Verdana"/>
              <a:ea typeface="Verdana"/>
              <a:cs typeface="Verdana"/>
            </a:rPr>
            <a:t>Geothermal</a:t>
          </a:r>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8570280" cy="582601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twoCellAnchor>
    <xdr:from>
      <xdr:col>0</xdr:col>
      <xdr:colOff>184150</xdr:colOff>
      <xdr:row>47</xdr:row>
      <xdr:rowOff>146050</xdr:rowOff>
    </xdr:from>
    <xdr:to>
      <xdr:col>14</xdr:col>
      <xdr:colOff>990600</xdr:colOff>
      <xdr:row>94</xdr:row>
      <xdr:rowOff>101600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34</xdr:row>
      <xdr:rowOff>12700</xdr:rowOff>
    </xdr:from>
    <xdr:to>
      <xdr:col>16</xdr:col>
      <xdr:colOff>177800</xdr:colOff>
      <xdr:row>79</xdr:row>
      <xdr:rowOff>120650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absolute">
    <xdr:from>
      <xdr:col>7</xdr:col>
      <xdr:colOff>190500</xdr:colOff>
      <xdr:row>22</xdr:row>
      <xdr:rowOff>25400</xdr:rowOff>
    </xdr:from>
    <xdr:to>
      <xdr:col>8</xdr:col>
      <xdr:colOff>723900</xdr:colOff>
      <xdr:row>26</xdr:row>
      <xdr:rowOff>12700</xdr:rowOff>
    </xdr:to>
    <xdr:sp macro="" textlink="">
      <xdr:nvSpPr>
        <xdr:cNvPr id="176135" name="Text Box 7" hidden="1"/>
        <xdr:cNvSpPr txBox="1">
          <a:spLocks noChangeArrowheads="1"/>
        </xdr:cNvSpPr>
      </xdr:nvSpPr>
      <xdr:spPr bwMode="auto">
        <a:xfrm>
          <a:off x="5753100" y="3695700"/>
          <a:ext cx="1828800" cy="647700"/>
        </a:xfrm>
        <a:prstGeom prst="rect">
          <a:avLst/>
        </a:prstGeom>
        <a:solidFill>
          <a:srgbClr xmlns:mc="http://schemas.openxmlformats.org/markup-compatibility/2006" xmlns:a14="http://schemas.microsoft.com/office/drawing/2010/main" val="FFFFA1" mc:Ignorable="a14" a14:legacySpreadsheetColorIndex="80"/>
        </a:solidFill>
        <a:ln w="9525">
          <a:solidFill>
            <a:srgbClr val="000000"/>
          </a:solidFill>
          <a:miter lim="800000"/>
          <a:headEnd/>
          <a:tailEnd/>
        </a:ln>
        <a:effectLst>
          <a:outerShdw blurRad="63500" dist="38099" dir="2700000" algn="ctr" rotWithShape="0">
            <a:srgbClr val="000000">
              <a:alpha val="74998"/>
            </a:srgbClr>
          </a:outerShdw>
        </a:effectLst>
        <a:extLst>
          <a:ext uri="{53640926-AAD7-44d8-BBD7-CCE9431645EC}">
            <a14:shadowObscured xmlns:a14="http://schemas.microsoft.com/office/drawing/2010/main" val="1"/>
          </a:ext>
        </a:extLst>
      </xdr:spPr>
      <xdr:txBody>
        <a:bodyPr rtlCol="0"/>
        <a:lstStyle/>
        <a:p>
          <a:pPr algn="ctr"/>
          <a:endParaRPr lang="en-US"/>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8575040" cy="583184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0.71043</cdr:x>
      <cdr:y>0.79412</cdr:y>
    </cdr:from>
    <cdr:to>
      <cdr:x>0.76218</cdr:x>
      <cdr:y>0.94087</cdr:y>
    </cdr:to>
    <cdr:sp macro="" textlink="">
      <cdr:nvSpPr>
        <cdr:cNvPr id="311298" name="Text Box 2"/>
        <cdr:cNvSpPr txBox="1">
          <a:spLocks xmlns:a="http://schemas.openxmlformats.org/drawingml/2006/main" noChangeArrowheads="1"/>
        </cdr:cNvSpPr>
      </cdr:nvSpPr>
      <cdr:spPr bwMode="auto">
        <a:xfrm xmlns:a="http://schemas.openxmlformats.org/drawingml/2006/main">
          <a:off x="6081165" y="4629183"/>
          <a:ext cx="442970" cy="8554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US" sz="1000" b="1" i="0" strike="noStrike">
              <a:solidFill>
                <a:srgbClr val="0000D4"/>
              </a:solidFill>
              <a:latin typeface="Verdana"/>
              <a:ea typeface="Verdana"/>
              <a:cs typeface="Verdana"/>
            </a:rPr>
            <a:t>Wind</a:t>
          </a:r>
        </a:p>
      </cdr:txBody>
    </cdr:sp>
  </cdr:relSizeAnchor>
  <cdr:relSizeAnchor xmlns:cdr="http://schemas.openxmlformats.org/drawingml/2006/chartDrawing">
    <cdr:from>
      <cdr:x>0.71044</cdr:x>
      <cdr:y>0.7456</cdr:y>
    </cdr:from>
    <cdr:to>
      <cdr:x>0.91276</cdr:x>
      <cdr:y>0.77596</cdr:y>
    </cdr:to>
    <cdr:sp macro="" textlink="">
      <cdr:nvSpPr>
        <cdr:cNvPr id="311299" name="Text Box 3"/>
        <cdr:cNvSpPr txBox="1">
          <a:spLocks xmlns:a="http://schemas.openxmlformats.org/drawingml/2006/main" noChangeArrowheads="1"/>
        </cdr:cNvSpPr>
      </cdr:nvSpPr>
      <cdr:spPr bwMode="auto">
        <a:xfrm xmlns:a="http://schemas.openxmlformats.org/drawingml/2006/main">
          <a:off x="6081198" y="4346329"/>
          <a:ext cx="1731819" cy="17697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spAutoFit/>
        </a:bodyPr>
        <a:lstStyle xmlns:a="http://schemas.openxmlformats.org/drawingml/2006/main"/>
        <a:p xmlns:a="http://schemas.openxmlformats.org/drawingml/2006/main">
          <a:pPr algn="l" rtl="0">
            <a:defRPr sz="1000"/>
          </a:pPr>
          <a:r>
            <a:rPr lang="en-US" sz="1000" b="1" i="0" strike="noStrike">
              <a:solidFill>
                <a:srgbClr val="DD0806"/>
              </a:solidFill>
              <a:latin typeface="Verdana"/>
              <a:ea typeface="Verdana"/>
              <a:cs typeface="Verdana"/>
            </a:rPr>
            <a:t>Small Hydro (</a:t>
          </a:r>
          <a:r>
            <a:rPr lang="en-US" sz="1000" b="1" i="0" u="sng" strike="noStrike">
              <a:solidFill>
                <a:srgbClr val="DD0806"/>
              </a:solidFill>
              <a:latin typeface="Verdana"/>
              <a:ea typeface="Verdana"/>
              <a:cs typeface="Verdana"/>
            </a:rPr>
            <a:t>&lt;</a:t>
          </a:r>
          <a:r>
            <a:rPr lang="en-US" sz="1000" b="1" i="0" strike="noStrike">
              <a:solidFill>
                <a:srgbClr val="DD0806"/>
              </a:solidFill>
              <a:latin typeface="Verdana"/>
              <a:ea typeface="Verdana"/>
              <a:cs typeface="Verdana"/>
            </a:rPr>
            <a:t>10 MW)</a:t>
          </a:r>
        </a:p>
      </cdr:txBody>
    </cdr:sp>
  </cdr:relSizeAnchor>
  <cdr:relSizeAnchor xmlns:cdr="http://schemas.openxmlformats.org/drawingml/2006/chartDrawing">
    <cdr:from>
      <cdr:x>0.80325</cdr:x>
      <cdr:y>0.59075</cdr:y>
    </cdr:from>
    <cdr:to>
      <cdr:x>0.80925</cdr:x>
      <cdr:y>0.5995</cdr:y>
    </cdr:to>
    <cdr:sp macro="" textlink="">
      <cdr:nvSpPr>
        <cdr:cNvPr id="311300" name="Text Box 4"/>
        <cdr:cNvSpPr txBox="1">
          <a:spLocks xmlns:a="http://schemas.openxmlformats.org/drawingml/2006/main" noChangeArrowheads="1"/>
        </cdr:cNvSpPr>
      </cdr:nvSpPr>
      <cdr:spPr bwMode="auto">
        <a:xfrm xmlns:a="http://schemas.openxmlformats.org/drawingml/2006/main">
          <a:off x="6885861" y="3443659"/>
          <a:ext cx="51435" cy="5100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000" b="0" i="0" strike="noStrike">
              <a:solidFill>
                <a:srgbClr val="000000"/>
              </a:solidFill>
              <a:latin typeface="Verdana"/>
              <a:ea typeface="Verdana"/>
              <a:cs typeface="Verdana"/>
            </a:rPr>
            <a:t>Bio</a:t>
          </a:r>
        </a:p>
      </cdr:txBody>
    </cdr:sp>
  </cdr:relSizeAnchor>
  <cdr:relSizeAnchor xmlns:cdr="http://schemas.openxmlformats.org/drawingml/2006/chartDrawing">
    <cdr:from>
      <cdr:x>0.71</cdr:x>
      <cdr:y>0.70065</cdr:y>
    </cdr:from>
    <cdr:to>
      <cdr:x>0.90564</cdr:x>
      <cdr:y>0.73101</cdr:y>
    </cdr:to>
    <cdr:sp macro="" textlink="">
      <cdr:nvSpPr>
        <cdr:cNvPr id="311301" name="Text Box 5"/>
        <cdr:cNvSpPr txBox="1">
          <a:spLocks xmlns:a="http://schemas.openxmlformats.org/drawingml/2006/main" noChangeArrowheads="1"/>
        </cdr:cNvSpPr>
      </cdr:nvSpPr>
      <cdr:spPr bwMode="auto">
        <a:xfrm xmlns:a="http://schemas.openxmlformats.org/drawingml/2006/main">
          <a:off x="6077465" y="4084294"/>
          <a:ext cx="1674639" cy="1769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spAutoFit/>
        </a:bodyPr>
        <a:lstStyle xmlns:a="http://schemas.openxmlformats.org/drawingml/2006/main"/>
        <a:p xmlns:a="http://schemas.openxmlformats.org/drawingml/2006/main">
          <a:pPr algn="l" rtl="0">
            <a:defRPr sz="1000"/>
          </a:pPr>
          <a:r>
            <a:rPr lang="en-US" sz="1000" b="1" i="0" strike="noStrike">
              <a:solidFill>
                <a:srgbClr val="99CC00"/>
              </a:solidFill>
              <a:latin typeface="Verdana"/>
              <a:ea typeface="Verdana"/>
              <a:cs typeface="Verdana"/>
            </a:rPr>
            <a:t>Biomass and Waste</a:t>
          </a:r>
        </a:p>
      </cdr:txBody>
    </cdr:sp>
  </cdr:relSizeAnchor>
  <cdr:relSizeAnchor xmlns:cdr="http://schemas.openxmlformats.org/drawingml/2006/chartDrawing">
    <cdr:from>
      <cdr:x>0.7125</cdr:x>
      <cdr:y>0.65223</cdr:y>
    </cdr:from>
    <cdr:to>
      <cdr:x>0.86291</cdr:x>
      <cdr:y>0.68259</cdr:y>
    </cdr:to>
    <cdr:sp macro="" textlink="">
      <cdr:nvSpPr>
        <cdr:cNvPr id="311302" name="Text Box 6"/>
        <cdr:cNvSpPr txBox="1">
          <a:spLocks xmlns:a="http://schemas.openxmlformats.org/drawingml/2006/main" noChangeArrowheads="1"/>
        </cdr:cNvSpPr>
      </cdr:nvSpPr>
      <cdr:spPr bwMode="auto">
        <a:xfrm xmlns:a="http://schemas.openxmlformats.org/drawingml/2006/main">
          <a:off x="6098858" y="3802049"/>
          <a:ext cx="1287479" cy="1769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spAutoFit/>
        </a:bodyPr>
        <a:lstStyle xmlns:a="http://schemas.openxmlformats.org/drawingml/2006/main"/>
        <a:p xmlns:a="http://schemas.openxmlformats.org/drawingml/2006/main">
          <a:pPr algn="l" rtl="0">
            <a:defRPr sz="1000"/>
          </a:pPr>
          <a:r>
            <a:rPr lang="en-US" sz="1000" b="1" i="0" strike="noStrike">
              <a:solidFill>
                <a:schemeClr val="bg1">
                  <a:lumMod val="75000"/>
                </a:schemeClr>
              </a:solidFill>
              <a:latin typeface="Verdana"/>
              <a:ea typeface="Verdana"/>
              <a:cs typeface="Verdana"/>
            </a:rPr>
            <a:t>Photovoltaics</a:t>
          </a:r>
        </a:p>
      </cdr:txBody>
    </cdr:sp>
  </cdr:relSizeAnchor>
  <cdr:relSizeAnchor xmlns:cdr="http://schemas.openxmlformats.org/drawingml/2006/chartDrawing">
    <cdr:from>
      <cdr:x>0.70286</cdr:x>
      <cdr:y>0.54918</cdr:y>
    </cdr:from>
    <cdr:to>
      <cdr:x>0.71234</cdr:x>
      <cdr:y>0.99879</cdr:y>
    </cdr:to>
    <cdr:sp macro="" textlink="">
      <cdr:nvSpPr>
        <cdr:cNvPr id="311303" name="Text Box 7"/>
        <cdr:cNvSpPr txBox="1">
          <a:spLocks xmlns:a="http://schemas.openxmlformats.org/drawingml/2006/main" noChangeArrowheads="1"/>
        </cdr:cNvSpPr>
      </cdr:nvSpPr>
      <cdr:spPr bwMode="auto">
        <a:xfrm xmlns:a="http://schemas.openxmlformats.org/drawingml/2006/main">
          <a:off x="6104563" y="3368927"/>
          <a:ext cx="27700" cy="1769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endParaRPr lang="en-US" sz="1000" b="1" i="0" strike="noStrike">
            <a:solidFill>
              <a:srgbClr val="6711FF"/>
            </a:solidFill>
            <a:latin typeface="Verdana"/>
            <a:ea typeface="Verdana"/>
            <a:cs typeface="Verdana"/>
          </a:endParaRPr>
        </a:p>
      </cdr:txBody>
    </cdr:sp>
  </cdr:relSizeAnchor>
  <cdr:relSizeAnchor xmlns:cdr="http://schemas.openxmlformats.org/drawingml/2006/chartDrawing">
    <cdr:from>
      <cdr:x>0.52149</cdr:x>
      <cdr:y>0.38068</cdr:y>
    </cdr:from>
    <cdr:to>
      <cdr:x>0.64332</cdr:x>
      <cdr:y>0.41025</cdr:y>
    </cdr:to>
    <cdr:sp macro="" textlink="">
      <cdr:nvSpPr>
        <cdr:cNvPr id="311304" name="Text Box 8"/>
        <cdr:cNvSpPr txBox="1">
          <a:spLocks xmlns:a="http://schemas.openxmlformats.org/drawingml/2006/main" noChangeArrowheads="1"/>
        </cdr:cNvSpPr>
      </cdr:nvSpPr>
      <cdr:spPr bwMode="auto">
        <a:xfrm xmlns:a="http://schemas.openxmlformats.org/drawingml/2006/main">
          <a:off x="4463862" y="2219099"/>
          <a:ext cx="1042858" cy="1723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18288" rIns="0" bIns="0" anchor="t" upright="1">
          <a:spAutoFit/>
        </a:bodyPr>
        <a:lstStyle xmlns:a="http://schemas.openxmlformats.org/drawingml/2006/main"/>
        <a:p xmlns:a="http://schemas.openxmlformats.org/drawingml/2006/main">
          <a:pPr algn="l" rtl="0">
            <a:defRPr sz="1000"/>
          </a:pPr>
          <a:r>
            <a:rPr lang="en-US" sz="1000" b="1" i="0" strike="noStrike">
              <a:solidFill>
                <a:schemeClr val="bg1"/>
              </a:solidFill>
              <a:latin typeface="Verdana"/>
              <a:ea typeface="Verdana"/>
              <a:cs typeface="Verdana"/>
            </a:rPr>
            <a:t>Nuclear</a:t>
          </a:r>
        </a:p>
      </cdr:txBody>
    </cdr:sp>
  </cdr:relSizeAnchor>
  <cdr:relSizeAnchor xmlns:cdr="http://schemas.openxmlformats.org/drawingml/2006/chartDrawing">
    <cdr:from>
      <cdr:x>0.5602</cdr:x>
      <cdr:y>0.41592</cdr:y>
    </cdr:from>
    <cdr:to>
      <cdr:x>0.6087</cdr:x>
      <cdr:y>0.47692</cdr:y>
    </cdr:to>
    <cdr:sp macro="" textlink="">
      <cdr:nvSpPr>
        <cdr:cNvPr id="311308" name="Line 12"/>
        <cdr:cNvSpPr>
          <a:spLocks xmlns:a="http://schemas.openxmlformats.org/drawingml/2006/main" noChangeShapeType="1"/>
        </cdr:cNvSpPr>
      </cdr:nvSpPr>
      <cdr:spPr bwMode="auto">
        <a:xfrm xmlns:a="http://schemas.openxmlformats.org/drawingml/2006/main">
          <a:off x="4795190" y="2424513"/>
          <a:ext cx="415150" cy="355587"/>
        </a:xfrm>
        <a:prstGeom xmlns:a="http://schemas.openxmlformats.org/drawingml/2006/main" prst="line">
          <a:avLst/>
        </a:prstGeom>
        <a:noFill xmlns:a="http://schemas.openxmlformats.org/drawingml/2006/main"/>
        <a:ln xmlns:a="http://schemas.openxmlformats.org/drawingml/2006/main" w="9525">
          <a:solidFill>
            <a:schemeClr val="bg1"/>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0.4995</cdr:x>
      <cdr:y>0.469</cdr:y>
    </cdr:from>
    <cdr:to>
      <cdr:x>0.5115</cdr:x>
      <cdr:y>0.505</cdr:y>
    </cdr:to>
    <cdr:sp macro="" textlink="">
      <cdr:nvSpPr>
        <cdr:cNvPr id="311309" name="Text Box 13"/>
        <cdr:cNvSpPr txBox="1">
          <a:spLocks xmlns:a="http://schemas.openxmlformats.org/drawingml/2006/main" noChangeArrowheads="1"/>
        </cdr:cNvSpPr>
      </cdr:nvSpPr>
      <cdr:spPr bwMode="auto">
        <a:xfrm xmlns:a="http://schemas.openxmlformats.org/drawingml/2006/main">
          <a:off x="4286250" y="2722283"/>
          <a:ext cx="100727" cy="21277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0.7098</cdr:x>
      <cdr:y>0.37583</cdr:y>
    </cdr:from>
    <cdr:to>
      <cdr:x>0.87834</cdr:x>
      <cdr:y>0.4549</cdr:y>
    </cdr:to>
    <cdr:sp macro="" textlink="">
      <cdr:nvSpPr>
        <cdr:cNvPr id="311314" name="Text Box 18"/>
        <cdr:cNvSpPr txBox="1">
          <a:spLocks xmlns:a="http://schemas.openxmlformats.org/drawingml/2006/main" noChangeArrowheads="1"/>
        </cdr:cNvSpPr>
      </cdr:nvSpPr>
      <cdr:spPr bwMode="auto">
        <a:xfrm xmlns:a="http://schemas.openxmlformats.org/drawingml/2006/main">
          <a:off x="6075739" y="2190850"/>
          <a:ext cx="1442669" cy="46092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sz="1000" b="1" i="0" strike="noStrike">
              <a:solidFill>
                <a:srgbClr val="FF6600"/>
              </a:solidFill>
              <a:latin typeface="Verdana"/>
              <a:ea typeface="Verdana"/>
              <a:cs typeface="Verdana"/>
            </a:rPr>
            <a:t>Cogeneration (except biomass)</a:t>
          </a:r>
        </a:p>
      </cdr:txBody>
    </cdr:sp>
  </cdr:relSizeAnchor>
  <cdr:relSizeAnchor xmlns:cdr="http://schemas.openxmlformats.org/drawingml/2006/chartDrawing">
    <cdr:from>
      <cdr:x>0.41424</cdr:x>
      <cdr:y>0.19869</cdr:y>
    </cdr:from>
    <cdr:to>
      <cdr:x>0.46241</cdr:x>
      <cdr:y>0.37622</cdr:y>
    </cdr:to>
    <cdr:sp macro="" textlink="">
      <cdr:nvSpPr>
        <cdr:cNvPr id="311315" name="Line 19"/>
        <cdr:cNvSpPr>
          <a:spLocks xmlns:a="http://schemas.openxmlformats.org/drawingml/2006/main" noChangeShapeType="1"/>
        </cdr:cNvSpPr>
      </cdr:nvSpPr>
      <cdr:spPr bwMode="auto">
        <a:xfrm xmlns:a="http://schemas.openxmlformats.org/drawingml/2006/main">
          <a:off x="3545839" y="1158240"/>
          <a:ext cx="412297" cy="1034859"/>
        </a:xfrm>
        <a:prstGeom xmlns:a="http://schemas.openxmlformats.org/drawingml/2006/main" prst="line">
          <a:avLst/>
        </a:prstGeom>
        <a:noFill xmlns:a="http://schemas.openxmlformats.org/drawingml/2006/main"/>
        <a:ln xmlns:a="http://schemas.openxmlformats.org/drawingml/2006/main" w="9525">
          <a:solidFill>
            <a:schemeClr val="bg1"/>
          </a:solidFill>
          <a:prstDash val="dash"/>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0.10208</cdr:x>
      <cdr:y>0.13769</cdr:y>
    </cdr:from>
    <cdr:to>
      <cdr:x>0.66825</cdr:x>
      <cdr:y>0.18824</cdr:y>
    </cdr:to>
    <cdr:sp macro="" textlink="">
      <cdr:nvSpPr>
        <cdr:cNvPr id="311316" name="Text Box 20"/>
        <cdr:cNvSpPr txBox="1">
          <a:spLocks xmlns:a="http://schemas.openxmlformats.org/drawingml/2006/main" noChangeArrowheads="1"/>
        </cdr:cNvSpPr>
      </cdr:nvSpPr>
      <cdr:spPr bwMode="auto">
        <a:xfrm xmlns:a="http://schemas.openxmlformats.org/drawingml/2006/main">
          <a:off x="873784" y="802641"/>
          <a:ext cx="4846296" cy="294640"/>
        </a:xfrm>
        <a:prstGeom xmlns:a="http://schemas.openxmlformats.org/drawingml/2006/main" prst="rect">
          <a:avLst/>
        </a:prstGeom>
        <a:noFill xmlns:a="http://schemas.openxmlformats.org/drawingml/2006/main"/>
        <a:ln xmlns:a="http://schemas.openxmlformats.org/drawingml/2006/main" w="9525">
          <a:solidFill>
            <a:schemeClr val="bg1"/>
          </a:solidFill>
          <a:prstDash val="dash"/>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l" rtl="0"/>
          <a:r>
            <a:rPr lang="en-US" sz="1100" b="1" i="0">
              <a:solidFill>
                <a:schemeClr val="bg1"/>
              </a:solidFill>
              <a:latin typeface="Verdana"/>
              <a:ea typeface="+mn-ea"/>
              <a:cs typeface="Verdana"/>
            </a:rPr>
            <a:t>Total Micropower (CHP plus</a:t>
          </a:r>
          <a:r>
            <a:rPr lang="en-US" sz="1100" b="1" i="0" baseline="0">
              <a:solidFill>
                <a:schemeClr val="bg1"/>
              </a:solidFill>
              <a:latin typeface="Verdana"/>
              <a:ea typeface="+mn-ea"/>
              <a:cs typeface="Verdana"/>
            </a:rPr>
            <a:t> renewables except large hydro)</a:t>
          </a:r>
          <a:endParaRPr lang="en-US" sz="1100" b="1" i="0">
            <a:solidFill>
              <a:schemeClr val="bg1"/>
            </a:solidFill>
            <a:latin typeface="Verdana"/>
            <a:ea typeface="+mn-ea"/>
            <a:cs typeface="Verdana"/>
          </a:endParaRPr>
        </a:p>
      </cdr:txBody>
    </cdr:sp>
  </cdr:relSizeAnchor>
  <cdr:relSizeAnchor xmlns:cdr="http://schemas.openxmlformats.org/drawingml/2006/chartDrawing">
    <cdr:from>
      <cdr:x>0.42225</cdr:x>
      <cdr:y>0.89725</cdr:y>
    </cdr:from>
    <cdr:to>
      <cdr:x>0.42225</cdr:x>
      <cdr:y>0.92575</cdr:y>
    </cdr:to>
    <cdr:sp macro="" textlink="">
      <cdr:nvSpPr>
        <cdr:cNvPr id="311317" name="Text Box 21"/>
        <cdr:cNvSpPr txBox="1">
          <a:spLocks xmlns:a="http://schemas.openxmlformats.org/drawingml/2006/main" noChangeArrowheads="1"/>
        </cdr:cNvSpPr>
      </cdr:nvSpPr>
      <cdr:spPr bwMode="auto">
        <a:xfrm xmlns:a="http://schemas.openxmlformats.org/drawingml/2006/main">
          <a:off x="3597275" y="5019027"/>
          <a:ext cx="507921" cy="2025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US" sz="1000" b="0" i="0" strike="noStrike">
              <a:solidFill>
                <a:srgbClr val="FFFFFF"/>
              </a:solidFill>
              <a:latin typeface="Verdana"/>
              <a:ea typeface="Verdana"/>
              <a:cs typeface="Verdana"/>
            </a:rPr>
            <a:t>Actual</a:t>
          </a:r>
        </a:p>
      </cdr:txBody>
    </cdr:sp>
  </cdr:relSizeAnchor>
  <cdr:relSizeAnchor xmlns:cdr="http://schemas.openxmlformats.org/drawingml/2006/chartDrawing">
    <cdr:from>
      <cdr:x>0.60427</cdr:x>
      <cdr:y>0.87805</cdr:y>
    </cdr:from>
    <cdr:to>
      <cdr:x>0.6525</cdr:x>
      <cdr:y>0.87849</cdr:y>
    </cdr:to>
    <cdr:sp macro="" textlink="">
      <cdr:nvSpPr>
        <cdr:cNvPr id="311318" name="Line 22"/>
        <cdr:cNvSpPr>
          <a:spLocks xmlns:a="http://schemas.openxmlformats.org/drawingml/2006/main" noChangeShapeType="1"/>
        </cdr:cNvSpPr>
      </cdr:nvSpPr>
      <cdr:spPr bwMode="auto">
        <a:xfrm xmlns:a="http://schemas.openxmlformats.org/drawingml/2006/main" flipH="1" flipV="1">
          <a:off x="5181600" y="5120640"/>
          <a:ext cx="413590" cy="2586"/>
        </a:xfrm>
        <a:prstGeom xmlns:a="http://schemas.openxmlformats.org/drawingml/2006/main" prst="line">
          <a:avLst/>
        </a:prstGeom>
        <a:noFill xmlns:a="http://schemas.openxmlformats.org/drawingml/2006/main"/>
        <a:ln xmlns:a="http://schemas.openxmlformats.org/drawingml/2006/main" w="9525">
          <a:solidFill>
            <a:srgbClr val="FFFFFF"/>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0.62375</cdr:x>
      <cdr:y>0.89725</cdr:y>
    </cdr:from>
    <cdr:to>
      <cdr:x>0.62375</cdr:x>
      <cdr:y>0.92425</cdr:y>
    </cdr:to>
    <cdr:sp macro="" textlink="">
      <cdr:nvSpPr>
        <cdr:cNvPr id="311319" name="Text Box 23"/>
        <cdr:cNvSpPr txBox="1">
          <a:spLocks xmlns:a="http://schemas.openxmlformats.org/drawingml/2006/main" noChangeArrowheads="1"/>
        </cdr:cNvSpPr>
      </cdr:nvSpPr>
      <cdr:spPr bwMode="auto">
        <a:xfrm xmlns:a="http://schemas.openxmlformats.org/drawingml/2006/main">
          <a:off x="5332413" y="5027730"/>
          <a:ext cx="711517" cy="2025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US" sz="1000" b="0" i="0" strike="noStrike">
              <a:solidFill>
                <a:srgbClr val="FFFFFF"/>
              </a:solidFill>
              <a:latin typeface="Verdana"/>
              <a:ea typeface="Verdana"/>
              <a:cs typeface="Verdana"/>
            </a:rPr>
            <a:t>Projected</a:t>
          </a:r>
        </a:p>
      </cdr:txBody>
    </cdr:sp>
  </cdr:relSizeAnchor>
  <cdr:relSizeAnchor xmlns:cdr="http://schemas.openxmlformats.org/drawingml/2006/chartDrawing">
    <cdr:from>
      <cdr:x>0.65995</cdr:x>
      <cdr:y>0.87675</cdr:y>
    </cdr:from>
    <cdr:to>
      <cdr:x>0.70798</cdr:x>
      <cdr:y>0.87805</cdr:y>
    </cdr:to>
    <cdr:sp macro="" textlink="">
      <cdr:nvSpPr>
        <cdr:cNvPr id="311320" name="Line 24"/>
        <cdr:cNvSpPr>
          <a:spLocks xmlns:a="http://schemas.openxmlformats.org/drawingml/2006/main" noChangeShapeType="1"/>
        </cdr:cNvSpPr>
      </cdr:nvSpPr>
      <cdr:spPr bwMode="auto">
        <a:xfrm xmlns:a="http://schemas.openxmlformats.org/drawingml/2006/main" flipH="1">
          <a:off x="5659119" y="5113066"/>
          <a:ext cx="411837" cy="7574"/>
        </a:xfrm>
        <a:prstGeom xmlns:a="http://schemas.openxmlformats.org/drawingml/2006/main" prst="line">
          <a:avLst/>
        </a:prstGeom>
        <a:noFill xmlns:a="http://schemas.openxmlformats.org/drawingml/2006/main"/>
        <a:ln xmlns:a="http://schemas.openxmlformats.org/drawingml/2006/main" w="9525">
          <a:solidFill>
            <a:srgbClr val="FFFFFF"/>
          </a:solidFill>
          <a:round/>
          <a:headEnd type="triangle" w="med" len="me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0.712</cdr:x>
      <cdr:y>0.89375</cdr:y>
    </cdr:from>
    <cdr:to>
      <cdr:x>0.712</cdr:x>
      <cdr:y>0.921</cdr:y>
    </cdr:to>
    <cdr:sp macro="" textlink="">
      <cdr:nvSpPr>
        <cdr:cNvPr id="18" name="Text Box 6"/>
        <cdr:cNvSpPr txBox="1">
          <a:spLocks xmlns:a="http://schemas.openxmlformats.org/drawingml/2006/main" noChangeArrowheads="1"/>
        </cdr:cNvSpPr>
      </cdr:nvSpPr>
      <cdr:spPr bwMode="auto">
        <a:xfrm xmlns:a="http://schemas.openxmlformats.org/drawingml/2006/main">
          <a:off x="6080547" y="3560279"/>
          <a:ext cx="880289" cy="84437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en-US" sz="1000" b="1" i="0" strike="noStrike">
              <a:solidFill>
                <a:srgbClr val="6666FF"/>
              </a:solidFill>
              <a:latin typeface="Verdana"/>
              <a:ea typeface="Verdana"/>
              <a:cs typeface="Verdana"/>
            </a:rPr>
            <a:t>Geothermal</a:t>
          </a:r>
        </a:p>
      </cdr:txBody>
    </cdr:sp>
  </cdr:relSizeAnchor>
  <cdr:relSizeAnchor xmlns:cdr="http://schemas.openxmlformats.org/drawingml/2006/chartDrawing">
    <cdr:from>
      <cdr:x>0.53749</cdr:x>
      <cdr:y>0.861</cdr:y>
    </cdr:from>
    <cdr:to>
      <cdr:x>0.59502</cdr:x>
      <cdr:y>0.89135</cdr:y>
    </cdr:to>
    <cdr:sp macro="" textlink="">
      <cdr:nvSpPr>
        <cdr:cNvPr id="19" name="Text Box 12"/>
        <cdr:cNvSpPr txBox="1">
          <a:spLocks xmlns:a="http://schemas.openxmlformats.org/drawingml/2006/main" noChangeArrowheads="1"/>
        </cdr:cNvSpPr>
      </cdr:nvSpPr>
      <cdr:spPr bwMode="auto">
        <a:xfrm xmlns:a="http://schemas.openxmlformats.org/drawingml/2006/main">
          <a:off x="4608965" y="5021214"/>
          <a:ext cx="493322" cy="1769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en-US" sz="1000" b="1" i="0" strike="noStrike">
              <a:solidFill>
                <a:srgbClr val="FFFFFF"/>
              </a:solidFill>
              <a:latin typeface="Verdana"/>
              <a:ea typeface="Verdana"/>
              <a:cs typeface="Verdana"/>
            </a:rPr>
            <a:t>Actual</a:t>
          </a:r>
        </a:p>
      </cdr:txBody>
    </cdr:sp>
  </cdr:relSizeAnchor>
  <cdr:relSizeAnchor xmlns:cdr="http://schemas.openxmlformats.org/drawingml/2006/chartDrawing">
    <cdr:from>
      <cdr:x>0.71202</cdr:x>
      <cdr:y>0.86237</cdr:y>
    </cdr:from>
    <cdr:to>
      <cdr:x>0.79858</cdr:x>
      <cdr:y>0.8885</cdr:y>
    </cdr:to>
    <cdr:sp macro="" textlink="">
      <cdr:nvSpPr>
        <cdr:cNvPr id="20" name="Text Box 12"/>
        <cdr:cNvSpPr txBox="1">
          <a:spLocks xmlns:a="http://schemas.openxmlformats.org/drawingml/2006/main" noChangeArrowheads="1"/>
        </cdr:cNvSpPr>
      </cdr:nvSpPr>
      <cdr:spPr bwMode="auto">
        <a:xfrm xmlns:a="http://schemas.openxmlformats.org/drawingml/2006/main">
          <a:off x="6105583" y="5029201"/>
          <a:ext cx="742257" cy="1523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no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en-US" sz="1000" b="1" i="0" strike="noStrike">
              <a:solidFill>
                <a:srgbClr val="FFFFFF"/>
              </a:solidFill>
              <a:latin typeface="Verdana"/>
              <a:ea typeface="Verdana"/>
              <a:cs typeface="Verdana"/>
            </a:rPr>
            <a:t>Projected</a:t>
          </a:r>
        </a:p>
      </cdr:txBody>
    </cdr:sp>
  </cdr:relSizeAnchor>
  <cdr:relSizeAnchor xmlns:cdr="http://schemas.openxmlformats.org/drawingml/2006/chartDrawing">
    <cdr:from>
      <cdr:x>0.71098</cdr:x>
      <cdr:y>0.61874</cdr:y>
    </cdr:from>
    <cdr:to>
      <cdr:x>0.86139</cdr:x>
      <cdr:y>0.6491</cdr:y>
    </cdr:to>
    <cdr:sp macro="" textlink="">
      <cdr:nvSpPr>
        <cdr:cNvPr id="21" name="Text Box 6"/>
        <cdr:cNvSpPr txBox="1">
          <a:spLocks xmlns:a="http://schemas.openxmlformats.org/drawingml/2006/main" noChangeArrowheads="1"/>
        </cdr:cNvSpPr>
      </cdr:nvSpPr>
      <cdr:spPr bwMode="auto">
        <a:xfrm xmlns:a="http://schemas.openxmlformats.org/drawingml/2006/main">
          <a:off x="6085840" y="3606800"/>
          <a:ext cx="1287479" cy="1769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000" b="1" i="0" strike="noStrike">
              <a:solidFill>
                <a:schemeClr val="accent4"/>
              </a:solidFill>
              <a:latin typeface="Verdana"/>
              <a:ea typeface="Verdana"/>
              <a:cs typeface="Verdana"/>
            </a:rPr>
            <a:t>Geothermal</a:t>
          </a:r>
        </a:p>
      </cdr:txBody>
    </cdr:sp>
  </cdr:relSizeAnchor>
  <cdr:relSizeAnchor xmlns:cdr="http://schemas.openxmlformats.org/drawingml/2006/chartDrawing">
    <cdr:from>
      <cdr:x>0.03798</cdr:x>
      <cdr:y>0.05926</cdr:y>
    </cdr:from>
    <cdr:to>
      <cdr:x>0.07901</cdr:x>
      <cdr:y>0.08962</cdr:y>
    </cdr:to>
    <cdr:sp macro="" textlink="">
      <cdr:nvSpPr>
        <cdr:cNvPr id="22" name="Text Box 4"/>
        <cdr:cNvSpPr txBox="1">
          <a:spLocks xmlns:a="http://schemas.openxmlformats.org/drawingml/2006/main" noChangeArrowheads="1"/>
        </cdr:cNvSpPr>
      </cdr:nvSpPr>
      <cdr:spPr bwMode="auto">
        <a:xfrm xmlns:a="http://schemas.openxmlformats.org/drawingml/2006/main">
          <a:off x="325120" y="345440"/>
          <a:ext cx="351181" cy="1769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en-US" sz="1000" b="1" i="0" strike="noStrike">
              <a:solidFill>
                <a:sysClr val="window" lastClr="FFFFFF"/>
              </a:solidFill>
              <a:latin typeface="Verdana"/>
              <a:ea typeface="Verdana"/>
              <a:cs typeface="Verdana"/>
            </a:rPr>
            <a:t>TWh</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575040" cy="583184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0.71043</cdr:x>
      <cdr:y>0.79412</cdr:y>
    </cdr:from>
    <cdr:to>
      <cdr:x>0.76218</cdr:x>
      <cdr:y>0.94087</cdr:y>
    </cdr:to>
    <cdr:sp macro="" textlink="">
      <cdr:nvSpPr>
        <cdr:cNvPr id="311298" name="Text Box 2"/>
        <cdr:cNvSpPr txBox="1">
          <a:spLocks xmlns:a="http://schemas.openxmlformats.org/drawingml/2006/main" noChangeArrowheads="1"/>
        </cdr:cNvSpPr>
      </cdr:nvSpPr>
      <cdr:spPr bwMode="auto">
        <a:xfrm xmlns:a="http://schemas.openxmlformats.org/drawingml/2006/main">
          <a:off x="6081165" y="4629183"/>
          <a:ext cx="442970" cy="8554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US" sz="1000" b="1" i="0" strike="noStrike">
              <a:solidFill>
                <a:srgbClr val="0000D4"/>
              </a:solidFill>
              <a:latin typeface="Verdana"/>
              <a:ea typeface="Verdana"/>
              <a:cs typeface="Verdana"/>
            </a:rPr>
            <a:t>Wind</a:t>
          </a:r>
        </a:p>
      </cdr:txBody>
    </cdr:sp>
  </cdr:relSizeAnchor>
  <cdr:relSizeAnchor xmlns:cdr="http://schemas.openxmlformats.org/drawingml/2006/chartDrawing">
    <cdr:from>
      <cdr:x>0.71044</cdr:x>
      <cdr:y>0.7456</cdr:y>
    </cdr:from>
    <cdr:to>
      <cdr:x>0.91276</cdr:x>
      <cdr:y>0.77596</cdr:y>
    </cdr:to>
    <cdr:sp macro="" textlink="">
      <cdr:nvSpPr>
        <cdr:cNvPr id="311299" name="Text Box 3"/>
        <cdr:cNvSpPr txBox="1">
          <a:spLocks xmlns:a="http://schemas.openxmlformats.org/drawingml/2006/main" noChangeArrowheads="1"/>
        </cdr:cNvSpPr>
      </cdr:nvSpPr>
      <cdr:spPr bwMode="auto">
        <a:xfrm xmlns:a="http://schemas.openxmlformats.org/drawingml/2006/main">
          <a:off x="6081198" y="4346329"/>
          <a:ext cx="1731819" cy="17697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spAutoFit/>
        </a:bodyPr>
        <a:lstStyle xmlns:a="http://schemas.openxmlformats.org/drawingml/2006/main"/>
        <a:p xmlns:a="http://schemas.openxmlformats.org/drawingml/2006/main">
          <a:pPr algn="l" rtl="0">
            <a:defRPr sz="1000"/>
          </a:pPr>
          <a:r>
            <a:rPr lang="en-US" sz="1000" b="1" i="0" strike="noStrike">
              <a:solidFill>
                <a:srgbClr val="DD0806"/>
              </a:solidFill>
              <a:latin typeface="Verdana"/>
              <a:ea typeface="Verdana"/>
              <a:cs typeface="Verdana"/>
            </a:rPr>
            <a:t>Small Hydro (</a:t>
          </a:r>
          <a:r>
            <a:rPr lang="en-US" sz="1000" b="1" i="0" u="sng" strike="noStrike">
              <a:solidFill>
                <a:srgbClr val="DD0806"/>
              </a:solidFill>
              <a:latin typeface="Verdana"/>
              <a:ea typeface="Verdana"/>
              <a:cs typeface="Verdana"/>
            </a:rPr>
            <a:t>&lt;</a:t>
          </a:r>
          <a:r>
            <a:rPr lang="en-US" sz="1000" b="1" i="0" strike="noStrike">
              <a:solidFill>
                <a:srgbClr val="DD0806"/>
              </a:solidFill>
              <a:latin typeface="Verdana"/>
              <a:ea typeface="Verdana"/>
              <a:cs typeface="Verdana"/>
            </a:rPr>
            <a:t>10 MW)</a:t>
          </a:r>
        </a:p>
      </cdr:txBody>
    </cdr:sp>
  </cdr:relSizeAnchor>
  <cdr:relSizeAnchor xmlns:cdr="http://schemas.openxmlformats.org/drawingml/2006/chartDrawing">
    <cdr:from>
      <cdr:x>0.80325</cdr:x>
      <cdr:y>0.59075</cdr:y>
    </cdr:from>
    <cdr:to>
      <cdr:x>0.80925</cdr:x>
      <cdr:y>0.5995</cdr:y>
    </cdr:to>
    <cdr:sp macro="" textlink="">
      <cdr:nvSpPr>
        <cdr:cNvPr id="311300" name="Text Box 4"/>
        <cdr:cNvSpPr txBox="1">
          <a:spLocks xmlns:a="http://schemas.openxmlformats.org/drawingml/2006/main" noChangeArrowheads="1"/>
        </cdr:cNvSpPr>
      </cdr:nvSpPr>
      <cdr:spPr bwMode="auto">
        <a:xfrm xmlns:a="http://schemas.openxmlformats.org/drawingml/2006/main">
          <a:off x="6885861" y="3443659"/>
          <a:ext cx="51435" cy="5100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000" b="0" i="0" strike="noStrike">
              <a:solidFill>
                <a:srgbClr val="000000"/>
              </a:solidFill>
              <a:latin typeface="Verdana"/>
              <a:ea typeface="Verdana"/>
              <a:cs typeface="Verdana"/>
            </a:rPr>
            <a:t>Bio</a:t>
          </a:r>
        </a:p>
      </cdr:txBody>
    </cdr:sp>
  </cdr:relSizeAnchor>
  <cdr:relSizeAnchor xmlns:cdr="http://schemas.openxmlformats.org/drawingml/2006/chartDrawing">
    <cdr:from>
      <cdr:x>0.71</cdr:x>
      <cdr:y>0.70065</cdr:y>
    </cdr:from>
    <cdr:to>
      <cdr:x>0.90564</cdr:x>
      <cdr:y>0.73101</cdr:y>
    </cdr:to>
    <cdr:sp macro="" textlink="">
      <cdr:nvSpPr>
        <cdr:cNvPr id="311301" name="Text Box 5"/>
        <cdr:cNvSpPr txBox="1">
          <a:spLocks xmlns:a="http://schemas.openxmlformats.org/drawingml/2006/main" noChangeArrowheads="1"/>
        </cdr:cNvSpPr>
      </cdr:nvSpPr>
      <cdr:spPr bwMode="auto">
        <a:xfrm xmlns:a="http://schemas.openxmlformats.org/drawingml/2006/main">
          <a:off x="6077465" y="4084294"/>
          <a:ext cx="1674639" cy="1769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spAutoFit/>
        </a:bodyPr>
        <a:lstStyle xmlns:a="http://schemas.openxmlformats.org/drawingml/2006/main"/>
        <a:p xmlns:a="http://schemas.openxmlformats.org/drawingml/2006/main">
          <a:pPr algn="l" rtl="0">
            <a:defRPr sz="1000"/>
          </a:pPr>
          <a:r>
            <a:rPr lang="en-US" sz="1000" b="1" i="0" strike="noStrike">
              <a:solidFill>
                <a:srgbClr val="99CC00"/>
              </a:solidFill>
              <a:latin typeface="Verdana"/>
              <a:ea typeface="Verdana"/>
              <a:cs typeface="Verdana"/>
            </a:rPr>
            <a:t>Biomass and Waste</a:t>
          </a:r>
        </a:p>
      </cdr:txBody>
    </cdr:sp>
  </cdr:relSizeAnchor>
  <cdr:relSizeAnchor xmlns:cdr="http://schemas.openxmlformats.org/drawingml/2006/chartDrawing">
    <cdr:from>
      <cdr:x>0.7125</cdr:x>
      <cdr:y>0.65223</cdr:y>
    </cdr:from>
    <cdr:to>
      <cdr:x>0.86291</cdr:x>
      <cdr:y>0.68259</cdr:y>
    </cdr:to>
    <cdr:sp macro="" textlink="">
      <cdr:nvSpPr>
        <cdr:cNvPr id="311302" name="Text Box 6"/>
        <cdr:cNvSpPr txBox="1">
          <a:spLocks xmlns:a="http://schemas.openxmlformats.org/drawingml/2006/main" noChangeArrowheads="1"/>
        </cdr:cNvSpPr>
      </cdr:nvSpPr>
      <cdr:spPr bwMode="auto">
        <a:xfrm xmlns:a="http://schemas.openxmlformats.org/drawingml/2006/main">
          <a:off x="6098858" y="3802049"/>
          <a:ext cx="1287479" cy="1769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spAutoFit/>
        </a:bodyPr>
        <a:lstStyle xmlns:a="http://schemas.openxmlformats.org/drawingml/2006/main"/>
        <a:p xmlns:a="http://schemas.openxmlformats.org/drawingml/2006/main">
          <a:pPr algn="l" rtl="0">
            <a:defRPr sz="1000"/>
          </a:pPr>
          <a:r>
            <a:rPr lang="en-US" sz="1000" b="1" i="0" strike="noStrike">
              <a:solidFill>
                <a:schemeClr val="bg1">
                  <a:lumMod val="75000"/>
                </a:schemeClr>
              </a:solidFill>
              <a:latin typeface="Verdana"/>
              <a:ea typeface="Verdana"/>
              <a:cs typeface="Verdana"/>
            </a:rPr>
            <a:t>Photovoltaics</a:t>
          </a:r>
        </a:p>
      </cdr:txBody>
    </cdr:sp>
  </cdr:relSizeAnchor>
  <cdr:relSizeAnchor xmlns:cdr="http://schemas.openxmlformats.org/drawingml/2006/chartDrawing">
    <cdr:from>
      <cdr:x>0.70286</cdr:x>
      <cdr:y>0.54918</cdr:y>
    </cdr:from>
    <cdr:to>
      <cdr:x>0.71234</cdr:x>
      <cdr:y>0.99879</cdr:y>
    </cdr:to>
    <cdr:sp macro="" textlink="">
      <cdr:nvSpPr>
        <cdr:cNvPr id="311303" name="Text Box 7"/>
        <cdr:cNvSpPr txBox="1">
          <a:spLocks xmlns:a="http://schemas.openxmlformats.org/drawingml/2006/main" noChangeArrowheads="1"/>
        </cdr:cNvSpPr>
      </cdr:nvSpPr>
      <cdr:spPr bwMode="auto">
        <a:xfrm xmlns:a="http://schemas.openxmlformats.org/drawingml/2006/main">
          <a:off x="6104563" y="3368927"/>
          <a:ext cx="27700" cy="1769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endParaRPr lang="en-US" sz="1000" b="1" i="0" strike="noStrike">
            <a:solidFill>
              <a:srgbClr val="6711FF"/>
            </a:solidFill>
            <a:latin typeface="Verdana"/>
            <a:ea typeface="Verdana"/>
            <a:cs typeface="Verdana"/>
          </a:endParaRPr>
        </a:p>
      </cdr:txBody>
    </cdr:sp>
  </cdr:relSizeAnchor>
  <cdr:relSizeAnchor xmlns:cdr="http://schemas.openxmlformats.org/drawingml/2006/chartDrawing">
    <cdr:from>
      <cdr:x>0.52149</cdr:x>
      <cdr:y>0.38068</cdr:y>
    </cdr:from>
    <cdr:to>
      <cdr:x>0.64332</cdr:x>
      <cdr:y>0.41025</cdr:y>
    </cdr:to>
    <cdr:sp macro="" textlink="">
      <cdr:nvSpPr>
        <cdr:cNvPr id="311304" name="Text Box 8"/>
        <cdr:cNvSpPr txBox="1">
          <a:spLocks xmlns:a="http://schemas.openxmlformats.org/drawingml/2006/main" noChangeArrowheads="1"/>
        </cdr:cNvSpPr>
      </cdr:nvSpPr>
      <cdr:spPr bwMode="auto">
        <a:xfrm xmlns:a="http://schemas.openxmlformats.org/drawingml/2006/main">
          <a:off x="4463862" y="2219099"/>
          <a:ext cx="1042858" cy="1723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18288" rIns="0" bIns="0" anchor="t" upright="1">
          <a:spAutoFit/>
        </a:bodyPr>
        <a:lstStyle xmlns:a="http://schemas.openxmlformats.org/drawingml/2006/main"/>
        <a:p xmlns:a="http://schemas.openxmlformats.org/drawingml/2006/main">
          <a:pPr algn="l" rtl="0">
            <a:defRPr sz="1000"/>
          </a:pPr>
          <a:r>
            <a:rPr lang="en-US" sz="1000" b="1" i="0" strike="noStrike">
              <a:solidFill>
                <a:schemeClr val="tx1"/>
              </a:solidFill>
              <a:latin typeface="Verdana"/>
              <a:ea typeface="Verdana"/>
              <a:cs typeface="Verdana"/>
            </a:rPr>
            <a:t>Nuclear</a:t>
          </a:r>
        </a:p>
      </cdr:txBody>
    </cdr:sp>
  </cdr:relSizeAnchor>
  <cdr:relSizeAnchor xmlns:cdr="http://schemas.openxmlformats.org/drawingml/2006/chartDrawing">
    <cdr:from>
      <cdr:x>0.5602</cdr:x>
      <cdr:y>0.41592</cdr:y>
    </cdr:from>
    <cdr:to>
      <cdr:x>0.6087</cdr:x>
      <cdr:y>0.47692</cdr:y>
    </cdr:to>
    <cdr:sp macro="" textlink="">
      <cdr:nvSpPr>
        <cdr:cNvPr id="311308" name="Line 12"/>
        <cdr:cNvSpPr>
          <a:spLocks xmlns:a="http://schemas.openxmlformats.org/drawingml/2006/main" noChangeShapeType="1"/>
        </cdr:cNvSpPr>
      </cdr:nvSpPr>
      <cdr:spPr bwMode="auto">
        <a:xfrm xmlns:a="http://schemas.openxmlformats.org/drawingml/2006/main">
          <a:off x="4795190" y="2424513"/>
          <a:ext cx="415150" cy="355587"/>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0.4995</cdr:x>
      <cdr:y>0.469</cdr:y>
    </cdr:from>
    <cdr:to>
      <cdr:x>0.5115</cdr:x>
      <cdr:y>0.505</cdr:y>
    </cdr:to>
    <cdr:sp macro="" textlink="">
      <cdr:nvSpPr>
        <cdr:cNvPr id="311309" name="Text Box 13"/>
        <cdr:cNvSpPr txBox="1">
          <a:spLocks xmlns:a="http://schemas.openxmlformats.org/drawingml/2006/main" noChangeArrowheads="1"/>
        </cdr:cNvSpPr>
      </cdr:nvSpPr>
      <cdr:spPr bwMode="auto">
        <a:xfrm xmlns:a="http://schemas.openxmlformats.org/drawingml/2006/main">
          <a:off x="4286250" y="2722283"/>
          <a:ext cx="100727" cy="21277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0.7098</cdr:x>
      <cdr:y>0.37583</cdr:y>
    </cdr:from>
    <cdr:to>
      <cdr:x>0.87834</cdr:x>
      <cdr:y>0.4549</cdr:y>
    </cdr:to>
    <cdr:sp macro="" textlink="">
      <cdr:nvSpPr>
        <cdr:cNvPr id="311314" name="Text Box 18"/>
        <cdr:cNvSpPr txBox="1">
          <a:spLocks xmlns:a="http://schemas.openxmlformats.org/drawingml/2006/main" noChangeArrowheads="1"/>
        </cdr:cNvSpPr>
      </cdr:nvSpPr>
      <cdr:spPr bwMode="auto">
        <a:xfrm xmlns:a="http://schemas.openxmlformats.org/drawingml/2006/main">
          <a:off x="6075739" y="2190850"/>
          <a:ext cx="1442669" cy="46092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sz="1000" b="1" i="0" strike="noStrike">
              <a:solidFill>
                <a:srgbClr val="FF6600"/>
              </a:solidFill>
              <a:latin typeface="Verdana"/>
              <a:ea typeface="Verdana"/>
              <a:cs typeface="Verdana"/>
            </a:rPr>
            <a:t>Cogeneration (except biomass)</a:t>
          </a:r>
        </a:p>
      </cdr:txBody>
    </cdr:sp>
  </cdr:relSizeAnchor>
  <cdr:relSizeAnchor xmlns:cdr="http://schemas.openxmlformats.org/drawingml/2006/chartDrawing">
    <cdr:from>
      <cdr:x>0.41424</cdr:x>
      <cdr:y>0.19869</cdr:y>
    </cdr:from>
    <cdr:to>
      <cdr:x>0.46241</cdr:x>
      <cdr:y>0.37622</cdr:y>
    </cdr:to>
    <cdr:sp macro="" textlink="">
      <cdr:nvSpPr>
        <cdr:cNvPr id="311315" name="Line 19"/>
        <cdr:cNvSpPr>
          <a:spLocks xmlns:a="http://schemas.openxmlformats.org/drawingml/2006/main" noChangeShapeType="1"/>
        </cdr:cNvSpPr>
      </cdr:nvSpPr>
      <cdr:spPr bwMode="auto">
        <a:xfrm xmlns:a="http://schemas.openxmlformats.org/drawingml/2006/main">
          <a:off x="3545839" y="1158240"/>
          <a:ext cx="412297" cy="1034859"/>
        </a:xfrm>
        <a:prstGeom xmlns:a="http://schemas.openxmlformats.org/drawingml/2006/main" prst="line">
          <a:avLst/>
        </a:prstGeom>
        <a:noFill xmlns:a="http://schemas.openxmlformats.org/drawingml/2006/main"/>
        <a:ln xmlns:a="http://schemas.openxmlformats.org/drawingml/2006/main" w="9525">
          <a:solidFill>
            <a:schemeClr val="tx1"/>
          </a:solidFill>
          <a:prstDash val="dash"/>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0.10208</cdr:x>
      <cdr:y>0.13769</cdr:y>
    </cdr:from>
    <cdr:to>
      <cdr:x>0.66825</cdr:x>
      <cdr:y>0.18824</cdr:y>
    </cdr:to>
    <cdr:sp macro="" textlink="">
      <cdr:nvSpPr>
        <cdr:cNvPr id="311316" name="Text Box 20"/>
        <cdr:cNvSpPr txBox="1">
          <a:spLocks xmlns:a="http://schemas.openxmlformats.org/drawingml/2006/main" noChangeArrowheads="1"/>
        </cdr:cNvSpPr>
      </cdr:nvSpPr>
      <cdr:spPr bwMode="auto">
        <a:xfrm xmlns:a="http://schemas.openxmlformats.org/drawingml/2006/main">
          <a:off x="873784" y="802641"/>
          <a:ext cx="4846296" cy="294640"/>
        </a:xfrm>
        <a:prstGeom xmlns:a="http://schemas.openxmlformats.org/drawingml/2006/main" prst="rect">
          <a:avLst/>
        </a:prstGeom>
        <a:noFill xmlns:a="http://schemas.openxmlformats.org/drawingml/2006/main"/>
        <a:ln xmlns:a="http://schemas.openxmlformats.org/drawingml/2006/main" w="9525">
          <a:solidFill>
            <a:schemeClr val="tx1"/>
          </a:solidFill>
          <a:prstDash val="dash"/>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l" rtl="0"/>
          <a:r>
            <a:rPr lang="en-US" sz="1100" b="1" i="0">
              <a:solidFill>
                <a:schemeClr val="tx1"/>
              </a:solidFill>
              <a:latin typeface="Verdana"/>
              <a:ea typeface="+mn-ea"/>
              <a:cs typeface="Verdana"/>
            </a:rPr>
            <a:t>Total Micropower (CHP plus</a:t>
          </a:r>
          <a:r>
            <a:rPr lang="en-US" sz="1100" b="1" i="0" baseline="0">
              <a:solidFill>
                <a:schemeClr val="tx1"/>
              </a:solidFill>
              <a:latin typeface="Verdana"/>
              <a:ea typeface="+mn-ea"/>
              <a:cs typeface="Verdana"/>
            </a:rPr>
            <a:t> renewables except large hydro)</a:t>
          </a:r>
          <a:endParaRPr lang="en-US" sz="1100" b="1" i="0">
            <a:solidFill>
              <a:schemeClr val="tx1"/>
            </a:solidFill>
            <a:latin typeface="Verdana"/>
            <a:ea typeface="+mn-ea"/>
            <a:cs typeface="Verdana"/>
          </a:endParaRPr>
        </a:p>
      </cdr:txBody>
    </cdr:sp>
  </cdr:relSizeAnchor>
  <cdr:relSizeAnchor xmlns:cdr="http://schemas.openxmlformats.org/drawingml/2006/chartDrawing">
    <cdr:from>
      <cdr:x>0.42225</cdr:x>
      <cdr:y>0.89725</cdr:y>
    </cdr:from>
    <cdr:to>
      <cdr:x>0.42225</cdr:x>
      <cdr:y>0.92575</cdr:y>
    </cdr:to>
    <cdr:sp macro="" textlink="">
      <cdr:nvSpPr>
        <cdr:cNvPr id="311317" name="Text Box 21"/>
        <cdr:cNvSpPr txBox="1">
          <a:spLocks xmlns:a="http://schemas.openxmlformats.org/drawingml/2006/main" noChangeArrowheads="1"/>
        </cdr:cNvSpPr>
      </cdr:nvSpPr>
      <cdr:spPr bwMode="auto">
        <a:xfrm xmlns:a="http://schemas.openxmlformats.org/drawingml/2006/main">
          <a:off x="3597275" y="5019027"/>
          <a:ext cx="507921" cy="2025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US" sz="1000" b="0" i="0" strike="noStrike">
              <a:solidFill>
                <a:srgbClr val="FFFFFF"/>
              </a:solidFill>
              <a:latin typeface="Verdana"/>
              <a:ea typeface="Verdana"/>
              <a:cs typeface="Verdana"/>
            </a:rPr>
            <a:t>Actual</a:t>
          </a:r>
        </a:p>
      </cdr:txBody>
    </cdr:sp>
  </cdr:relSizeAnchor>
  <cdr:relSizeAnchor xmlns:cdr="http://schemas.openxmlformats.org/drawingml/2006/chartDrawing">
    <cdr:from>
      <cdr:x>0.55427</cdr:x>
      <cdr:y>0.87675</cdr:y>
    </cdr:from>
    <cdr:to>
      <cdr:x>0.65131</cdr:x>
      <cdr:y>0.87675</cdr:y>
    </cdr:to>
    <cdr:sp macro="" textlink="">
      <cdr:nvSpPr>
        <cdr:cNvPr id="311318" name="Line 22"/>
        <cdr:cNvSpPr>
          <a:spLocks xmlns:a="http://schemas.openxmlformats.org/drawingml/2006/main" noChangeShapeType="1"/>
        </cdr:cNvSpPr>
      </cdr:nvSpPr>
      <cdr:spPr bwMode="auto">
        <a:xfrm xmlns:a="http://schemas.openxmlformats.org/drawingml/2006/main" flipH="1" flipV="1">
          <a:off x="4752911" y="5113066"/>
          <a:ext cx="832121" cy="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0.62375</cdr:x>
      <cdr:y>0.89725</cdr:y>
    </cdr:from>
    <cdr:to>
      <cdr:x>0.62375</cdr:x>
      <cdr:y>0.92425</cdr:y>
    </cdr:to>
    <cdr:sp macro="" textlink="">
      <cdr:nvSpPr>
        <cdr:cNvPr id="311319" name="Text Box 23"/>
        <cdr:cNvSpPr txBox="1">
          <a:spLocks xmlns:a="http://schemas.openxmlformats.org/drawingml/2006/main" noChangeArrowheads="1"/>
        </cdr:cNvSpPr>
      </cdr:nvSpPr>
      <cdr:spPr bwMode="auto">
        <a:xfrm xmlns:a="http://schemas.openxmlformats.org/drawingml/2006/main">
          <a:off x="5332413" y="5027730"/>
          <a:ext cx="711517" cy="2025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US" sz="1000" b="0" i="0" strike="noStrike">
              <a:solidFill>
                <a:srgbClr val="FFFFFF"/>
              </a:solidFill>
              <a:latin typeface="Verdana"/>
              <a:ea typeface="Verdana"/>
              <a:cs typeface="Verdana"/>
            </a:rPr>
            <a:t>Projected</a:t>
          </a:r>
        </a:p>
      </cdr:txBody>
    </cdr:sp>
  </cdr:relSizeAnchor>
  <cdr:relSizeAnchor xmlns:cdr="http://schemas.openxmlformats.org/drawingml/2006/chartDrawing">
    <cdr:from>
      <cdr:x>0.65521</cdr:x>
      <cdr:y>0.87631</cdr:y>
    </cdr:from>
    <cdr:to>
      <cdr:x>0.70324</cdr:x>
      <cdr:y>0.87675</cdr:y>
    </cdr:to>
    <cdr:sp macro="" textlink="">
      <cdr:nvSpPr>
        <cdr:cNvPr id="311320" name="Line 24"/>
        <cdr:cNvSpPr>
          <a:spLocks xmlns:a="http://schemas.openxmlformats.org/drawingml/2006/main" noChangeShapeType="1"/>
        </cdr:cNvSpPr>
      </cdr:nvSpPr>
      <cdr:spPr bwMode="auto">
        <a:xfrm xmlns:a="http://schemas.openxmlformats.org/drawingml/2006/main" flipH="1" flipV="1">
          <a:off x="5618479" y="5110480"/>
          <a:ext cx="411831" cy="2586"/>
        </a:xfrm>
        <a:prstGeom xmlns:a="http://schemas.openxmlformats.org/drawingml/2006/main" prst="line">
          <a:avLst/>
        </a:prstGeom>
        <a:noFill xmlns:a="http://schemas.openxmlformats.org/drawingml/2006/main"/>
        <a:ln xmlns:a="http://schemas.openxmlformats.org/drawingml/2006/main" w="9525">
          <a:solidFill>
            <a:schemeClr val="tx1"/>
          </a:solidFill>
          <a:round/>
          <a:headEnd type="triangle" w="med" len="me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0.712</cdr:x>
      <cdr:y>0.89375</cdr:y>
    </cdr:from>
    <cdr:to>
      <cdr:x>0.712</cdr:x>
      <cdr:y>0.921</cdr:y>
    </cdr:to>
    <cdr:sp macro="" textlink="">
      <cdr:nvSpPr>
        <cdr:cNvPr id="18" name="Text Box 6"/>
        <cdr:cNvSpPr txBox="1">
          <a:spLocks xmlns:a="http://schemas.openxmlformats.org/drawingml/2006/main" noChangeArrowheads="1"/>
        </cdr:cNvSpPr>
      </cdr:nvSpPr>
      <cdr:spPr bwMode="auto">
        <a:xfrm xmlns:a="http://schemas.openxmlformats.org/drawingml/2006/main">
          <a:off x="6080547" y="3560279"/>
          <a:ext cx="880289" cy="84437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en-US" sz="1000" b="1" i="0" strike="noStrike">
              <a:solidFill>
                <a:srgbClr val="6666FF"/>
              </a:solidFill>
              <a:latin typeface="Verdana"/>
              <a:ea typeface="Verdana"/>
              <a:cs typeface="Verdana"/>
            </a:rPr>
            <a:t>Geothermal</a:t>
          </a:r>
        </a:p>
      </cdr:txBody>
    </cdr:sp>
  </cdr:relSizeAnchor>
  <cdr:relSizeAnchor xmlns:cdr="http://schemas.openxmlformats.org/drawingml/2006/chartDrawing">
    <cdr:from>
      <cdr:x>0.49246</cdr:x>
      <cdr:y>0.861</cdr:y>
    </cdr:from>
    <cdr:to>
      <cdr:x>0.54999</cdr:x>
      <cdr:y>0.89135</cdr:y>
    </cdr:to>
    <cdr:sp macro="" textlink="">
      <cdr:nvSpPr>
        <cdr:cNvPr id="19" name="Text Box 12"/>
        <cdr:cNvSpPr txBox="1">
          <a:spLocks xmlns:a="http://schemas.openxmlformats.org/drawingml/2006/main" noChangeArrowheads="1"/>
        </cdr:cNvSpPr>
      </cdr:nvSpPr>
      <cdr:spPr bwMode="auto">
        <a:xfrm xmlns:a="http://schemas.openxmlformats.org/drawingml/2006/main">
          <a:off x="4222849" y="5021214"/>
          <a:ext cx="493322" cy="1769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en-US" sz="1000" b="1" i="0" strike="noStrike">
              <a:solidFill>
                <a:schemeClr val="tx1"/>
              </a:solidFill>
              <a:latin typeface="Verdana"/>
              <a:ea typeface="Verdana"/>
              <a:cs typeface="Verdana"/>
            </a:rPr>
            <a:t>Actual</a:t>
          </a:r>
        </a:p>
      </cdr:txBody>
    </cdr:sp>
  </cdr:relSizeAnchor>
  <cdr:relSizeAnchor xmlns:cdr="http://schemas.openxmlformats.org/drawingml/2006/chartDrawing">
    <cdr:from>
      <cdr:x>0.71202</cdr:x>
      <cdr:y>0.86448</cdr:y>
    </cdr:from>
    <cdr:to>
      <cdr:x>0.79621</cdr:x>
      <cdr:y>0.89483</cdr:y>
    </cdr:to>
    <cdr:sp macro="" textlink="">
      <cdr:nvSpPr>
        <cdr:cNvPr id="20" name="Text Box 12"/>
        <cdr:cNvSpPr txBox="1">
          <a:spLocks xmlns:a="http://schemas.openxmlformats.org/drawingml/2006/main" noChangeArrowheads="1"/>
        </cdr:cNvSpPr>
      </cdr:nvSpPr>
      <cdr:spPr bwMode="auto">
        <a:xfrm xmlns:a="http://schemas.openxmlformats.org/drawingml/2006/main">
          <a:off x="6105591" y="5041534"/>
          <a:ext cx="721933" cy="1769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en-US" sz="1000" b="1" i="0" strike="noStrike">
              <a:solidFill>
                <a:srgbClr val="000000"/>
              </a:solidFill>
              <a:latin typeface="Verdana"/>
              <a:ea typeface="Verdana"/>
              <a:cs typeface="Verdana"/>
            </a:rPr>
            <a:t>Projected</a:t>
          </a:r>
        </a:p>
      </cdr:txBody>
    </cdr:sp>
  </cdr:relSizeAnchor>
  <cdr:relSizeAnchor xmlns:cdr="http://schemas.openxmlformats.org/drawingml/2006/chartDrawing">
    <cdr:from>
      <cdr:x>0.71098</cdr:x>
      <cdr:y>0.61874</cdr:y>
    </cdr:from>
    <cdr:to>
      <cdr:x>0.86139</cdr:x>
      <cdr:y>0.6491</cdr:y>
    </cdr:to>
    <cdr:sp macro="" textlink="">
      <cdr:nvSpPr>
        <cdr:cNvPr id="21" name="Text Box 6"/>
        <cdr:cNvSpPr txBox="1">
          <a:spLocks xmlns:a="http://schemas.openxmlformats.org/drawingml/2006/main" noChangeArrowheads="1"/>
        </cdr:cNvSpPr>
      </cdr:nvSpPr>
      <cdr:spPr bwMode="auto">
        <a:xfrm xmlns:a="http://schemas.openxmlformats.org/drawingml/2006/main">
          <a:off x="6085840" y="3606800"/>
          <a:ext cx="1287479" cy="1769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000" b="1" i="0" strike="noStrike">
              <a:solidFill>
                <a:schemeClr val="accent4"/>
              </a:solidFill>
              <a:latin typeface="Verdana"/>
              <a:ea typeface="Verdana"/>
              <a:cs typeface="Verdana"/>
            </a:rPr>
            <a:t>Geothermal</a:t>
          </a:r>
        </a:p>
      </cdr:txBody>
    </cdr:sp>
  </cdr:relSizeAnchor>
  <cdr:relSizeAnchor xmlns:cdr="http://schemas.openxmlformats.org/drawingml/2006/chartDrawing">
    <cdr:from>
      <cdr:x>0.04154</cdr:x>
      <cdr:y>0.05752</cdr:y>
    </cdr:from>
    <cdr:to>
      <cdr:x>0.07474</cdr:x>
      <cdr:y>0.08788</cdr:y>
    </cdr:to>
    <cdr:sp macro="" textlink="">
      <cdr:nvSpPr>
        <cdr:cNvPr id="22" name="Text Box 4"/>
        <cdr:cNvSpPr txBox="1">
          <a:spLocks xmlns:a="http://schemas.openxmlformats.org/drawingml/2006/main" noChangeArrowheads="1"/>
        </cdr:cNvSpPr>
      </cdr:nvSpPr>
      <cdr:spPr bwMode="auto">
        <a:xfrm xmlns:a="http://schemas.openxmlformats.org/drawingml/2006/main">
          <a:off x="355600" y="335280"/>
          <a:ext cx="284180" cy="1769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en-US" sz="1000" b="1" i="0" strike="noStrike">
              <a:solidFill>
                <a:schemeClr val="tx1"/>
              </a:solidFill>
              <a:latin typeface="Verdana"/>
              <a:ea typeface="Verdana"/>
              <a:cs typeface="Verdana"/>
            </a:rPr>
            <a:t>GW</a:t>
          </a: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575040" cy="583184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0.69545</cdr:x>
      <cdr:y>0.28911</cdr:y>
    </cdr:from>
    <cdr:to>
      <cdr:x>0.87596</cdr:x>
      <cdr:y>0.38295</cdr:y>
    </cdr:to>
    <cdr:sp macro="" textlink="">
      <cdr:nvSpPr>
        <cdr:cNvPr id="310274" name="Text Box 2"/>
        <cdr:cNvSpPr txBox="1">
          <a:spLocks xmlns:a="http://schemas.openxmlformats.org/drawingml/2006/main" noChangeArrowheads="1"/>
        </cdr:cNvSpPr>
      </cdr:nvSpPr>
      <cdr:spPr bwMode="auto">
        <a:xfrm xmlns:a="http://schemas.openxmlformats.org/drawingml/2006/main">
          <a:off x="5952913" y="1678022"/>
          <a:ext cx="1545167" cy="54701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sz="1000" b="1" i="0" strike="noStrike">
              <a:solidFill>
                <a:srgbClr val="FF6600"/>
              </a:solidFill>
              <a:latin typeface="Verdana"/>
              <a:ea typeface="Verdana"/>
              <a:cs typeface="Verdana"/>
            </a:rPr>
            <a:t>Cogeneration</a:t>
          </a:r>
          <a:r>
            <a:rPr lang="en-US" sz="1000" b="1" i="0" strike="noStrike" baseline="0">
              <a:solidFill>
                <a:srgbClr val="FF6600"/>
              </a:solidFill>
              <a:latin typeface="Verdana"/>
              <a:ea typeface="Verdana"/>
              <a:cs typeface="Verdana"/>
            </a:rPr>
            <a:t> (except by biomass)</a:t>
          </a:r>
          <a:endParaRPr lang="en-US" sz="1000" b="1" i="0" strike="noStrike">
            <a:solidFill>
              <a:srgbClr val="FF6600"/>
            </a:solidFill>
            <a:latin typeface="Verdana"/>
            <a:ea typeface="Verdana"/>
            <a:cs typeface="Verdana"/>
          </a:endParaRPr>
        </a:p>
      </cdr:txBody>
    </cdr:sp>
  </cdr:relSizeAnchor>
  <cdr:relSizeAnchor xmlns:cdr="http://schemas.openxmlformats.org/drawingml/2006/chartDrawing">
    <cdr:from>
      <cdr:x>0.69632</cdr:x>
      <cdr:y>0.64139</cdr:y>
    </cdr:from>
    <cdr:to>
      <cdr:x>0.74422</cdr:x>
      <cdr:y>0.67175</cdr:y>
    </cdr:to>
    <cdr:sp macro="" textlink="">
      <cdr:nvSpPr>
        <cdr:cNvPr id="310275" name="Text Box 3"/>
        <cdr:cNvSpPr txBox="1">
          <a:spLocks xmlns:a="http://schemas.openxmlformats.org/drawingml/2006/main" noChangeArrowheads="1"/>
        </cdr:cNvSpPr>
      </cdr:nvSpPr>
      <cdr:spPr bwMode="auto">
        <a:xfrm xmlns:a="http://schemas.openxmlformats.org/drawingml/2006/main">
          <a:off x="5960327" y="3738879"/>
          <a:ext cx="410014" cy="1769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spAutoFit/>
        </a:bodyPr>
        <a:lstStyle xmlns:a="http://schemas.openxmlformats.org/drawingml/2006/main"/>
        <a:p xmlns:a="http://schemas.openxmlformats.org/drawingml/2006/main">
          <a:pPr algn="l" rtl="0">
            <a:defRPr sz="1000"/>
          </a:pPr>
          <a:r>
            <a:rPr lang="en-US" sz="1000" b="1" i="0" strike="noStrike">
              <a:solidFill>
                <a:srgbClr val="0000D4"/>
              </a:solidFill>
              <a:latin typeface="Verdana"/>
              <a:ea typeface="Verdana"/>
              <a:cs typeface="Verdana"/>
            </a:rPr>
            <a:t>Wind</a:t>
          </a:r>
        </a:p>
      </cdr:txBody>
    </cdr:sp>
  </cdr:relSizeAnchor>
  <cdr:relSizeAnchor xmlns:cdr="http://schemas.openxmlformats.org/drawingml/2006/chartDrawing">
    <cdr:from>
      <cdr:x>0.69669</cdr:x>
      <cdr:y>0.57009</cdr:y>
    </cdr:from>
    <cdr:to>
      <cdr:x>0.91297</cdr:x>
      <cdr:y>0.6497</cdr:y>
    </cdr:to>
    <cdr:sp macro="" textlink="">
      <cdr:nvSpPr>
        <cdr:cNvPr id="310276" name="Text Box 4"/>
        <cdr:cNvSpPr txBox="1">
          <a:spLocks xmlns:a="http://schemas.openxmlformats.org/drawingml/2006/main" noChangeArrowheads="1"/>
        </cdr:cNvSpPr>
      </cdr:nvSpPr>
      <cdr:spPr bwMode="auto">
        <a:xfrm xmlns:a="http://schemas.openxmlformats.org/drawingml/2006/main">
          <a:off x="5963527" y="3323223"/>
          <a:ext cx="1851314" cy="46407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US" sz="1000" b="1" i="0" strike="noStrike">
              <a:solidFill>
                <a:srgbClr val="DD0806"/>
              </a:solidFill>
              <a:latin typeface="Verdana"/>
              <a:ea typeface="Verdana"/>
              <a:cs typeface="Verdana"/>
            </a:rPr>
            <a:t>Small Hydro (</a:t>
          </a:r>
          <a:r>
            <a:rPr lang="en-US" sz="1000" b="1" i="0" u="sng" strike="noStrike">
              <a:solidFill>
                <a:srgbClr val="DD0806"/>
              </a:solidFill>
              <a:latin typeface="Verdana"/>
              <a:ea typeface="Verdana"/>
              <a:cs typeface="Verdana"/>
            </a:rPr>
            <a:t>&lt;</a:t>
          </a:r>
          <a:r>
            <a:rPr lang="en-US" sz="1000" b="1" i="0" strike="noStrike">
              <a:solidFill>
                <a:srgbClr val="DD0806"/>
              </a:solidFill>
              <a:latin typeface="Verdana"/>
              <a:ea typeface="Verdana"/>
              <a:cs typeface="Verdana"/>
            </a:rPr>
            <a:t>10 MW)</a:t>
          </a:r>
        </a:p>
      </cdr:txBody>
    </cdr:sp>
  </cdr:relSizeAnchor>
  <cdr:relSizeAnchor xmlns:cdr="http://schemas.openxmlformats.org/drawingml/2006/chartDrawing">
    <cdr:from>
      <cdr:x>0.8035</cdr:x>
      <cdr:y>0.59075</cdr:y>
    </cdr:from>
    <cdr:to>
      <cdr:x>0.8095</cdr:x>
      <cdr:y>0.5995</cdr:y>
    </cdr:to>
    <cdr:sp macro="" textlink="">
      <cdr:nvSpPr>
        <cdr:cNvPr id="310277" name="Text Box 5"/>
        <cdr:cNvSpPr txBox="1">
          <a:spLocks xmlns:a="http://schemas.openxmlformats.org/drawingml/2006/main" noChangeArrowheads="1"/>
        </cdr:cNvSpPr>
      </cdr:nvSpPr>
      <cdr:spPr bwMode="auto">
        <a:xfrm xmlns:a="http://schemas.openxmlformats.org/drawingml/2006/main">
          <a:off x="6888004" y="3443659"/>
          <a:ext cx="51435" cy="5100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sz="1000" b="0" i="0" strike="noStrike">
              <a:solidFill>
                <a:srgbClr val="000000"/>
              </a:solidFill>
              <a:latin typeface="Verdana"/>
              <a:ea typeface="Verdana"/>
              <a:cs typeface="Verdana"/>
            </a:rPr>
            <a:t>Bio</a:t>
          </a:r>
        </a:p>
      </cdr:txBody>
    </cdr:sp>
  </cdr:relSizeAnchor>
  <cdr:relSizeAnchor xmlns:cdr="http://schemas.openxmlformats.org/drawingml/2006/chartDrawing">
    <cdr:from>
      <cdr:x>0.69651</cdr:x>
      <cdr:y>0.51387</cdr:y>
    </cdr:from>
    <cdr:to>
      <cdr:x>0.86575</cdr:x>
      <cdr:y>0.79537</cdr:y>
    </cdr:to>
    <cdr:sp macro="" textlink="">
      <cdr:nvSpPr>
        <cdr:cNvPr id="310278" name="Text Box 6"/>
        <cdr:cNvSpPr txBox="1">
          <a:spLocks xmlns:a="http://schemas.openxmlformats.org/drawingml/2006/main" noChangeArrowheads="1"/>
        </cdr:cNvSpPr>
      </cdr:nvSpPr>
      <cdr:spPr bwMode="auto">
        <a:xfrm xmlns:a="http://schemas.openxmlformats.org/drawingml/2006/main">
          <a:off x="5961960" y="2995500"/>
          <a:ext cx="1448661" cy="164094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US" sz="1000" b="1" i="0" strike="noStrike">
              <a:solidFill>
                <a:srgbClr val="99CC00"/>
              </a:solidFill>
              <a:latin typeface="Verdana"/>
              <a:ea typeface="Verdana"/>
              <a:cs typeface="Verdana"/>
            </a:rPr>
            <a:t>Biomass and Waste</a:t>
          </a:r>
        </a:p>
      </cdr:txBody>
    </cdr:sp>
  </cdr:relSizeAnchor>
  <cdr:relSizeAnchor xmlns:cdr="http://schemas.openxmlformats.org/drawingml/2006/chartDrawing">
    <cdr:from>
      <cdr:x>0.69557</cdr:x>
      <cdr:y>0.45571</cdr:y>
    </cdr:from>
    <cdr:to>
      <cdr:x>0.81265</cdr:x>
      <cdr:y>0.48607</cdr:y>
    </cdr:to>
    <cdr:sp macro="" textlink="">
      <cdr:nvSpPr>
        <cdr:cNvPr id="310279" name="Text Box 7"/>
        <cdr:cNvSpPr txBox="1">
          <a:spLocks xmlns:a="http://schemas.openxmlformats.org/drawingml/2006/main" noChangeArrowheads="1"/>
        </cdr:cNvSpPr>
      </cdr:nvSpPr>
      <cdr:spPr bwMode="auto">
        <a:xfrm xmlns:a="http://schemas.openxmlformats.org/drawingml/2006/main">
          <a:off x="5953940" y="2656461"/>
          <a:ext cx="1002213" cy="1769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US" sz="1000" b="1" i="0" strike="noStrike">
              <a:solidFill>
                <a:schemeClr val="bg1">
                  <a:lumMod val="75000"/>
                </a:schemeClr>
              </a:solidFill>
              <a:latin typeface="Verdana"/>
              <a:ea typeface="Verdana"/>
              <a:cs typeface="Verdana"/>
            </a:rPr>
            <a:t>Photovoltaics</a:t>
          </a:r>
        </a:p>
      </cdr:txBody>
    </cdr:sp>
  </cdr:relSizeAnchor>
  <cdr:relSizeAnchor xmlns:cdr="http://schemas.openxmlformats.org/drawingml/2006/chartDrawing">
    <cdr:from>
      <cdr:x>0.69425</cdr:x>
      <cdr:y>0.41997</cdr:y>
    </cdr:from>
    <cdr:to>
      <cdr:x>0.79665</cdr:x>
      <cdr:y>0.68422</cdr:y>
    </cdr:to>
    <cdr:sp macro="" textlink="">
      <cdr:nvSpPr>
        <cdr:cNvPr id="310280" name="Text Box 8"/>
        <cdr:cNvSpPr txBox="1">
          <a:spLocks xmlns:a="http://schemas.openxmlformats.org/drawingml/2006/main" noChangeArrowheads="1"/>
        </cdr:cNvSpPr>
      </cdr:nvSpPr>
      <cdr:spPr bwMode="auto">
        <a:xfrm xmlns:a="http://schemas.openxmlformats.org/drawingml/2006/main">
          <a:off x="5942667" y="2448104"/>
          <a:ext cx="876524" cy="154039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US" sz="1000" b="1" i="0" strike="noStrike">
              <a:solidFill>
                <a:srgbClr val="6711FF"/>
              </a:solidFill>
              <a:latin typeface="Verdana"/>
              <a:ea typeface="Verdana"/>
              <a:cs typeface="Verdana"/>
            </a:rPr>
            <a:t>Geothermal</a:t>
          </a:r>
        </a:p>
      </cdr:txBody>
    </cdr:sp>
  </cdr:relSizeAnchor>
  <cdr:relSizeAnchor xmlns:cdr="http://schemas.openxmlformats.org/drawingml/2006/chartDrawing">
    <cdr:from>
      <cdr:x>0.27535</cdr:x>
      <cdr:y>0.4101</cdr:y>
    </cdr:from>
    <cdr:to>
      <cdr:x>0.3422</cdr:x>
      <cdr:y>0.43967</cdr:y>
    </cdr:to>
    <cdr:sp macro="" textlink="">
      <cdr:nvSpPr>
        <cdr:cNvPr id="310281" name="Text Box 9"/>
        <cdr:cNvSpPr txBox="1">
          <a:spLocks xmlns:a="http://schemas.openxmlformats.org/drawingml/2006/main" noChangeArrowheads="1"/>
        </cdr:cNvSpPr>
      </cdr:nvSpPr>
      <cdr:spPr bwMode="auto">
        <a:xfrm xmlns:a="http://schemas.openxmlformats.org/drawingml/2006/main">
          <a:off x="2356941" y="2390596"/>
          <a:ext cx="572254" cy="1723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en-US" sz="1000" b="1" i="0" strike="noStrike">
              <a:solidFill>
                <a:schemeClr val="bg1"/>
              </a:solidFill>
              <a:latin typeface="Verdana"/>
              <a:ea typeface="Verdana"/>
              <a:cs typeface="Verdana"/>
            </a:rPr>
            <a:t>Nuclear</a:t>
          </a:r>
        </a:p>
      </cdr:txBody>
    </cdr:sp>
  </cdr:relSizeAnchor>
  <cdr:relSizeAnchor xmlns:cdr="http://schemas.openxmlformats.org/drawingml/2006/chartDrawing">
    <cdr:from>
      <cdr:x>0.47295</cdr:x>
      <cdr:y>0.84532</cdr:y>
    </cdr:from>
    <cdr:to>
      <cdr:x>0.53048</cdr:x>
      <cdr:y>0.87567</cdr:y>
    </cdr:to>
    <cdr:sp macro="" textlink="">
      <cdr:nvSpPr>
        <cdr:cNvPr id="310284" name="Text Box 12"/>
        <cdr:cNvSpPr txBox="1">
          <a:spLocks xmlns:a="http://schemas.openxmlformats.org/drawingml/2006/main" noChangeArrowheads="1"/>
        </cdr:cNvSpPr>
      </cdr:nvSpPr>
      <cdr:spPr bwMode="auto">
        <a:xfrm xmlns:a="http://schemas.openxmlformats.org/drawingml/2006/main">
          <a:off x="4055547" y="4929771"/>
          <a:ext cx="493322" cy="17699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spAutoFit/>
        </a:bodyPr>
        <a:lstStyle xmlns:a="http://schemas.openxmlformats.org/drawingml/2006/main"/>
        <a:p xmlns:a="http://schemas.openxmlformats.org/drawingml/2006/main">
          <a:pPr algn="l" rtl="0">
            <a:defRPr sz="1000"/>
          </a:pPr>
          <a:r>
            <a:rPr lang="en-US" sz="1000" b="1" i="0" strike="noStrike">
              <a:solidFill>
                <a:srgbClr val="FFFFFF"/>
              </a:solidFill>
              <a:latin typeface="Verdana"/>
              <a:ea typeface="Verdana"/>
              <a:cs typeface="Verdana"/>
            </a:rPr>
            <a:t>Actual</a:t>
          </a:r>
        </a:p>
      </cdr:txBody>
    </cdr:sp>
  </cdr:relSizeAnchor>
  <cdr:relSizeAnchor xmlns:cdr="http://schemas.openxmlformats.org/drawingml/2006/chartDrawing">
    <cdr:from>
      <cdr:x>0.41449</cdr:x>
      <cdr:y>0.26119</cdr:y>
    </cdr:from>
    <cdr:to>
      <cdr:x>0.47393</cdr:x>
      <cdr:y>0.38502</cdr:y>
    </cdr:to>
    <cdr:sp macro="" textlink="">
      <cdr:nvSpPr>
        <cdr:cNvPr id="310285" name="Line 13"/>
        <cdr:cNvSpPr>
          <a:spLocks xmlns:a="http://schemas.openxmlformats.org/drawingml/2006/main" noChangeShapeType="1"/>
        </cdr:cNvSpPr>
      </cdr:nvSpPr>
      <cdr:spPr bwMode="auto">
        <a:xfrm xmlns:a="http://schemas.openxmlformats.org/drawingml/2006/main">
          <a:off x="3554268" y="1523218"/>
          <a:ext cx="509731" cy="722142"/>
        </a:xfrm>
        <a:prstGeom xmlns:a="http://schemas.openxmlformats.org/drawingml/2006/main" prst="line">
          <a:avLst/>
        </a:prstGeom>
        <a:noFill xmlns:a="http://schemas.openxmlformats.org/drawingml/2006/main"/>
        <a:ln xmlns:a="http://schemas.openxmlformats.org/drawingml/2006/main" w="9525">
          <a:solidFill>
            <a:schemeClr val="bg1"/>
          </a:solidFill>
          <a:prstDash val="dash"/>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0.3181</cdr:x>
      <cdr:y>0.44544</cdr:y>
    </cdr:from>
    <cdr:to>
      <cdr:x>0.38283</cdr:x>
      <cdr:y>0.59086</cdr:y>
    </cdr:to>
    <cdr:sp macro="" textlink="">
      <cdr:nvSpPr>
        <cdr:cNvPr id="310286" name="Line 14"/>
        <cdr:cNvSpPr>
          <a:spLocks xmlns:a="http://schemas.openxmlformats.org/drawingml/2006/main" noChangeShapeType="1"/>
        </cdr:cNvSpPr>
      </cdr:nvSpPr>
      <cdr:spPr bwMode="auto">
        <a:xfrm xmlns:a="http://schemas.openxmlformats.org/drawingml/2006/main">
          <a:off x="2722880" y="2590800"/>
          <a:ext cx="551928" cy="849128"/>
        </a:xfrm>
        <a:prstGeom xmlns:a="http://schemas.openxmlformats.org/drawingml/2006/main" prst="line">
          <a:avLst/>
        </a:prstGeom>
        <a:noFill xmlns:a="http://schemas.openxmlformats.org/drawingml/2006/main"/>
        <a:ln xmlns:a="http://schemas.openxmlformats.org/drawingml/2006/main" w="9525">
          <a:solidFill>
            <a:schemeClr val="bg1"/>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0.08096</cdr:x>
      <cdr:y>0.21239</cdr:y>
    </cdr:from>
    <cdr:to>
      <cdr:x>0.60178</cdr:x>
      <cdr:y>0.25597</cdr:y>
    </cdr:to>
    <cdr:sp macro="" textlink="">
      <cdr:nvSpPr>
        <cdr:cNvPr id="310287" name="Text Box 15"/>
        <cdr:cNvSpPr txBox="1">
          <a:spLocks xmlns:a="http://schemas.openxmlformats.org/drawingml/2006/main" noChangeArrowheads="1"/>
        </cdr:cNvSpPr>
      </cdr:nvSpPr>
      <cdr:spPr bwMode="auto">
        <a:xfrm xmlns:a="http://schemas.openxmlformats.org/drawingml/2006/main">
          <a:off x="690880" y="1229361"/>
          <a:ext cx="4460241" cy="254000"/>
        </a:xfrm>
        <a:prstGeom xmlns:a="http://schemas.openxmlformats.org/drawingml/2006/main" prst="rect">
          <a:avLst/>
        </a:prstGeom>
        <a:noFill xmlns:a="http://schemas.openxmlformats.org/drawingml/2006/main"/>
        <a:ln xmlns:a="http://schemas.openxmlformats.org/drawingml/2006/main" w="9525">
          <a:solidFill>
            <a:schemeClr val="bg1"/>
          </a:solidFill>
          <a:prstDash val="dash"/>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US" sz="1000" b="1" i="0" strike="noStrike">
              <a:solidFill>
                <a:schemeClr val="bg1"/>
              </a:solidFill>
              <a:latin typeface="Verdana"/>
              <a:ea typeface="Verdana"/>
              <a:cs typeface="Verdana"/>
            </a:rPr>
            <a:t>Total Micropower (CHP plus</a:t>
          </a:r>
          <a:r>
            <a:rPr lang="en-US" sz="1000" b="1" i="0" strike="noStrike" baseline="0">
              <a:solidFill>
                <a:schemeClr val="bg1"/>
              </a:solidFill>
              <a:latin typeface="Verdana"/>
              <a:ea typeface="Verdana"/>
              <a:cs typeface="Verdana"/>
            </a:rPr>
            <a:t> renewables except large hydro)</a:t>
          </a:r>
          <a:endParaRPr lang="en-US" sz="1000" b="1" i="0" strike="noStrike">
            <a:solidFill>
              <a:schemeClr val="bg1"/>
            </a:solidFill>
            <a:latin typeface="Verdana"/>
            <a:ea typeface="Verdana"/>
            <a:cs typeface="Verdana"/>
          </a:endParaRPr>
        </a:p>
      </cdr:txBody>
    </cdr:sp>
  </cdr:relSizeAnchor>
  <cdr:relSizeAnchor xmlns:cdr="http://schemas.openxmlformats.org/drawingml/2006/chartDrawing">
    <cdr:from>
      <cdr:x>0.54178</cdr:x>
      <cdr:y>0.86105</cdr:y>
    </cdr:from>
    <cdr:to>
      <cdr:x>0.63882</cdr:x>
      <cdr:y>0.86105</cdr:y>
    </cdr:to>
    <cdr:sp macro="" textlink="">
      <cdr:nvSpPr>
        <cdr:cNvPr id="310290" name="Line 18"/>
        <cdr:cNvSpPr>
          <a:spLocks xmlns:a="http://schemas.openxmlformats.org/drawingml/2006/main" noChangeShapeType="1"/>
        </cdr:cNvSpPr>
      </cdr:nvSpPr>
      <cdr:spPr bwMode="auto">
        <a:xfrm xmlns:a="http://schemas.openxmlformats.org/drawingml/2006/main" flipH="1" flipV="1">
          <a:off x="4645805" y="5021506"/>
          <a:ext cx="832122" cy="0"/>
        </a:xfrm>
        <a:prstGeom xmlns:a="http://schemas.openxmlformats.org/drawingml/2006/main" prst="line">
          <a:avLst/>
        </a:prstGeom>
        <a:noFill xmlns:a="http://schemas.openxmlformats.org/drawingml/2006/main"/>
        <a:ln xmlns:a="http://schemas.openxmlformats.org/drawingml/2006/main" w="9525">
          <a:solidFill>
            <a:srgbClr val="FFFFFF"/>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0.69774</cdr:x>
      <cdr:y>0.84531</cdr:y>
    </cdr:from>
    <cdr:to>
      <cdr:x>0.78074</cdr:x>
      <cdr:y>0.87567</cdr:y>
    </cdr:to>
    <cdr:sp macro="" textlink="">
      <cdr:nvSpPr>
        <cdr:cNvPr id="310291" name="Text Box 19"/>
        <cdr:cNvSpPr txBox="1">
          <a:spLocks xmlns:a="http://schemas.openxmlformats.org/drawingml/2006/main" noChangeArrowheads="1"/>
        </cdr:cNvSpPr>
      </cdr:nvSpPr>
      <cdr:spPr bwMode="auto">
        <a:xfrm xmlns:a="http://schemas.openxmlformats.org/drawingml/2006/main">
          <a:off x="5983112" y="4929725"/>
          <a:ext cx="711728" cy="1770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spAutoFit/>
        </a:bodyPr>
        <a:lstStyle xmlns:a="http://schemas.openxmlformats.org/drawingml/2006/main"/>
        <a:p xmlns:a="http://schemas.openxmlformats.org/drawingml/2006/main">
          <a:pPr algn="l" rtl="0">
            <a:defRPr sz="1000"/>
          </a:pPr>
          <a:r>
            <a:rPr lang="en-US" sz="1000" b="1" i="0" strike="noStrike">
              <a:solidFill>
                <a:srgbClr val="FFFFFF"/>
              </a:solidFill>
              <a:latin typeface="Verdana"/>
              <a:ea typeface="Verdana"/>
              <a:cs typeface="Verdana"/>
            </a:rPr>
            <a:t>Projected</a:t>
          </a:r>
        </a:p>
      </cdr:txBody>
    </cdr:sp>
  </cdr:relSizeAnchor>
  <cdr:relSizeAnchor xmlns:cdr="http://schemas.openxmlformats.org/drawingml/2006/chartDrawing">
    <cdr:from>
      <cdr:x>0.65166</cdr:x>
      <cdr:y>0.86063</cdr:y>
    </cdr:from>
    <cdr:to>
      <cdr:x>0.69626</cdr:x>
      <cdr:y>0.86105</cdr:y>
    </cdr:to>
    <cdr:sp macro="" textlink="">
      <cdr:nvSpPr>
        <cdr:cNvPr id="310292" name="Line 20"/>
        <cdr:cNvSpPr>
          <a:spLocks xmlns:a="http://schemas.openxmlformats.org/drawingml/2006/main" noChangeShapeType="1"/>
        </cdr:cNvSpPr>
      </cdr:nvSpPr>
      <cdr:spPr bwMode="auto">
        <a:xfrm xmlns:a="http://schemas.openxmlformats.org/drawingml/2006/main" flipH="1" flipV="1">
          <a:off x="5588000" y="5019040"/>
          <a:ext cx="382456" cy="2466"/>
        </a:xfrm>
        <a:prstGeom xmlns:a="http://schemas.openxmlformats.org/drawingml/2006/main" prst="line">
          <a:avLst/>
        </a:prstGeom>
        <a:noFill xmlns:a="http://schemas.openxmlformats.org/drawingml/2006/main"/>
        <a:ln xmlns:a="http://schemas.openxmlformats.org/drawingml/2006/main" w="9525">
          <a:solidFill>
            <a:srgbClr val="FFFFFF"/>
          </a:solidFill>
          <a:round/>
          <a:headEnd type="triangle" w="med" len="me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cdr:x>
      <cdr:y>0</cdr:y>
    </cdr:from>
    <cdr:to>
      <cdr:x>0</cdr:x>
      <cdr:y>0</cdr:y>
    </cdr:to>
    <cdr:sp macro="" textlink="">
      <cdr:nvSpPr>
        <cdr:cNvPr id="17" name="Text Box 21"/>
        <cdr:cNvSpPr txBox="1">
          <a:spLocks xmlns:a="http://schemas.openxmlformats.org/drawingml/2006/main" noChangeArrowheads="1"/>
        </cdr:cNvSpPr>
      </cdr:nvSpPr>
      <cdr:spPr bwMode="auto">
        <a:xfrm xmlns:a="http://schemas.openxmlformats.org/drawingml/2006/main">
          <a:off x="0" y="0"/>
          <a:ext cx="507921" cy="2025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en-US" sz="1000" b="0" i="0" strike="noStrike">
              <a:solidFill>
                <a:srgbClr val="FFFFFF"/>
              </a:solidFill>
              <a:latin typeface="Verdana"/>
              <a:ea typeface="Verdana"/>
              <a:cs typeface="Verdana"/>
            </a:rPr>
            <a:t>Actual</a:t>
          </a:r>
        </a:p>
      </cdr:txBody>
    </cdr:sp>
  </cdr:relSizeAnchor>
  <cdr:relSizeAnchor xmlns:cdr="http://schemas.openxmlformats.org/drawingml/2006/chartDrawing">
    <cdr:from>
      <cdr:x>0.01349</cdr:x>
      <cdr:y>0.05054</cdr:y>
    </cdr:from>
    <cdr:to>
      <cdr:x>0.06314</cdr:x>
      <cdr:y>0.0809</cdr:y>
    </cdr:to>
    <cdr:sp macro="" textlink="">
      <cdr:nvSpPr>
        <cdr:cNvPr id="18" name="Text Box 4"/>
        <cdr:cNvSpPr txBox="1">
          <a:spLocks xmlns:a="http://schemas.openxmlformats.org/drawingml/2006/main" noChangeArrowheads="1"/>
        </cdr:cNvSpPr>
      </cdr:nvSpPr>
      <cdr:spPr bwMode="auto">
        <a:xfrm xmlns:a="http://schemas.openxmlformats.org/drawingml/2006/main">
          <a:off x="115694" y="294741"/>
          <a:ext cx="425719" cy="1770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en-US" sz="1000" b="1" i="0" strike="noStrike">
              <a:solidFill>
                <a:sysClr val="window" lastClr="FFFFFF"/>
              </a:solidFill>
              <a:latin typeface="Verdana"/>
              <a:ea typeface="Verdana"/>
              <a:cs typeface="Verdana"/>
            </a:rPr>
            <a:t>TWh</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8575040" cy="583184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0.69545</cdr:x>
      <cdr:y>0.28911</cdr:y>
    </cdr:from>
    <cdr:to>
      <cdr:x>0.87596</cdr:x>
      <cdr:y>0.38295</cdr:y>
    </cdr:to>
    <cdr:sp macro="" textlink="">
      <cdr:nvSpPr>
        <cdr:cNvPr id="310274" name="Text Box 2"/>
        <cdr:cNvSpPr txBox="1">
          <a:spLocks xmlns:a="http://schemas.openxmlformats.org/drawingml/2006/main" noChangeArrowheads="1"/>
        </cdr:cNvSpPr>
      </cdr:nvSpPr>
      <cdr:spPr bwMode="auto">
        <a:xfrm xmlns:a="http://schemas.openxmlformats.org/drawingml/2006/main">
          <a:off x="5952913" y="1678022"/>
          <a:ext cx="1545167" cy="54701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sz="1000" b="1" i="0" strike="noStrike">
              <a:solidFill>
                <a:srgbClr val="FF6600"/>
              </a:solidFill>
              <a:latin typeface="Verdana"/>
              <a:ea typeface="Verdana"/>
              <a:cs typeface="Verdana"/>
            </a:rPr>
            <a:t>Cogeneration</a:t>
          </a:r>
          <a:r>
            <a:rPr lang="en-US" sz="1000" b="1" i="0" strike="noStrike" baseline="0">
              <a:solidFill>
                <a:srgbClr val="FF6600"/>
              </a:solidFill>
              <a:latin typeface="Verdana"/>
              <a:ea typeface="Verdana"/>
              <a:cs typeface="Verdana"/>
            </a:rPr>
            <a:t> (except by biomass)</a:t>
          </a:r>
          <a:endParaRPr lang="en-US" sz="1000" b="1" i="0" strike="noStrike">
            <a:solidFill>
              <a:srgbClr val="FF6600"/>
            </a:solidFill>
            <a:latin typeface="Verdana"/>
            <a:ea typeface="Verdana"/>
            <a:cs typeface="Verdana"/>
          </a:endParaRPr>
        </a:p>
      </cdr:txBody>
    </cdr:sp>
  </cdr:relSizeAnchor>
  <cdr:relSizeAnchor xmlns:cdr="http://schemas.openxmlformats.org/drawingml/2006/chartDrawing">
    <cdr:from>
      <cdr:x>0.69632</cdr:x>
      <cdr:y>0.64139</cdr:y>
    </cdr:from>
    <cdr:to>
      <cdr:x>0.74422</cdr:x>
      <cdr:y>0.67175</cdr:y>
    </cdr:to>
    <cdr:sp macro="" textlink="">
      <cdr:nvSpPr>
        <cdr:cNvPr id="310275" name="Text Box 3"/>
        <cdr:cNvSpPr txBox="1">
          <a:spLocks xmlns:a="http://schemas.openxmlformats.org/drawingml/2006/main" noChangeArrowheads="1"/>
        </cdr:cNvSpPr>
      </cdr:nvSpPr>
      <cdr:spPr bwMode="auto">
        <a:xfrm xmlns:a="http://schemas.openxmlformats.org/drawingml/2006/main">
          <a:off x="5960327" y="3738879"/>
          <a:ext cx="410014" cy="1769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spAutoFit/>
        </a:bodyPr>
        <a:lstStyle xmlns:a="http://schemas.openxmlformats.org/drawingml/2006/main"/>
        <a:p xmlns:a="http://schemas.openxmlformats.org/drawingml/2006/main">
          <a:pPr algn="l" rtl="0">
            <a:defRPr sz="1000"/>
          </a:pPr>
          <a:r>
            <a:rPr lang="en-US" sz="1000" b="1" i="0" strike="noStrike">
              <a:solidFill>
                <a:srgbClr val="0000D4"/>
              </a:solidFill>
              <a:latin typeface="Verdana"/>
              <a:ea typeface="Verdana"/>
              <a:cs typeface="Verdana"/>
            </a:rPr>
            <a:t>Wind</a:t>
          </a:r>
        </a:p>
      </cdr:txBody>
    </cdr:sp>
  </cdr:relSizeAnchor>
  <cdr:relSizeAnchor xmlns:cdr="http://schemas.openxmlformats.org/drawingml/2006/chartDrawing">
    <cdr:from>
      <cdr:x>0.69669</cdr:x>
      <cdr:y>0.58229</cdr:y>
    </cdr:from>
    <cdr:to>
      <cdr:x>0.91297</cdr:x>
      <cdr:y>0.6619</cdr:y>
    </cdr:to>
    <cdr:sp macro="" textlink="">
      <cdr:nvSpPr>
        <cdr:cNvPr id="310276" name="Text Box 4"/>
        <cdr:cNvSpPr txBox="1">
          <a:spLocks xmlns:a="http://schemas.openxmlformats.org/drawingml/2006/main" noChangeArrowheads="1"/>
        </cdr:cNvSpPr>
      </cdr:nvSpPr>
      <cdr:spPr bwMode="auto">
        <a:xfrm xmlns:a="http://schemas.openxmlformats.org/drawingml/2006/main">
          <a:off x="5963527" y="3389971"/>
          <a:ext cx="1690815" cy="1769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US" sz="1000" b="1" i="0" strike="noStrike">
              <a:solidFill>
                <a:srgbClr val="DD0806"/>
              </a:solidFill>
              <a:latin typeface="Verdana"/>
              <a:ea typeface="Verdana"/>
              <a:cs typeface="Verdana"/>
            </a:rPr>
            <a:t>Small Hydro (</a:t>
          </a:r>
          <a:r>
            <a:rPr lang="en-US" sz="1000" b="1" i="0" u="sng" strike="noStrike">
              <a:solidFill>
                <a:srgbClr val="DD0806"/>
              </a:solidFill>
              <a:latin typeface="Verdana"/>
              <a:ea typeface="Verdana"/>
              <a:cs typeface="Verdana"/>
            </a:rPr>
            <a:t>&lt;</a:t>
          </a:r>
          <a:r>
            <a:rPr lang="en-US" sz="1000" b="1" i="0" strike="noStrike">
              <a:solidFill>
                <a:srgbClr val="DD0806"/>
              </a:solidFill>
              <a:latin typeface="Verdana"/>
              <a:ea typeface="Verdana"/>
              <a:cs typeface="Verdana"/>
            </a:rPr>
            <a:t>10 MW)</a:t>
          </a:r>
        </a:p>
      </cdr:txBody>
    </cdr:sp>
  </cdr:relSizeAnchor>
  <cdr:relSizeAnchor xmlns:cdr="http://schemas.openxmlformats.org/drawingml/2006/chartDrawing">
    <cdr:from>
      <cdr:x>0.8035</cdr:x>
      <cdr:y>0.59075</cdr:y>
    </cdr:from>
    <cdr:to>
      <cdr:x>0.8095</cdr:x>
      <cdr:y>0.5995</cdr:y>
    </cdr:to>
    <cdr:sp macro="" textlink="">
      <cdr:nvSpPr>
        <cdr:cNvPr id="310277" name="Text Box 5"/>
        <cdr:cNvSpPr txBox="1">
          <a:spLocks xmlns:a="http://schemas.openxmlformats.org/drawingml/2006/main" noChangeArrowheads="1"/>
        </cdr:cNvSpPr>
      </cdr:nvSpPr>
      <cdr:spPr bwMode="auto">
        <a:xfrm xmlns:a="http://schemas.openxmlformats.org/drawingml/2006/main">
          <a:off x="6888004" y="3443659"/>
          <a:ext cx="51435" cy="5100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sz="1000" b="0" i="0" strike="noStrike">
              <a:solidFill>
                <a:srgbClr val="000000"/>
              </a:solidFill>
              <a:latin typeface="Verdana"/>
              <a:ea typeface="Verdana"/>
              <a:cs typeface="Verdana"/>
            </a:rPr>
            <a:t>Bio</a:t>
          </a:r>
        </a:p>
      </cdr:txBody>
    </cdr:sp>
  </cdr:relSizeAnchor>
  <cdr:relSizeAnchor xmlns:cdr="http://schemas.openxmlformats.org/drawingml/2006/chartDrawing">
    <cdr:from>
      <cdr:x>0.69532</cdr:x>
      <cdr:y>0.52607</cdr:y>
    </cdr:from>
    <cdr:to>
      <cdr:x>0.86456</cdr:x>
      <cdr:y>0.80757</cdr:y>
    </cdr:to>
    <cdr:sp macro="" textlink="">
      <cdr:nvSpPr>
        <cdr:cNvPr id="310278" name="Text Box 6"/>
        <cdr:cNvSpPr txBox="1">
          <a:spLocks xmlns:a="http://schemas.openxmlformats.org/drawingml/2006/main" noChangeArrowheads="1"/>
        </cdr:cNvSpPr>
      </cdr:nvSpPr>
      <cdr:spPr bwMode="auto">
        <a:xfrm xmlns:a="http://schemas.openxmlformats.org/drawingml/2006/main">
          <a:off x="5951793" y="3066620"/>
          <a:ext cx="1448661" cy="164094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US" sz="1000" b="1" i="0" strike="noStrike">
              <a:solidFill>
                <a:srgbClr val="99CC00"/>
              </a:solidFill>
              <a:latin typeface="Verdana"/>
              <a:ea typeface="Verdana"/>
              <a:cs typeface="Verdana"/>
            </a:rPr>
            <a:t>Biomass and Waste</a:t>
          </a:r>
        </a:p>
      </cdr:txBody>
    </cdr:sp>
  </cdr:relSizeAnchor>
  <cdr:relSizeAnchor xmlns:cdr="http://schemas.openxmlformats.org/drawingml/2006/chartDrawing">
    <cdr:from>
      <cdr:x>0.69557</cdr:x>
      <cdr:y>0.46268</cdr:y>
    </cdr:from>
    <cdr:to>
      <cdr:x>0.8129</cdr:x>
      <cdr:y>0.51954</cdr:y>
    </cdr:to>
    <cdr:sp macro="" textlink="">
      <cdr:nvSpPr>
        <cdr:cNvPr id="310279" name="Text Box 7"/>
        <cdr:cNvSpPr txBox="1">
          <a:spLocks xmlns:a="http://schemas.openxmlformats.org/drawingml/2006/main" noChangeArrowheads="1"/>
        </cdr:cNvSpPr>
      </cdr:nvSpPr>
      <cdr:spPr bwMode="auto">
        <a:xfrm xmlns:a="http://schemas.openxmlformats.org/drawingml/2006/main">
          <a:off x="5951800" y="2697101"/>
          <a:ext cx="1002213" cy="1769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US" sz="1000" b="1" i="0" strike="noStrike">
              <a:solidFill>
                <a:schemeClr val="tx1"/>
              </a:solidFill>
              <a:latin typeface="Verdana"/>
              <a:ea typeface="Verdana"/>
              <a:cs typeface="Verdana"/>
            </a:rPr>
            <a:t>Photovoltaics</a:t>
          </a:r>
        </a:p>
      </cdr:txBody>
    </cdr:sp>
  </cdr:relSizeAnchor>
  <cdr:relSizeAnchor xmlns:cdr="http://schemas.openxmlformats.org/drawingml/2006/chartDrawing">
    <cdr:from>
      <cdr:x>0.69544</cdr:x>
      <cdr:y>0.42868</cdr:y>
    </cdr:from>
    <cdr:to>
      <cdr:x>0.79784</cdr:x>
      <cdr:y>0.69293</cdr:y>
    </cdr:to>
    <cdr:sp macro="" textlink="">
      <cdr:nvSpPr>
        <cdr:cNvPr id="310280" name="Text Box 8"/>
        <cdr:cNvSpPr txBox="1">
          <a:spLocks xmlns:a="http://schemas.openxmlformats.org/drawingml/2006/main" noChangeArrowheads="1"/>
        </cdr:cNvSpPr>
      </cdr:nvSpPr>
      <cdr:spPr bwMode="auto">
        <a:xfrm xmlns:a="http://schemas.openxmlformats.org/drawingml/2006/main">
          <a:off x="5952861" y="2498878"/>
          <a:ext cx="876523" cy="154039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US" sz="1000" b="1" i="0" strike="noStrike">
              <a:solidFill>
                <a:srgbClr val="6711FF"/>
              </a:solidFill>
              <a:latin typeface="Verdana"/>
              <a:ea typeface="Verdana"/>
              <a:cs typeface="Verdana"/>
            </a:rPr>
            <a:t>Geothermal</a:t>
          </a:r>
        </a:p>
      </cdr:txBody>
    </cdr:sp>
  </cdr:relSizeAnchor>
  <cdr:relSizeAnchor xmlns:cdr="http://schemas.openxmlformats.org/drawingml/2006/chartDrawing">
    <cdr:from>
      <cdr:x>0.27535</cdr:x>
      <cdr:y>0.4101</cdr:y>
    </cdr:from>
    <cdr:to>
      <cdr:x>0.4011</cdr:x>
      <cdr:y>0.44435</cdr:y>
    </cdr:to>
    <cdr:sp macro="" textlink="">
      <cdr:nvSpPr>
        <cdr:cNvPr id="310281" name="Text Box 9"/>
        <cdr:cNvSpPr txBox="1">
          <a:spLocks xmlns:a="http://schemas.openxmlformats.org/drawingml/2006/main" noChangeArrowheads="1"/>
        </cdr:cNvSpPr>
      </cdr:nvSpPr>
      <cdr:spPr bwMode="auto">
        <a:xfrm xmlns:a="http://schemas.openxmlformats.org/drawingml/2006/main">
          <a:off x="2356972" y="2390599"/>
          <a:ext cx="1076395" cy="19965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en-US" sz="1000" b="1" i="0" strike="noStrike">
              <a:solidFill>
                <a:srgbClr val="000000"/>
              </a:solidFill>
              <a:latin typeface="Verdana"/>
              <a:ea typeface="Verdana"/>
              <a:cs typeface="Verdana"/>
            </a:rPr>
            <a:t>Nuclear</a:t>
          </a:r>
        </a:p>
      </cdr:txBody>
    </cdr:sp>
  </cdr:relSizeAnchor>
  <cdr:relSizeAnchor xmlns:cdr="http://schemas.openxmlformats.org/drawingml/2006/chartDrawing">
    <cdr:from>
      <cdr:x>0.4765</cdr:x>
      <cdr:y>0.84532</cdr:y>
    </cdr:from>
    <cdr:to>
      <cdr:x>0.53403</cdr:x>
      <cdr:y>0.87567</cdr:y>
    </cdr:to>
    <cdr:sp macro="" textlink="">
      <cdr:nvSpPr>
        <cdr:cNvPr id="310284" name="Text Box 12"/>
        <cdr:cNvSpPr txBox="1">
          <a:spLocks xmlns:a="http://schemas.openxmlformats.org/drawingml/2006/main" noChangeArrowheads="1"/>
        </cdr:cNvSpPr>
      </cdr:nvSpPr>
      <cdr:spPr bwMode="auto">
        <a:xfrm xmlns:a="http://schemas.openxmlformats.org/drawingml/2006/main">
          <a:off x="4085988" y="4929784"/>
          <a:ext cx="493322" cy="17699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spAutoFit/>
        </a:bodyPr>
        <a:lstStyle xmlns:a="http://schemas.openxmlformats.org/drawingml/2006/main"/>
        <a:p xmlns:a="http://schemas.openxmlformats.org/drawingml/2006/main">
          <a:pPr algn="l" rtl="0">
            <a:defRPr sz="1000"/>
          </a:pPr>
          <a:r>
            <a:rPr lang="en-US" sz="1000" b="1" i="0" strike="noStrike">
              <a:solidFill>
                <a:srgbClr val="000000"/>
              </a:solidFill>
              <a:latin typeface="Verdana"/>
              <a:ea typeface="Verdana"/>
              <a:cs typeface="Verdana"/>
            </a:rPr>
            <a:t>Actual</a:t>
          </a:r>
        </a:p>
      </cdr:txBody>
    </cdr:sp>
  </cdr:relSizeAnchor>
  <cdr:relSizeAnchor xmlns:cdr="http://schemas.openxmlformats.org/drawingml/2006/chartDrawing">
    <cdr:from>
      <cdr:x>0.41449</cdr:x>
      <cdr:y>0.26119</cdr:y>
    </cdr:from>
    <cdr:to>
      <cdr:x>0.49052</cdr:x>
      <cdr:y>0.3676</cdr:y>
    </cdr:to>
    <cdr:sp macro="" textlink="">
      <cdr:nvSpPr>
        <cdr:cNvPr id="310285" name="Line 13"/>
        <cdr:cNvSpPr>
          <a:spLocks xmlns:a="http://schemas.openxmlformats.org/drawingml/2006/main" noChangeShapeType="1"/>
        </cdr:cNvSpPr>
      </cdr:nvSpPr>
      <cdr:spPr bwMode="auto">
        <a:xfrm xmlns:a="http://schemas.openxmlformats.org/drawingml/2006/main">
          <a:off x="3554269" y="1523219"/>
          <a:ext cx="651972" cy="620542"/>
        </a:xfrm>
        <a:prstGeom xmlns:a="http://schemas.openxmlformats.org/drawingml/2006/main" prst="line">
          <a:avLst/>
        </a:prstGeom>
        <a:noFill xmlns:a="http://schemas.openxmlformats.org/drawingml/2006/main"/>
        <a:ln xmlns:a="http://schemas.openxmlformats.org/drawingml/2006/main" w="9525">
          <a:solidFill>
            <a:srgbClr val="000000"/>
          </a:solidFill>
          <a:prstDash val="dash"/>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0.3181</cdr:x>
      <cdr:y>0.44544</cdr:y>
    </cdr:from>
    <cdr:to>
      <cdr:x>0.38283</cdr:x>
      <cdr:y>0.59086</cdr:y>
    </cdr:to>
    <cdr:sp macro="" textlink="">
      <cdr:nvSpPr>
        <cdr:cNvPr id="310286" name="Line 14"/>
        <cdr:cNvSpPr>
          <a:spLocks xmlns:a="http://schemas.openxmlformats.org/drawingml/2006/main" noChangeShapeType="1"/>
        </cdr:cNvSpPr>
      </cdr:nvSpPr>
      <cdr:spPr bwMode="auto">
        <a:xfrm xmlns:a="http://schemas.openxmlformats.org/drawingml/2006/main">
          <a:off x="2722880" y="2590800"/>
          <a:ext cx="551928" cy="84912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0.08096</cdr:x>
      <cdr:y>0.21239</cdr:y>
    </cdr:from>
    <cdr:to>
      <cdr:x>0.60178</cdr:x>
      <cdr:y>0.25597</cdr:y>
    </cdr:to>
    <cdr:sp macro="" textlink="">
      <cdr:nvSpPr>
        <cdr:cNvPr id="310287" name="Text Box 15"/>
        <cdr:cNvSpPr txBox="1">
          <a:spLocks xmlns:a="http://schemas.openxmlformats.org/drawingml/2006/main" noChangeArrowheads="1"/>
        </cdr:cNvSpPr>
      </cdr:nvSpPr>
      <cdr:spPr bwMode="auto">
        <a:xfrm xmlns:a="http://schemas.openxmlformats.org/drawingml/2006/main">
          <a:off x="690880" y="1229361"/>
          <a:ext cx="4460241" cy="254000"/>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prstDash val="dash"/>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US" sz="1000" b="1" i="0" strike="noStrike">
              <a:solidFill>
                <a:srgbClr val="000000"/>
              </a:solidFill>
              <a:latin typeface="Verdana"/>
              <a:ea typeface="Verdana"/>
              <a:cs typeface="Verdana"/>
            </a:rPr>
            <a:t>Total Micropower (CHP plus</a:t>
          </a:r>
          <a:r>
            <a:rPr lang="en-US" sz="1000" b="1" i="0" strike="noStrike" baseline="0">
              <a:solidFill>
                <a:srgbClr val="000000"/>
              </a:solidFill>
              <a:latin typeface="Verdana"/>
              <a:ea typeface="Verdana"/>
              <a:cs typeface="Verdana"/>
            </a:rPr>
            <a:t> renewables except large hydro)</a:t>
          </a:r>
          <a:endParaRPr lang="en-US" sz="1000" b="1" i="0" strike="noStrike">
            <a:solidFill>
              <a:srgbClr val="000000"/>
            </a:solidFill>
            <a:latin typeface="Verdana"/>
            <a:ea typeface="Verdana"/>
            <a:cs typeface="Verdana"/>
          </a:endParaRPr>
        </a:p>
      </cdr:txBody>
    </cdr:sp>
  </cdr:relSizeAnchor>
  <cdr:relSizeAnchor xmlns:cdr="http://schemas.openxmlformats.org/drawingml/2006/chartDrawing">
    <cdr:from>
      <cdr:x>0.53941</cdr:x>
      <cdr:y>0.86105</cdr:y>
    </cdr:from>
    <cdr:to>
      <cdr:x>0.63645</cdr:x>
      <cdr:y>0.86105</cdr:y>
    </cdr:to>
    <cdr:sp macro="" textlink="">
      <cdr:nvSpPr>
        <cdr:cNvPr id="310290" name="Line 18"/>
        <cdr:cNvSpPr>
          <a:spLocks xmlns:a="http://schemas.openxmlformats.org/drawingml/2006/main" noChangeShapeType="1"/>
        </cdr:cNvSpPr>
      </cdr:nvSpPr>
      <cdr:spPr bwMode="auto">
        <a:xfrm xmlns:a="http://schemas.openxmlformats.org/drawingml/2006/main" flipH="1" flipV="1">
          <a:off x="4625447" y="5021506"/>
          <a:ext cx="832122" cy="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0.69892</cdr:x>
      <cdr:y>0.84183</cdr:y>
    </cdr:from>
    <cdr:to>
      <cdr:x>0.78192</cdr:x>
      <cdr:y>0.87219</cdr:y>
    </cdr:to>
    <cdr:sp macro="" textlink="">
      <cdr:nvSpPr>
        <cdr:cNvPr id="310291" name="Text Box 19"/>
        <cdr:cNvSpPr txBox="1">
          <a:spLocks xmlns:a="http://schemas.openxmlformats.org/drawingml/2006/main" noChangeArrowheads="1"/>
        </cdr:cNvSpPr>
      </cdr:nvSpPr>
      <cdr:spPr bwMode="auto">
        <a:xfrm xmlns:a="http://schemas.openxmlformats.org/drawingml/2006/main">
          <a:off x="5993272" y="4909405"/>
          <a:ext cx="711728" cy="1770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spAutoFit/>
        </a:bodyPr>
        <a:lstStyle xmlns:a="http://schemas.openxmlformats.org/drawingml/2006/main"/>
        <a:p xmlns:a="http://schemas.openxmlformats.org/drawingml/2006/main">
          <a:pPr algn="l" rtl="0">
            <a:defRPr sz="1000"/>
          </a:pPr>
          <a:r>
            <a:rPr lang="en-US" sz="1000" b="1" i="0" strike="noStrike">
              <a:solidFill>
                <a:srgbClr val="000000"/>
              </a:solidFill>
              <a:latin typeface="Verdana"/>
              <a:ea typeface="Verdana"/>
              <a:cs typeface="Verdana"/>
            </a:rPr>
            <a:t>Projected</a:t>
          </a:r>
        </a:p>
      </cdr:txBody>
    </cdr:sp>
  </cdr:relSizeAnchor>
  <cdr:relSizeAnchor xmlns:cdr="http://schemas.openxmlformats.org/drawingml/2006/chartDrawing">
    <cdr:from>
      <cdr:x>0.64218</cdr:x>
      <cdr:y>0.86063</cdr:y>
    </cdr:from>
    <cdr:to>
      <cdr:x>0.68957</cdr:x>
      <cdr:y>0.86105</cdr:y>
    </cdr:to>
    <cdr:sp macro="" textlink="">
      <cdr:nvSpPr>
        <cdr:cNvPr id="310292" name="Line 20"/>
        <cdr:cNvSpPr>
          <a:spLocks xmlns:a="http://schemas.openxmlformats.org/drawingml/2006/main" noChangeShapeType="1"/>
        </cdr:cNvSpPr>
      </cdr:nvSpPr>
      <cdr:spPr bwMode="auto">
        <a:xfrm xmlns:a="http://schemas.openxmlformats.org/drawingml/2006/main" flipH="1" flipV="1">
          <a:off x="5506720" y="5019040"/>
          <a:ext cx="406369" cy="2466"/>
        </a:xfrm>
        <a:prstGeom xmlns:a="http://schemas.openxmlformats.org/drawingml/2006/main" prst="line">
          <a:avLst/>
        </a:prstGeom>
        <a:noFill xmlns:a="http://schemas.openxmlformats.org/drawingml/2006/main"/>
        <a:ln xmlns:a="http://schemas.openxmlformats.org/drawingml/2006/main" w="9525">
          <a:solidFill>
            <a:schemeClr val="tx1"/>
          </a:solidFill>
          <a:round/>
          <a:headEnd type="triangle" w="med" len="me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cdr:x>
      <cdr:y>0</cdr:y>
    </cdr:from>
    <cdr:to>
      <cdr:x>0</cdr:x>
      <cdr:y>0</cdr:y>
    </cdr:to>
    <cdr:sp macro="" textlink="">
      <cdr:nvSpPr>
        <cdr:cNvPr id="17" name="Text Box 21"/>
        <cdr:cNvSpPr txBox="1">
          <a:spLocks xmlns:a="http://schemas.openxmlformats.org/drawingml/2006/main" noChangeArrowheads="1"/>
        </cdr:cNvSpPr>
      </cdr:nvSpPr>
      <cdr:spPr bwMode="auto">
        <a:xfrm xmlns:a="http://schemas.openxmlformats.org/drawingml/2006/main">
          <a:off x="0" y="0"/>
          <a:ext cx="507921" cy="2025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en-US" sz="1000" b="0" i="0" strike="noStrike">
              <a:solidFill>
                <a:srgbClr val="FFFFFF"/>
              </a:solidFill>
              <a:latin typeface="Verdana"/>
              <a:ea typeface="Verdana"/>
              <a:cs typeface="Verdana"/>
            </a:rPr>
            <a:t>Actual</a:t>
          </a:r>
        </a:p>
      </cdr:txBody>
    </cdr:sp>
  </cdr:relSizeAnchor>
  <cdr:relSizeAnchor xmlns:cdr="http://schemas.openxmlformats.org/drawingml/2006/chartDrawing">
    <cdr:from>
      <cdr:x>0.02136</cdr:x>
      <cdr:y>0.05229</cdr:y>
    </cdr:from>
    <cdr:to>
      <cdr:x>0.05456</cdr:x>
      <cdr:y>0.08265</cdr:y>
    </cdr:to>
    <cdr:sp macro="" textlink="">
      <cdr:nvSpPr>
        <cdr:cNvPr id="18" name="Text Box 4"/>
        <cdr:cNvSpPr txBox="1">
          <a:spLocks xmlns:a="http://schemas.openxmlformats.org/drawingml/2006/main" noChangeArrowheads="1"/>
        </cdr:cNvSpPr>
      </cdr:nvSpPr>
      <cdr:spPr bwMode="auto">
        <a:xfrm xmlns:a="http://schemas.openxmlformats.org/drawingml/2006/main">
          <a:off x="182880" y="304800"/>
          <a:ext cx="284180" cy="1769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000" b="1" i="0" strike="noStrike">
              <a:solidFill>
                <a:schemeClr val="tx1"/>
              </a:solidFill>
              <a:latin typeface="Verdana"/>
              <a:ea typeface="Verdana"/>
              <a:cs typeface="Verdana"/>
            </a:rPr>
            <a:t>GW</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tpalazzi@rmi.org"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www.eia.doe.gov/oiaf/ieo/index.html" TargetMode="External"/><Relationship Id="rId4" Type="http://schemas.openxmlformats.org/officeDocument/2006/relationships/hyperlink" Target="http://www.iea.org/textbase/nppdf/free/2004/weo2004.pdf" TargetMode="External"/><Relationship Id="rId1" Type="http://schemas.openxmlformats.org/officeDocument/2006/relationships/hyperlink" Target="http://www.ren21.net/portals/0/documents/resources/gsr/2014/gsr2014_full%20report_low%20res.pdf" TargetMode="External"/><Relationship Id="rId2" Type="http://schemas.openxmlformats.org/officeDocument/2006/relationships/hyperlink" Target="http://www.iea.org/textbase/nppdf/free/2004/weo200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localpower.org/documents/reporto_iea_chpwademodel.pdf" TargetMode="External"/><Relationship Id="rId2" Type="http://schemas.openxmlformats.org/officeDocument/2006/relationships/hyperlink" Target="http://www.localpower.org/pages/wadereports.htm" TargetMode="External"/><Relationship Id="rId3" Type="http://schemas.openxmlformats.org/officeDocument/2006/relationships/hyperlink" Target="http://www.dieselgasturbine.com/Market-Survey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4.xml.rels><?xml version="1.0" encoding="UTF-8" standalone="yes"?>
<Relationships xmlns="http://schemas.openxmlformats.org/package/2006/relationships"><Relationship Id="rId1" Type="http://schemas.openxmlformats.org/officeDocument/2006/relationships/hyperlink" Target="http://www-pub.iaea.org/MTCD/Publications/PDF/rds2-35web-85937611.pdf" TargetMode="External"/><Relationship Id="rId2" Type="http://schemas.openxmlformats.org/officeDocument/2006/relationships/hyperlink" Target="http://www.bp.com/en/global/corporate/energy-economics/statistical-review-of-world-energy/downloads.html" TargetMode="External"/><Relationship Id="rId3" Type="http://schemas.openxmlformats.org/officeDocument/2006/relationships/drawing" Target="../drawings/drawing15.xml"/></Relationships>
</file>

<file path=xl/worksheets/_rels/sheet5.xml.rels><?xml version="1.0" encoding="UTF-8" standalone="yes"?>
<Relationships xmlns="http://schemas.openxmlformats.org/package/2006/relationships"><Relationship Id="rId1" Type="http://schemas.openxmlformats.org/officeDocument/2006/relationships/hyperlink" Target="http://www.world-nuclear.com/info/inf84.htm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eia.gov/cfapps/ipdbproject/iedindex3.cfm?tid=6&amp;pid=37&amp;aid=12&amp;cid=regions&amp;syid=1990&amp;eyid=2012&amp;unit=BKWH" TargetMode="External"/><Relationship Id="rId2" Type="http://schemas.openxmlformats.org/officeDocument/2006/relationships/hyperlink" Target="http://www.ewea.org/documents/factsheet_industry2.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worldwatch.org/pubs/vs/2005/"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www.bp.com/sectiongenericarticle.do?categoryId=9023767&amp;contentId=704419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CFFCC"/>
    <pageSetUpPr fitToPage="1"/>
  </sheetPr>
  <dimension ref="B3:G31"/>
  <sheetViews>
    <sheetView showGridLines="0" topLeftCell="A2" zoomScale="125" workbookViewId="0">
      <selection activeCell="E39" sqref="E39"/>
    </sheetView>
  </sheetViews>
  <sheetFormatPr baseColWidth="10" defaultColWidth="11" defaultRowHeight="13" x14ac:dyDescent="0"/>
  <cols>
    <col min="4" max="4" width="9.140625" customWidth="1"/>
    <col min="5" max="5" width="16.42578125" customWidth="1"/>
    <col min="6" max="6" width="15.7109375" bestFit="1" customWidth="1"/>
    <col min="7" max="7" width="6.85546875" customWidth="1"/>
  </cols>
  <sheetData>
    <row r="3" spans="2:7" ht="14" thickBot="1"/>
    <row r="4" spans="2:7" ht="33" customHeight="1">
      <c r="B4" s="399" t="s">
        <v>204</v>
      </c>
      <c r="C4" s="400"/>
      <c r="D4" s="400"/>
      <c r="E4" s="400"/>
      <c r="F4" s="400"/>
      <c r="G4" s="401"/>
    </row>
    <row r="5" spans="2:7" ht="13" customHeight="1">
      <c r="B5" s="19"/>
      <c r="C5" s="18"/>
      <c r="D5" s="18"/>
      <c r="E5" s="18"/>
      <c r="F5" s="18"/>
      <c r="G5" s="20"/>
    </row>
    <row r="6" spans="2:7">
      <c r="B6" s="4"/>
      <c r="C6" s="1"/>
      <c r="D6" s="1"/>
      <c r="E6" s="1"/>
      <c r="F6" s="11"/>
      <c r="G6" s="3"/>
    </row>
    <row r="7" spans="2:7">
      <c r="B7" s="4"/>
      <c r="C7" s="1"/>
      <c r="D7" s="1"/>
      <c r="E7" s="1"/>
      <c r="F7" s="11"/>
      <c r="G7" s="3"/>
    </row>
    <row r="8" spans="2:7">
      <c r="B8" s="4"/>
      <c r="C8" s="1"/>
      <c r="D8" s="1"/>
      <c r="E8" s="1"/>
      <c r="F8" s="12"/>
      <c r="G8" s="3"/>
    </row>
    <row r="9" spans="2:7">
      <c r="B9" s="4"/>
      <c r="C9" s="1"/>
      <c r="D9" s="1"/>
      <c r="E9" s="1"/>
      <c r="F9" s="1"/>
      <c r="G9" s="3"/>
    </row>
    <row r="10" spans="2:7" ht="26">
      <c r="B10" s="4"/>
      <c r="C10" s="1"/>
      <c r="D10" s="65" t="s">
        <v>118</v>
      </c>
      <c r="E10" s="13">
        <v>40928</v>
      </c>
      <c r="G10" s="3"/>
    </row>
    <row r="11" spans="2:7">
      <c r="B11" s="4"/>
      <c r="C11" s="1"/>
      <c r="D11" s="1"/>
      <c r="E11" s="62"/>
      <c r="G11" s="3"/>
    </row>
    <row r="12" spans="2:7">
      <c r="B12" s="4"/>
      <c r="C12" s="1"/>
      <c r="D12" s="2" t="s">
        <v>55</v>
      </c>
      <c r="E12" s="1" t="s">
        <v>81</v>
      </c>
      <c r="G12" s="3"/>
    </row>
    <row r="13" spans="2:7">
      <c r="B13" s="4"/>
      <c r="C13" s="1"/>
      <c r="D13" s="1"/>
      <c r="E13" s="23" t="s">
        <v>119</v>
      </c>
      <c r="G13" s="3"/>
    </row>
    <row r="14" spans="2:7">
      <c r="B14" s="4"/>
      <c r="C14" s="1"/>
      <c r="D14" s="1"/>
      <c r="E14" s="66" t="s">
        <v>217</v>
      </c>
      <c r="G14" s="3"/>
    </row>
    <row r="15" spans="2:7" s="26" customFormat="1">
      <c r="B15" s="4"/>
      <c r="C15" s="1"/>
      <c r="D15" s="1"/>
      <c r="E15" s="1"/>
      <c r="F15" s="67"/>
      <c r="G15" s="3"/>
    </row>
    <row r="16" spans="2:7" s="26" customFormat="1">
      <c r="B16" s="4"/>
      <c r="C16" s="1"/>
      <c r="D16" s="1"/>
      <c r="E16" s="1"/>
      <c r="F16" s="66"/>
      <c r="G16" s="3"/>
    </row>
    <row r="17" spans="2:7" s="26" customFormat="1">
      <c r="B17" s="4"/>
      <c r="C17" s="1"/>
      <c r="D17" s="1"/>
      <c r="E17" s="1"/>
      <c r="F17" s="66"/>
      <c r="G17" s="3"/>
    </row>
    <row r="18" spans="2:7">
      <c r="B18" s="4"/>
      <c r="C18" s="1"/>
      <c r="D18" s="1"/>
      <c r="E18" s="1"/>
      <c r="F18" s="1"/>
      <c r="G18" s="3"/>
    </row>
    <row r="19" spans="2:7">
      <c r="B19" s="4"/>
      <c r="C19" s="1"/>
      <c r="D19" s="1"/>
      <c r="E19" s="14" t="s">
        <v>38</v>
      </c>
      <c r="F19" s="1"/>
      <c r="G19" s="3"/>
    </row>
    <row r="20" spans="2:7">
      <c r="B20" s="4"/>
      <c r="C20" s="1"/>
      <c r="D20" s="1"/>
      <c r="E20" s="14" t="s">
        <v>221</v>
      </c>
      <c r="F20" s="1"/>
      <c r="G20" s="3"/>
    </row>
    <row r="21" spans="2:7">
      <c r="B21" s="4"/>
      <c r="C21" s="1"/>
      <c r="D21" s="1"/>
      <c r="E21" s="14" t="s">
        <v>222</v>
      </c>
      <c r="F21" s="1"/>
      <c r="G21" s="3"/>
    </row>
    <row r="22" spans="2:7">
      <c r="B22" s="4"/>
      <c r="C22" s="1"/>
      <c r="D22" s="1"/>
      <c r="E22" s="25" t="s">
        <v>223</v>
      </c>
      <c r="F22" s="1"/>
      <c r="G22" s="3"/>
    </row>
    <row r="23" spans="2:7">
      <c r="B23" s="4"/>
      <c r="C23" s="1"/>
      <c r="D23" s="1"/>
      <c r="E23" s="1"/>
      <c r="F23" s="1"/>
      <c r="G23" s="3"/>
    </row>
    <row r="24" spans="2:7">
      <c r="B24" s="4"/>
      <c r="C24" s="1"/>
      <c r="D24" s="1"/>
      <c r="E24" s="1"/>
      <c r="F24" s="1"/>
      <c r="G24" s="3"/>
    </row>
    <row r="25" spans="2:7">
      <c r="B25" s="4"/>
      <c r="C25" s="1"/>
      <c r="D25" s="1"/>
      <c r="E25" s="1"/>
      <c r="F25" s="1"/>
      <c r="G25" s="3"/>
    </row>
    <row r="26" spans="2:7">
      <c r="B26" s="4"/>
      <c r="C26" s="1"/>
      <c r="D26" s="1"/>
      <c r="E26" s="1"/>
      <c r="F26" s="1"/>
      <c r="G26" s="3"/>
    </row>
    <row r="27" spans="2:7">
      <c r="B27" s="4"/>
      <c r="C27" s="1"/>
      <c r="D27" s="1"/>
      <c r="E27" s="1"/>
      <c r="F27" s="1"/>
      <c r="G27" s="3"/>
    </row>
    <row r="28" spans="2:7">
      <c r="B28" s="4"/>
      <c r="C28" s="1"/>
      <c r="D28" s="1"/>
      <c r="E28" s="1"/>
      <c r="F28" s="1"/>
      <c r="G28" s="3"/>
    </row>
    <row r="29" spans="2:7" s="26" customFormat="1">
      <c r="B29" s="4"/>
      <c r="C29" s="1"/>
      <c r="D29" s="1"/>
      <c r="E29" s="1"/>
      <c r="F29" s="1"/>
      <c r="G29" s="3"/>
    </row>
    <row r="30" spans="2:7" s="26" customFormat="1">
      <c r="B30" s="4"/>
      <c r="C30" s="1"/>
      <c r="D30" s="1"/>
      <c r="E30" s="1"/>
      <c r="F30" s="1"/>
      <c r="G30" s="3"/>
    </row>
    <row r="31" spans="2:7" ht="14" thickBot="1">
      <c r="B31" s="63"/>
      <c r="C31" s="64"/>
      <c r="D31" s="64"/>
      <c r="E31" s="6"/>
      <c r="F31" s="6"/>
      <c r="G31" s="7"/>
    </row>
  </sheetData>
  <mergeCells count="1">
    <mergeCell ref="B4:G4"/>
  </mergeCells>
  <phoneticPr fontId="7"/>
  <hyperlinks>
    <hyperlink ref="E13" r:id="rId1"/>
  </hyperlinks>
  <pageMargins left="0.75" right="0.75" top="1" bottom="1" header="0.5" footer="0.5"/>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39997558519241921"/>
  </sheetPr>
  <dimension ref="B2:N45"/>
  <sheetViews>
    <sheetView showGridLines="0" workbookViewId="0">
      <selection activeCell="K35" sqref="K35"/>
    </sheetView>
  </sheetViews>
  <sheetFormatPr baseColWidth="10" defaultColWidth="11" defaultRowHeight="13" x14ac:dyDescent="0"/>
  <cols>
    <col min="1" max="1" width="4.5703125" style="69" customWidth="1"/>
    <col min="2" max="2" width="13.140625" style="69" customWidth="1"/>
    <col min="3" max="3" width="10.85546875" style="69" customWidth="1"/>
    <col min="4" max="4" width="12.28515625" style="69" customWidth="1"/>
    <col min="5" max="5" width="14" style="69" customWidth="1"/>
    <col min="6" max="6" width="8" style="69" customWidth="1"/>
    <col min="7" max="7" width="11.42578125" style="69" customWidth="1"/>
    <col min="8" max="8" width="10.5703125" style="69" customWidth="1"/>
    <col min="9" max="9" width="12.42578125" style="69" customWidth="1"/>
    <col min="10" max="10" width="17.7109375" style="69" customWidth="1"/>
    <col min="11" max="13" width="11" style="69"/>
    <col min="14" max="14" width="16" style="69" customWidth="1"/>
    <col min="15" max="16384" width="11" style="69"/>
  </cols>
  <sheetData>
    <row r="2" spans="2:8">
      <c r="B2" s="68" t="s">
        <v>170</v>
      </c>
    </row>
    <row r="3" spans="2:8">
      <c r="B3" s="68" t="s">
        <v>145</v>
      </c>
    </row>
    <row r="4" spans="2:8" ht="14" thickBot="1">
      <c r="B4" s="72"/>
      <c r="C4" s="75"/>
      <c r="D4" s="256"/>
      <c r="E4" s="256"/>
      <c r="F4" s="256"/>
      <c r="G4" s="257"/>
      <c r="H4" s="71"/>
    </row>
    <row r="5" spans="2:8" ht="14" thickBot="1">
      <c r="B5" s="408" t="s">
        <v>214</v>
      </c>
      <c r="C5" s="409"/>
      <c r="D5" s="409"/>
      <c r="E5" s="409"/>
      <c r="F5" s="409"/>
      <c r="G5" s="409"/>
      <c r="H5" s="410"/>
    </row>
    <row r="6" spans="2:8" s="439" customFormat="1">
      <c r="B6" s="484"/>
      <c r="C6" s="463" t="s">
        <v>29</v>
      </c>
      <c r="D6" s="464" t="s">
        <v>66</v>
      </c>
      <c r="E6" s="471" t="s">
        <v>169</v>
      </c>
      <c r="F6" s="463" t="s">
        <v>29</v>
      </c>
      <c r="G6" s="467" t="s">
        <v>177</v>
      </c>
      <c r="H6" s="470" t="s">
        <v>177</v>
      </c>
    </row>
    <row r="7" spans="2:8" s="439" customFormat="1">
      <c r="B7" s="484"/>
      <c r="C7" s="463" t="s">
        <v>120</v>
      </c>
      <c r="D7" s="464" t="s">
        <v>210</v>
      </c>
      <c r="E7" s="471" t="s">
        <v>171</v>
      </c>
      <c r="F7" s="463" t="s">
        <v>104</v>
      </c>
      <c r="G7" s="464" t="s">
        <v>179</v>
      </c>
      <c r="H7" s="471" t="s">
        <v>178</v>
      </c>
    </row>
    <row r="8" spans="2:8" s="439" customFormat="1" ht="14" thickBot="1">
      <c r="B8" s="484"/>
      <c r="C8" s="463" t="s">
        <v>121</v>
      </c>
      <c r="D8" s="464" t="s">
        <v>121</v>
      </c>
      <c r="E8" s="471" t="s">
        <v>121</v>
      </c>
      <c r="F8" s="463"/>
      <c r="G8" s="464" t="s">
        <v>123</v>
      </c>
      <c r="H8" s="471" t="s">
        <v>123</v>
      </c>
    </row>
    <row r="9" spans="2:8">
      <c r="B9" s="154">
        <v>2000</v>
      </c>
      <c r="C9" s="372">
        <v>1.4</v>
      </c>
      <c r="D9" s="368">
        <f>D10-C10</f>
        <v>30.810000000000002</v>
      </c>
      <c r="E9" s="365">
        <v>35.361690000000003</v>
      </c>
      <c r="F9" s="330">
        <v>0.7</v>
      </c>
      <c r="G9" s="261">
        <f>E9*F9*8766/1000</f>
        <v>216.98640217799999</v>
      </c>
      <c r="H9" s="264">
        <v>197.16060941987601</v>
      </c>
    </row>
    <row r="10" spans="2:8">
      <c r="B10" s="74">
        <v>2001</v>
      </c>
      <c r="C10" s="373">
        <v>1.54</v>
      </c>
      <c r="D10" s="260">
        <f>D11-C11</f>
        <v>32.35</v>
      </c>
      <c r="E10" s="366">
        <v>36.181080000000001</v>
      </c>
      <c r="F10" s="132">
        <v>0.7</v>
      </c>
      <c r="G10" s="260">
        <f>(E9+(E10-E9)/4)*$F10*8766/10^3</f>
        <v>218.24338740749997</v>
      </c>
      <c r="H10" s="230">
        <v>199.07950291697901</v>
      </c>
    </row>
    <row r="11" spans="2:8">
      <c r="B11" s="74">
        <v>2002</v>
      </c>
      <c r="C11" s="373">
        <v>1.65</v>
      </c>
      <c r="D11" s="369">
        <v>34</v>
      </c>
      <c r="E11" s="366">
        <v>37.633540000000004</v>
      </c>
      <c r="F11" s="485">
        <v>0.7</v>
      </c>
      <c r="G11" s="260">
        <f t="shared" ref="G11:G23" si="0">(E10+(E11-E10)/4)*$F11*8766/10^3</f>
        <v>224.24248935899999</v>
      </c>
      <c r="H11" s="230">
        <v>214.68335167586201</v>
      </c>
    </row>
    <row r="12" spans="2:8">
      <c r="B12" s="74">
        <v>2003</v>
      </c>
      <c r="C12" s="190">
        <f t="shared" ref="C12:C18" si="1">D12-D11</f>
        <v>2.4142829120662483</v>
      </c>
      <c r="D12" s="260">
        <f>D11*(D13/D11)^(1/2)</f>
        <v>36.414282912066248</v>
      </c>
      <c r="E12" s="366">
        <v>39.652749999999997</v>
      </c>
      <c r="F12" s="132">
        <v>0.7</v>
      </c>
      <c r="G12" s="260">
        <f t="shared" si="0"/>
        <v>234.02449724850001</v>
      </c>
      <c r="H12" s="230">
        <v>227.86445755922199</v>
      </c>
    </row>
    <row r="13" spans="2:8">
      <c r="B13" s="74">
        <v>2004</v>
      </c>
      <c r="C13" s="374">
        <f t="shared" si="1"/>
        <v>2.5857170879337517</v>
      </c>
      <c r="D13" s="370">
        <v>39</v>
      </c>
      <c r="E13" s="366">
        <v>41.054010000000005</v>
      </c>
      <c r="F13" s="132">
        <v>0.7</v>
      </c>
      <c r="G13" s="260">
        <f t="shared" si="0"/>
        <v>245.46680745299997</v>
      </c>
      <c r="H13" s="230">
        <v>245.51629955172999</v>
      </c>
    </row>
    <row r="14" spans="2:8" ht="13" customHeight="1">
      <c r="B14" s="74">
        <v>2005</v>
      </c>
      <c r="C14" s="374">
        <f t="shared" si="1"/>
        <v>2</v>
      </c>
      <c r="D14" s="370">
        <v>41</v>
      </c>
      <c r="E14" s="366">
        <v>43.225379999999994</v>
      </c>
      <c r="F14" s="132">
        <v>0.7</v>
      </c>
      <c r="G14" s="260">
        <f t="shared" si="0"/>
        <v>255.2466063105</v>
      </c>
      <c r="H14" s="230">
        <v>265.736272080481</v>
      </c>
    </row>
    <row r="15" spans="2:8">
      <c r="B15" s="74">
        <v>2006</v>
      </c>
      <c r="C15" s="374">
        <f t="shared" si="1"/>
        <v>3</v>
      </c>
      <c r="D15" s="370">
        <v>44</v>
      </c>
      <c r="E15" s="366">
        <v>46.935040000000001</v>
      </c>
      <c r="F15" s="132">
        <v>0.7</v>
      </c>
      <c r="G15" s="260">
        <f t="shared" si="0"/>
        <v>270.930380679</v>
      </c>
      <c r="H15" s="230">
        <v>281.50565030315698</v>
      </c>
    </row>
    <row r="16" spans="2:8">
      <c r="B16" s="74">
        <v>2007</v>
      </c>
      <c r="C16" s="374">
        <f t="shared" si="1"/>
        <v>4</v>
      </c>
      <c r="D16" s="370">
        <v>48</v>
      </c>
      <c r="E16" s="366">
        <v>50.405300000000004</v>
      </c>
      <c r="F16" s="132">
        <v>0.7</v>
      </c>
      <c r="G16" s="260">
        <f t="shared" si="0"/>
        <v>293.326344801</v>
      </c>
      <c r="H16" s="230">
        <v>300.20522452974598</v>
      </c>
    </row>
    <row r="17" spans="2:14">
      <c r="B17" s="74">
        <v>2008</v>
      </c>
      <c r="C17" s="374">
        <f t="shared" si="1"/>
        <v>4</v>
      </c>
      <c r="D17" s="370">
        <v>52</v>
      </c>
      <c r="E17" s="366">
        <v>54.14246</v>
      </c>
      <c r="F17" s="132">
        <v>0.7</v>
      </c>
      <c r="G17" s="260">
        <f t="shared" si="0"/>
        <v>315.02999215799997</v>
      </c>
      <c r="H17" s="230">
        <v>314.15668730201799</v>
      </c>
    </row>
    <row r="18" spans="2:14">
      <c r="B18" s="74">
        <v>2009</v>
      </c>
      <c r="C18" s="374">
        <f t="shared" si="1"/>
        <v>2</v>
      </c>
      <c r="D18" s="370">
        <v>54</v>
      </c>
      <c r="E18" s="366">
        <v>60.093290000000003</v>
      </c>
      <c r="F18" s="132">
        <v>0.7</v>
      </c>
      <c r="G18" s="260">
        <f t="shared" si="0"/>
        <v>341.35783381350001</v>
      </c>
      <c r="H18" s="230">
        <v>330.52559059084899</v>
      </c>
    </row>
    <row r="19" spans="2:14">
      <c r="B19" s="157">
        <v>2010</v>
      </c>
      <c r="C19" s="374">
        <v>3</v>
      </c>
      <c r="D19" s="370">
        <v>62</v>
      </c>
      <c r="E19" s="366">
        <v>63.555349999999997</v>
      </c>
      <c r="F19" s="486">
        <v>0.7</v>
      </c>
      <c r="G19" s="260">
        <f t="shared" si="0"/>
        <v>374.05541924099998</v>
      </c>
      <c r="H19" s="230">
        <v>366.65114241462999</v>
      </c>
    </row>
    <row r="20" spans="2:14">
      <c r="B20" s="157">
        <v>2011</v>
      </c>
      <c r="C20" s="374">
        <v>5.9</v>
      </c>
      <c r="D20" s="370">
        <v>72</v>
      </c>
      <c r="E20" s="366">
        <v>71.642160000000004</v>
      </c>
      <c r="F20" s="487">
        <v>0.7</v>
      </c>
      <c r="G20" s="260">
        <f t="shared" si="0"/>
        <v>402.39390955049993</v>
      </c>
      <c r="H20" s="230">
        <v>409.766338440303</v>
      </c>
    </row>
    <row r="21" spans="2:14">
      <c r="B21" s="157">
        <v>2012</v>
      </c>
      <c r="C21" s="374">
        <v>9</v>
      </c>
      <c r="D21" s="370">
        <v>83</v>
      </c>
      <c r="E21" s="366">
        <v>76.456910000000008</v>
      </c>
      <c r="F21" s="132">
        <v>0.7</v>
      </c>
      <c r="G21" s="260">
        <f t="shared" si="0"/>
        <v>446.99668942950001</v>
      </c>
      <c r="H21" s="230">
        <v>435.025112316373</v>
      </c>
    </row>
    <row r="22" spans="2:14">
      <c r="B22" s="157">
        <v>2013</v>
      </c>
      <c r="C22" s="190">
        <f>D22-D21</f>
        <v>5</v>
      </c>
      <c r="D22" s="370">
        <v>88</v>
      </c>
      <c r="E22" s="366">
        <v>84.560640000000006</v>
      </c>
      <c r="F22" s="132">
        <v>0.7</v>
      </c>
      <c r="G22" s="260">
        <f t="shared" si="0"/>
        <v>481.58641814849994</v>
      </c>
      <c r="H22" s="488" t="s">
        <v>85</v>
      </c>
    </row>
    <row r="23" spans="2:14" ht="14" thickBot="1">
      <c r="B23" s="158">
        <v>2014</v>
      </c>
      <c r="C23" s="262"/>
      <c r="D23" s="371"/>
      <c r="E23" s="367">
        <v>94.279750000000007</v>
      </c>
      <c r="F23" s="133">
        <v>0.7</v>
      </c>
      <c r="G23" s="263">
        <f t="shared" si="0"/>
        <v>533.79059986350001</v>
      </c>
      <c r="H23" s="489" t="s">
        <v>85</v>
      </c>
    </row>
    <row r="24" spans="2:14">
      <c r="H24" s="258"/>
      <c r="N24" s="71"/>
    </row>
    <row r="25" spans="2:14">
      <c r="H25" s="249"/>
      <c r="N25" s="71"/>
    </row>
    <row r="26" spans="2:14">
      <c r="B26" s="68" t="s">
        <v>36</v>
      </c>
      <c r="H26" s="249"/>
      <c r="N26" s="71"/>
    </row>
    <row r="27" spans="2:14" ht="13" customHeight="1" thickBot="1">
      <c r="H27" s="250"/>
      <c r="N27" s="71"/>
    </row>
    <row r="28" spans="2:14" ht="14" thickBot="1">
      <c r="B28" s="220" t="s">
        <v>45</v>
      </c>
      <c r="C28" s="238"/>
      <c r="D28" s="238"/>
      <c r="E28" s="238"/>
      <c r="F28" s="238"/>
      <c r="G28" s="238"/>
      <c r="H28" s="242"/>
      <c r="N28" s="71"/>
    </row>
    <row r="29" spans="2:14">
      <c r="B29" s="344" t="s">
        <v>29</v>
      </c>
      <c r="C29" s="231" t="s">
        <v>63</v>
      </c>
      <c r="D29" s="70"/>
      <c r="E29" s="70"/>
      <c r="F29" s="70"/>
      <c r="G29" s="70"/>
      <c r="H29" s="201"/>
    </row>
    <row r="30" spans="2:14">
      <c r="B30" s="212"/>
      <c r="C30" s="490" t="s">
        <v>73</v>
      </c>
      <c r="D30" s="72"/>
      <c r="E30" s="72"/>
      <c r="F30" s="72"/>
      <c r="G30" s="72"/>
      <c r="H30" s="73"/>
    </row>
    <row r="31" spans="2:14">
      <c r="B31" s="345"/>
      <c r="C31" s="224"/>
      <c r="D31" s="72"/>
      <c r="E31" s="72"/>
      <c r="F31" s="72"/>
      <c r="G31" s="72"/>
      <c r="H31" s="73"/>
    </row>
    <row r="32" spans="2:14">
      <c r="B32" s="346" t="s">
        <v>29</v>
      </c>
      <c r="C32" s="172" t="s">
        <v>175</v>
      </c>
      <c r="D32" s="126"/>
      <c r="E32" s="126"/>
      <c r="F32" s="126"/>
      <c r="G32" s="126"/>
      <c r="H32" s="210"/>
    </row>
    <row r="33" spans="2:8">
      <c r="B33" s="346"/>
      <c r="C33" s="183" t="s">
        <v>176</v>
      </c>
      <c r="D33" s="126"/>
      <c r="E33" s="126"/>
      <c r="F33" s="126"/>
      <c r="G33" s="126"/>
      <c r="H33" s="210"/>
    </row>
    <row r="34" spans="2:8">
      <c r="B34" s="346"/>
      <c r="C34" s="183"/>
      <c r="D34" s="126"/>
      <c r="E34" s="126"/>
      <c r="F34" s="126"/>
      <c r="G34" s="126"/>
      <c r="H34" s="210"/>
    </row>
    <row r="35" spans="2:8">
      <c r="B35" s="347" t="s">
        <v>29</v>
      </c>
      <c r="C35" s="79" t="s">
        <v>164</v>
      </c>
      <c r="D35" s="126"/>
      <c r="E35" s="126"/>
      <c r="F35" s="126"/>
      <c r="G35" s="126"/>
      <c r="H35" s="210"/>
    </row>
    <row r="36" spans="2:8">
      <c r="B36" s="214"/>
      <c r="C36" s="79"/>
      <c r="D36" s="72"/>
      <c r="E36" s="72"/>
      <c r="F36" s="72"/>
      <c r="G36" s="72"/>
      <c r="H36" s="73"/>
    </row>
    <row r="37" spans="2:8">
      <c r="B37" s="348" t="s">
        <v>20</v>
      </c>
      <c r="C37" s="79" t="s">
        <v>60</v>
      </c>
      <c r="D37" s="72"/>
      <c r="E37" s="72"/>
      <c r="F37" s="72"/>
      <c r="G37" s="72"/>
      <c r="H37" s="73"/>
    </row>
    <row r="38" spans="2:8">
      <c r="B38" s="348"/>
      <c r="C38" s="490" t="s">
        <v>59</v>
      </c>
      <c r="D38" s="72"/>
      <c r="E38" s="72"/>
      <c r="F38" s="72"/>
      <c r="G38" s="72"/>
      <c r="H38" s="73"/>
    </row>
    <row r="39" spans="2:8">
      <c r="B39" s="79"/>
      <c r="C39" s="79"/>
      <c r="D39" s="72"/>
      <c r="E39" s="72"/>
      <c r="F39" s="72"/>
      <c r="G39" s="72"/>
      <c r="H39" s="73"/>
    </row>
    <row r="40" spans="2:8">
      <c r="B40" s="222" t="s">
        <v>151</v>
      </c>
      <c r="C40" s="79" t="s">
        <v>24</v>
      </c>
      <c r="D40" s="72"/>
      <c r="E40" s="72"/>
      <c r="F40" s="72"/>
      <c r="G40" s="72"/>
      <c r="H40" s="73"/>
    </row>
    <row r="41" spans="2:8">
      <c r="B41" s="79"/>
      <c r="C41" s="490" t="s">
        <v>73</v>
      </c>
      <c r="D41" s="72"/>
      <c r="E41" s="72"/>
      <c r="F41" s="72"/>
      <c r="G41" s="72"/>
      <c r="H41" s="73"/>
    </row>
    <row r="42" spans="2:8">
      <c r="B42" s="222"/>
      <c r="C42" s="79"/>
      <c r="D42" s="72"/>
      <c r="E42" s="72"/>
      <c r="F42" s="72"/>
      <c r="G42" s="72"/>
      <c r="H42" s="73"/>
    </row>
    <row r="43" spans="2:8">
      <c r="B43" s="343" t="s">
        <v>152</v>
      </c>
      <c r="C43" s="88" t="s">
        <v>149</v>
      </c>
      <c r="D43" s="72"/>
      <c r="E43" s="72"/>
      <c r="F43" s="72"/>
      <c r="G43" s="72"/>
      <c r="H43" s="73"/>
    </row>
    <row r="44" spans="2:8">
      <c r="B44" s="343"/>
      <c r="C44" s="180" t="s">
        <v>150</v>
      </c>
      <c r="D44" s="72"/>
      <c r="E44" s="72"/>
      <c r="F44" s="72"/>
      <c r="G44" s="72"/>
      <c r="H44" s="73"/>
    </row>
    <row r="45" spans="2:8" ht="14" thickBot="1">
      <c r="B45" s="232"/>
      <c r="C45" s="82"/>
      <c r="D45" s="99"/>
      <c r="E45" s="99"/>
      <c r="F45" s="99"/>
      <c r="G45" s="99"/>
      <c r="H45" s="83"/>
    </row>
  </sheetData>
  <mergeCells count="1">
    <mergeCell ref="B5:H5"/>
  </mergeCells>
  <phoneticPr fontId="7"/>
  <hyperlinks>
    <hyperlink ref="C33" r:id="rId1"/>
    <hyperlink ref="C30" r:id="rId2"/>
    <hyperlink ref="C38" r:id="rId3"/>
    <hyperlink ref="C41" r:id="rId4"/>
  </hyperlink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39997558519241921"/>
    <pageSetUpPr fitToPage="1"/>
  </sheetPr>
  <dimension ref="B2:P54"/>
  <sheetViews>
    <sheetView showGridLines="0" workbookViewId="0">
      <selection activeCell="N22" sqref="N22"/>
    </sheetView>
  </sheetViews>
  <sheetFormatPr baseColWidth="10" defaultColWidth="11" defaultRowHeight="13" x14ac:dyDescent="0"/>
  <cols>
    <col min="1" max="1" width="2.42578125" style="69" customWidth="1"/>
    <col min="2" max="2" width="14.140625" style="69" customWidth="1"/>
    <col min="3" max="3" width="11.140625" style="69" customWidth="1"/>
    <col min="4" max="4" width="13" style="69" customWidth="1"/>
    <col min="5" max="5" width="11.85546875" style="69" customWidth="1"/>
    <col min="6" max="6" width="11.140625" style="69" customWidth="1"/>
    <col min="7" max="7" width="9.5703125" style="69" customWidth="1"/>
    <col min="8" max="8" width="7.85546875" style="69" customWidth="1"/>
    <col min="9" max="9" width="12.85546875" style="69" customWidth="1"/>
    <col min="10" max="10" width="14.42578125" style="69" customWidth="1"/>
    <col min="11" max="11" width="3" style="69" customWidth="1"/>
    <col min="12" max="12" width="11" style="69"/>
    <col min="13" max="13" width="11.85546875" style="69" customWidth="1"/>
    <col min="14" max="16384" width="11" style="69"/>
  </cols>
  <sheetData>
    <row r="2" spans="2:15">
      <c r="B2" s="68" t="s">
        <v>180</v>
      </c>
    </row>
    <row r="3" spans="2:15">
      <c r="B3" s="68" t="s">
        <v>145</v>
      </c>
      <c r="M3" s="72"/>
    </row>
    <row r="4" spans="2:15" ht="14" thickBot="1">
      <c r="M4" s="72"/>
    </row>
    <row r="5" spans="2:15" s="439" customFormat="1">
      <c r="B5" s="468"/>
      <c r="C5" s="467" t="s">
        <v>66</v>
      </c>
      <c r="D5" s="467" t="s">
        <v>181</v>
      </c>
      <c r="E5" s="467" t="s">
        <v>182</v>
      </c>
      <c r="F5" s="468" t="s">
        <v>183</v>
      </c>
      <c r="G5" s="467" t="s">
        <v>185</v>
      </c>
      <c r="H5" s="466" t="s">
        <v>29</v>
      </c>
      <c r="I5" s="466" t="s">
        <v>186</v>
      </c>
      <c r="J5" s="470" t="s">
        <v>186</v>
      </c>
      <c r="L5" s="387"/>
      <c r="M5" s="387"/>
      <c r="N5" s="493"/>
    </row>
    <row r="6" spans="2:15" s="439" customFormat="1">
      <c r="B6" s="465"/>
      <c r="C6" s="464" t="s">
        <v>103</v>
      </c>
      <c r="D6" s="464" t="s">
        <v>120</v>
      </c>
      <c r="E6" s="464" t="s">
        <v>120</v>
      </c>
      <c r="F6" s="465" t="s">
        <v>65</v>
      </c>
      <c r="G6" s="464" t="s">
        <v>184</v>
      </c>
      <c r="H6" s="463" t="s">
        <v>104</v>
      </c>
      <c r="I6" s="463" t="s">
        <v>184</v>
      </c>
      <c r="J6" s="471" t="s">
        <v>187</v>
      </c>
      <c r="L6" s="387"/>
      <c r="M6" s="387"/>
      <c r="N6" s="493"/>
    </row>
    <row r="7" spans="2:15" s="439" customFormat="1" ht="14" thickBot="1">
      <c r="B7" s="465"/>
      <c r="C7" s="464" t="s">
        <v>121</v>
      </c>
      <c r="D7" s="464" t="s">
        <v>121</v>
      </c>
      <c r="E7" s="464" t="s">
        <v>121</v>
      </c>
      <c r="F7" s="465"/>
      <c r="G7" s="464" t="s">
        <v>121</v>
      </c>
      <c r="H7" s="463"/>
      <c r="I7" s="463" t="s">
        <v>123</v>
      </c>
      <c r="J7" s="471" t="s">
        <v>123</v>
      </c>
      <c r="L7" s="387"/>
      <c r="M7" s="387"/>
      <c r="N7" s="493"/>
      <c r="O7" s="494"/>
    </row>
    <row r="8" spans="2:15">
      <c r="B8" s="155">
        <v>1999</v>
      </c>
      <c r="C8" s="266">
        <f t="shared" ref="C8:C14" si="0">C9-E9</f>
        <v>215.81046346122864</v>
      </c>
      <c r="D8" s="267"/>
      <c r="E8" s="268"/>
      <c r="F8" s="269">
        <f>F9-(F$21-F$13)/8</f>
        <v>0.97875000000000012</v>
      </c>
      <c r="G8" s="353">
        <f t="shared" ref="G8:G20" si="1">C8*F8</f>
        <v>211.22449111267755</v>
      </c>
      <c r="H8" s="155"/>
      <c r="I8" s="199"/>
      <c r="J8" s="268"/>
      <c r="L8" s="151"/>
      <c r="M8" s="151"/>
      <c r="N8" s="72"/>
      <c r="O8" s="265"/>
    </row>
    <row r="9" spans="2:15">
      <c r="B9" s="74">
        <v>2000</v>
      </c>
      <c r="C9" s="270">
        <f t="shared" si="0"/>
        <v>228.96394417897821</v>
      </c>
      <c r="D9" s="191"/>
      <c r="E9" s="349">
        <v>13.153480717749561</v>
      </c>
      <c r="F9" s="259">
        <f>F10-(F$21-F$13)/8</f>
        <v>0.97500000000000009</v>
      </c>
      <c r="G9" s="354">
        <f t="shared" si="1"/>
        <v>223.23984557450376</v>
      </c>
      <c r="H9" s="491">
        <v>0.82799999999999996</v>
      </c>
      <c r="I9" s="506">
        <f t="shared" ref="I9:I18" si="2">(C9-E9+E9/4)*8766*H9/10^3</f>
        <v>1590.2736710746967</v>
      </c>
      <c r="J9" s="507">
        <f>(G8+(G9-G8)/4)*8766*H9/1000</f>
        <v>1554.9223457925698</v>
      </c>
      <c r="L9" s="271"/>
      <c r="M9" s="71"/>
      <c r="N9" s="72"/>
      <c r="O9" s="265"/>
    </row>
    <row r="10" spans="2:15">
      <c r="B10" s="74">
        <v>2001</v>
      </c>
      <c r="C10" s="270">
        <f t="shared" si="0"/>
        <v>243.93031557388991</v>
      </c>
      <c r="D10" s="191"/>
      <c r="E10" s="349">
        <v>14.966371394911709</v>
      </c>
      <c r="F10" s="259">
        <f>F11-(F$21-F$13)/8</f>
        <v>0.97125000000000006</v>
      </c>
      <c r="G10" s="354">
        <f t="shared" si="1"/>
        <v>236.91731900114058</v>
      </c>
      <c r="H10" s="491">
        <v>0.82799999999999996</v>
      </c>
      <c r="I10" s="506">
        <f t="shared" si="2"/>
        <v>1689.0344987202739</v>
      </c>
      <c r="J10" s="507">
        <f t="shared" ref="J10:J22" si="3">(G9+(G10-G9)/4)*8766*H10/1000</f>
        <v>1645.1487861974358</v>
      </c>
      <c r="L10" s="271"/>
      <c r="M10" s="126"/>
      <c r="N10" s="72"/>
      <c r="O10" s="265"/>
    </row>
    <row r="11" spans="2:15">
      <c r="B11" s="74">
        <v>2002</v>
      </c>
      <c r="C11" s="270">
        <f t="shared" si="0"/>
        <v>261.43031557388991</v>
      </c>
      <c r="D11" s="191"/>
      <c r="E11" s="349">
        <v>17.5</v>
      </c>
      <c r="F11" s="259">
        <f>F12-(F$21-F$13)/8</f>
        <v>0.96750000000000003</v>
      </c>
      <c r="G11" s="354">
        <f t="shared" si="1"/>
        <v>252.93383031773851</v>
      </c>
      <c r="H11" s="491">
        <v>0.82799999999999996</v>
      </c>
      <c r="I11" s="506">
        <f t="shared" si="2"/>
        <v>1802.2615601535551</v>
      </c>
      <c r="J11" s="507">
        <f t="shared" si="3"/>
        <v>1748.6676096130589</v>
      </c>
      <c r="L11" s="271"/>
      <c r="M11" s="126"/>
      <c r="O11" s="265"/>
    </row>
    <row r="12" spans="2:15">
      <c r="B12" s="74">
        <v>2003</v>
      </c>
      <c r="C12" s="270">
        <f t="shared" si="0"/>
        <v>274.35231557388994</v>
      </c>
      <c r="D12" s="191"/>
      <c r="E12" s="349">
        <v>12.922000000000001</v>
      </c>
      <c r="F12" s="259">
        <f>F13-(F$21-F$13)/8</f>
        <v>0.96375</v>
      </c>
      <c r="G12" s="354">
        <f t="shared" si="1"/>
        <v>264.40704413433645</v>
      </c>
      <c r="H12" s="491">
        <v>0.82799999999999996</v>
      </c>
      <c r="I12" s="506">
        <f t="shared" si="2"/>
        <v>1920.9738353175551</v>
      </c>
      <c r="J12" s="507">
        <f t="shared" si="3"/>
        <v>1856.6753258455385</v>
      </c>
      <c r="K12" s="265"/>
      <c r="O12" s="265"/>
    </row>
    <row r="13" spans="2:15">
      <c r="B13" s="74">
        <v>2004</v>
      </c>
      <c r="C13" s="270">
        <f t="shared" si="0"/>
        <v>291.24431557388993</v>
      </c>
      <c r="D13" s="191"/>
      <c r="E13" s="349">
        <v>16.891999999999999</v>
      </c>
      <c r="F13" s="259">
        <v>0.96</v>
      </c>
      <c r="G13" s="354">
        <f t="shared" si="1"/>
        <v>279.59454295093434</v>
      </c>
      <c r="H13" s="491">
        <v>0.82799999999999996</v>
      </c>
      <c r="I13" s="506">
        <f t="shared" si="2"/>
        <v>2021.9687271135554</v>
      </c>
      <c r="J13" s="507">
        <f t="shared" si="3"/>
        <v>1946.6905575016026</v>
      </c>
      <c r="K13" s="265"/>
      <c r="M13" s="265"/>
      <c r="O13" s="265"/>
    </row>
    <row r="14" spans="2:15">
      <c r="B14" s="74">
        <v>2005</v>
      </c>
      <c r="C14" s="270">
        <f t="shared" si="0"/>
        <v>309.98531557388992</v>
      </c>
      <c r="D14" s="191"/>
      <c r="E14" s="349">
        <v>18.741</v>
      </c>
      <c r="F14" s="259">
        <f>F13+(F$21-F$13)/8</f>
        <v>0.95624999999999993</v>
      </c>
      <c r="G14" s="354">
        <f t="shared" si="1"/>
        <v>296.4234580175322</v>
      </c>
      <c r="H14" s="491">
        <v>0.82799999999999996</v>
      </c>
      <c r="I14" s="506">
        <f t="shared" si="2"/>
        <v>2147.9301774675555</v>
      </c>
      <c r="J14" s="507">
        <f t="shared" si="3"/>
        <v>2059.9036419656095</v>
      </c>
      <c r="M14" s="265"/>
      <c r="O14" s="265"/>
    </row>
    <row r="15" spans="2:15">
      <c r="B15" s="74">
        <v>2006</v>
      </c>
      <c r="C15" s="272">
        <v>330</v>
      </c>
      <c r="D15" s="273"/>
      <c r="E15" s="349">
        <v>20.014684426110094</v>
      </c>
      <c r="F15" s="259">
        <f t="shared" ref="F15:F20" si="4">F14+(F$21-F$13)/8</f>
        <v>0.9524999999999999</v>
      </c>
      <c r="G15" s="354">
        <f t="shared" si="1"/>
        <v>314.32499999999999</v>
      </c>
      <c r="H15" s="491">
        <v>0.82799999999999996</v>
      </c>
      <c r="I15" s="506">
        <f t="shared" si="2"/>
        <v>2286.2681825951663</v>
      </c>
      <c r="J15" s="507">
        <f t="shared" si="3"/>
        <v>2183.9984291316277</v>
      </c>
      <c r="M15" s="265"/>
      <c r="O15" s="265"/>
    </row>
    <row r="16" spans="2:15">
      <c r="B16" s="157">
        <v>2007</v>
      </c>
      <c r="C16" s="270">
        <f>C15+E16</f>
        <v>357.01161554343435</v>
      </c>
      <c r="D16" s="191"/>
      <c r="E16" s="350">
        <v>27.011615543434331</v>
      </c>
      <c r="F16" s="259">
        <f t="shared" si="4"/>
        <v>0.94874999999999987</v>
      </c>
      <c r="G16" s="354">
        <f t="shared" si="1"/>
        <v>338.71477024683327</v>
      </c>
      <c r="H16" s="491">
        <v>0.82799999999999996</v>
      </c>
      <c r="I16" s="506">
        <f t="shared" si="2"/>
        <v>2444.2360911237251</v>
      </c>
      <c r="J16" s="507">
        <f t="shared" si="3"/>
        <v>2325.7055528786341</v>
      </c>
      <c r="M16" s="265"/>
      <c r="O16" s="265"/>
    </row>
    <row r="17" spans="2:16">
      <c r="B17" s="157">
        <v>2008</v>
      </c>
      <c r="C17" s="270">
        <f>C16+E17</f>
        <v>383.64982391936439</v>
      </c>
      <c r="D17" s="191"/>
      <c r="E17" s="350">
        <v>26.638208375930059</v>
      </c>
      <c r="F17" s="259">
        <f t="shared" si="4"/>
        <v>0.94499999999999984</v>
      </c>
      <c r="G17" s="354">
        <f t="shared" si="1"/>
        <v>362.54908360379932</v>
      </c>
      <c r="H17" s="491">
        <v>0.82799999999999996</v>
      </c>
      <c r="I17" s="506">
        <f t="shared" si="2"/>
        <v>2639.6155251619457</v>
      </c>
      <c r="J17" s="507">
        <f t="shared" si="3"/>
        <v>2501.7246430281803</v>
      </c>
      <c r="M17" s="265"/>
      <c r="O17" s="265"/>
    </row>
    <row r="18" spans="2:16">
      <c r="B18" s="157">
        <v>2009</v>
      </c>
      <c r="C18" s="270">
        <f>C17+E18</f>
        <v>409.26253540512647</v>
      </c>
      <c r="D18" s="191"/>
      <c r="E18" s="350">
        <v>25.612711485762059</v>
      </c>
      <c r="F18" s="259">
        <f t="shared" si="4"/>
        <v>0.94124999999999981</v>
      </c>
      <c r="G18" s="354">
        <f t="shared" si="1"/>
        <v>385.21836145007524</v>
      </c>
      <c r="H18" s="491">
        <v>0.82799999999999996</v>
      </c>
      <c r="I18" s="506">
        <f t="shared" si="2"/>
        <v>2831.1014201421058</v>
      </c>
      <c r="J18" s="507">
        <f t="shared" si="3"/>
        <v>2672.605971116403</v>
      </c>
      <c r="M18" s="265"/>
      <c r="O18" s="265"/>
    </row>
    <row r="19" spans="2:16">
      <c r="B19" s="74">
        <v>2010</v>
      </c>
      <c r="C19" s="270">
        <f>C18+D19</f>
        <v>446.50909317181402</v>
      </c>
      <c r="D19" s="274">
        <f>'DGTW 2010-2014'!C22/1000</f>
        <v>37.24655776668753</v>
      </c>
      <c r="E19" s="350"/>
      <c r="F19" s="259">
        <f t="shared" si="4"/>
        <v>0.93749999999999978</v>
      </c>
      <c r="G19" s="354">
        <f t="shared" si="1"/>
        <v>418.60227484857552</v>
      </c>
      <c r="H19" s="491">
        <v>0.82799999999999996</v>
      </c>
      <c r="I19" s="506">
        <f>(C19-D19+D19/4)*8766*H19/10^3</f>
        <v>3038.1151674334242</v>
      </c>
      <c r="J19" s="507">
        <f t="shared" si="3"/>
        <v>2856.5875822224948</v>
      </c>
      <c r="K19" s="78"/>
      <c r="L19" s="78"/>
      <c r="M19" s="275"/>
      <c r="N19" s="78"/>
      <c r="O19" s="275"/>
      <c r="P19" s="78"/>
    </row>
    <row r="20" spans="2:16">
      <c r="B20" s="157">
        <v>2011</v>
      </c>
      <c r="C20" s="270">
        <f>C19+D20</f>
        <v>483.90127073187625</v>
      </c>
      <c r="D20" s="274">
        <f>'DGTW 2010-2014'!C45/1000</f>
        <v>37.392177560062223</v>
      </c>
      <c r="E20" s="351"/>
      <c r="F20" s="259">
        <f t="shared" si="4"/>
        <v>0.93374999999999975</v>
      </c>
      <c r="G20" s="354">
        <f t="shared" si="1"/>
        <v>451.84281154588933</v>
      </c>
      <c r="H20" s="491">
        <v>0.82799999999999996</v>
      </c>
      <c r="I20" s="506">
        <f>(C20-D20+D20/4)*8766*H20/10^3</f>
        <v>3308.7241569938737</v>
      </c>
      <c r="J20" s="507">
        <f t="shared" si="3"/>
        <v>3098.636138965674</v>
      </c>
      <c r="K20" s="78"/>
      <c r="L20" s="78"/>
      <c r="M20" s="275"/>
      <c r="N20" s="78"/>
      <c r="O20" s="275"/>
      <c r="P20" s="78"/>
    </row>
    <row r="21" spans="2:16">
      <c r="B21" s="157">
        <v>2012</v>
      </c>
      <c r="C21" s="270">
        <f>C20+D21</f>
        <v>520.79353449759139</v>
      </c>
      <c r="D21" s="274">
        <f>'DGTW 2010-2014'!C68/1000</f>
        <v>36.892263765715178</v>
      </c>
      <c r="E21" s="349"/>
      <c r="F21" s="259">
        <v>0.93</v>
      </c>
      <c r="G21" s="354">
        <f>F21*C21</f>
        <v>484.33798708276004</v>
      </c>
      <c r="H21" s="491">
        <v>0.82799999999999996</v>
      </c>
      <c r="I21" s="506">
        <f>(C21-D21+D21/4)*8766*H21/10^3</f>
        <v>3579.2187304103422</v>
      </c>
      <c r="J21" s="507">
        <f t="shared" si="3"/>
        <v>3338.5516939298632</v>
      </c>
      <c r="M21" s="265"/>
      <c r="O21" s="265"/>
    </row>
    <row r="22" spans="2:16">
      <c r="B22" s="157">
        <v>2013</v>
      </c>
      <c r="C22" s="270">
        <f>C21+D22</f>
        <v>564.47954620397741</v>
      </c>
      <c r="D22" s="316">
        <f>'DGTW 2010-2014'!C91/1000</f>
        <v>43.686011706386019</v>
      </c>
      <c r="E22" s="349"/>
      <c r="F22" s="259">
        <v>0.93</v>
      </c>
      <c r="G22" s="354">
        <f>F22*C22</f>
        <v>524.965977969699</v>
      </c>
      <c r="H22" s="491">
        <v>0.82799999999999996</v>
      </c>
      <c r="I22" s="506">
        <f>(C22-D22+D22/4)*8766*H22/10^3</f>
        <v>3859.3196069540372</v>
      </c>
      <c r="J22" s="507">
        <f t="shared" si="3"/>
        <v>3589.1672344672543</v>
      </c>
      <c r="M22" s="265"/>
      <c r="O22" s="265"/>
    </row>
    <row r="23" spans="2:16" ht="14" thickBot="1">
      <c r="B23" s="158">
        <v>2014</v>
      </c>
      <c r="C23" s="276">
        <f>C22+D23</f>
        <v>604.29323042400017</v>
      </c>
      <c r="D23" s="277">
        <f>'DGTW 2010-2014'!C114/1000</f>
        <v>39.8136842200228</v>
      </c>
      <c r="E23" s="352"/>
      <c r="F23" s="278">
        <v>0.93</v>
      </c>
      <c r="G23" s="355">
        <f>F23*C23</f>
        <v>561.99270429432022</v>
      </c>
      <c r="H23" s="492">
        <v>0.82799999999999996</v>
      </c>
      <c r="I23" s="508">
        <f>(C23-D23+D23/4)*8766*H23/10^3</f>
        <v>4169.3769357415795</v>
      </c>
      <c r="J23" s="509">
        <f t="shared" ref="J23" si="5">(G22+(G23-G22)/4)*8766*H23/1000</f>
        <v>3877.5205502396693</v>
      </c>
      <c r="M23" s="265"/>
      <c r="O23" s="265"/>
    </row>
    <row r="24" spans="2:16">
      <c r="B24" s="72"/>
      <c r="C24" s="279"/>
      <c r="D24" s="75"/>
      <c r="E24" s="75"/>
      <c r="F24" s="75"/>
      <c r="G24" s="75"/>
      <c r="H24" s="72"/>
      <c r="I24" s="75"/>
      <c r="J24" s="265"/>
    </row>
    <row r="25" spans="2:16">
      <c r="B25" s="68" t="s">
        <v>36</v>
      </c>
    </row>
    <row r="26" spans="2:16" ht="14" thickBot="1">
      <c r="B26" s="68"/>
    </row>
    <row r="27" spans="2:16" ht="14" thickBot="1">
      <c r="B27" s="414" t="s">
        <v>45</v>
      </c>
      <c r="C27" s="415"/>
      <c r="D27" s="415"/>
      <c r="E27" s="415"/>
      <c r="F27" s="415"/>
      <c r="G27" s="415"/>
      <c r="H27" s="415"/>
      <c r="I27" s="415"/>
      <c r="J27" s="416"/>
    </row>
    <row r="28" spans="2:16">
      <c r="B28" s="280" t="s">
        <v>2</v>
      </c>
      <c r="C28" s="72" t="s">
        <v>3</v>
      </c>
      <c r="D28" s="72"/>
      <c r="E28" s="72"/>
      <c r="F28" s="72"/>
      <c r="G28" s="72"/>
      <c r="H28" s="72"/>
      <c r="I28" s="72"/>
      <c r="J28" s="73"/>
    </row>
    <row r="29" spans="2:16">
      <c r="B29" s="174"/>
      <c r="C29" s="23" t="s">
        <v>4</v>
      </c>
      <c r="D29" s="72"/>
      <c r="E29" s="72"/>
      <c r="F29" s="72"/>
      <c r="G29" s="72"/>
      <c r="H29" s="72"/>
      <c r="I29" s="72"/>
      <c r="J29" s="73"/>
    </row>
    <row r="30" spans="2:16">
      <c r="B30" s="174"/>
      <c r="C30" s="72" t="s">
        <v>61</v>
      </c>
      <c r="D30" s="72"/>
      <c r="E30" s="72"/>
      <c r="F30" s="72"/>
      <c r="G30" s="72"/>
      <c r="H30" s="72"/>
      <c r="I30" s="72"/>
      <c r="J30" s="73"/>
    </row>
    <row r="31" spans="2:16">
      <c r="B31" s="174"/>
      <c r="C31" s="72"/>
      <c r="D31" s="72"/>
      <c r="E31" s="72"/>
      <c r="F31" s="72"/>
      <c r="G31" s="72"/>
      <c r="H31" s="72"/>
      <c r="I31" s="72"/>
      <c r="J31" s="73"/>
    </row>
    <row r="32" spans="2:16">
      <c r="B32" s="281" t="s">
        <v>29</v>
      </c>
      <c r="C32" s="126" t="s">
        <v>50</v>
      </c>
      <c r="D32" s="72"/>
      <c r="E32" s="72"/>
      <c r="F32" s="72"/>
      <c r="G32" s="72"/>
      <c r="H32" s="72"/>
      <c r="I32" s="72"/>
      <c r="J32" s="73"/>
    </row>
    <row r="33" spans="2:10">
      <c r="B33" s="174"/>
      <c r="C33" s="72" t="s">
        <v>51</v>
      </c>
      <c r="D33" s="72"/>
      <c r="E33" s="72"/>
      <c r="F33" s="72"/>
      <c r="G33" s="72"/>
      <c r="H33" s="72"/>
      <c r="I33" s="72"/>
      <c r="J33" s="73"/>
    </row>
    <row r="34" spans="2:10">
      <c r="B34" s="174"/>
      <c r="C34" s="72" t="s">
        <v>272</v>
      </c>
      <c r="D34" s="72"/>
      <c r="E34" s="72"/>
      <c r="F34" s="72"/>
      <c r="G34" s="72"/>
      <c r="H34" s="72"/>
      <c r="I34" s="72"/>
      <c r="J34" s="73"/>
    </row>
    <row r="35" spans="2:10">
      <c r="B35" s="174"/>
      <c r="C35" s="72"/>
      <c r="D35" s="72"/>
      <c r="E35" s="72"/>
      <c r="F35" s="72"/>
      <c r="G35" s="72"/>
      <c r="H35" s="72"/>
      <c r="I35" s="72"/>
      <c r="J35" s="73"/>
    </row>
    <row r="36" spans="2:10">
      <c r="B36" s="174" t="s">
        <v>29</v>
      </c>
      <c r="C36" s="72" t="s">
        <v>49</v>
      </c>
      <c r="D36" s="72"/>
      <c r="E36" s="72"/>
      <c r="F36" s="72"/>
      <c r="G36" s="72"/>
      <c r="H36" s="72"/>
      <c r="I36" s="72"/>
      <c r="J36" s="73"/>
    </row>
    <row r="37" spans="2:10">
      <c r="B37" s="174"/>
      <c r="C37" s="23" t="s">
        <v>15</v>
      </c>
      <c r="D37" s="72"/>
      <c r="E37" s="72"/>
      <c r="F37" s="72"/>
      <c r="G37" s="72"/>
      <c r="H37" s="72"/>
      <c r="I37" s="72"/>
      <c r="J37" s="73"/>
    </row>
    <row r="38" spans="2:10">
      <c r="B38" s="174"/>
      <c r="C38" s="72"/>
      <c r="D38" s="72"/>
      <c r="E38" s="72"/>
      <c r="F38" s="72"/>
      <c r="G38" s="72"/>
      <c r="H38" s="72"/>
      <c r="I38" s="72"/>
      <c r="J38" s="73"/>
    </row>
    <row r="39" spans="2:10">
      <c r="B39" s="282" t="s">
        <v>29</v>
      </c>
      <c r="C39" s="72" t="s">
        <v>116</v>
      </c>
      <c r="D39" s="72"/>
      <c r="E39" s="72"/>
      <c r="F39" s="72"/>
      <c r="G39" s="72"/>
      <c r="H39" s="72"/>
      <c r="I39" s="72"/>
      <c r="J39" s="73"/>
    </row>
    <row r="40" spans="2:10">
      <c r="B40" s="282"/>
      <c r="C40" s="23" t="s">
        <v>117</v>
      </c>
      <c r="D40" s="72"/>
      <c r="E40" s="72"/>
      <c r="F40" s="72"/>
      <c r="G40" s="72"/>
      <c r="H40" s="72"/>
      <c r="I40" s="72"/>
      <c r="J40" s="73"/>
    </row>
    <row r="41" spans="2:10">
      <c r="B41" s="74"/>
      <c r="C41" s="72"/>
      <c r="D41" s="72"/>
      <c r="E41" s="72"/>
      <c r="F41" s="72"/>
      <c r="G41" s="72"/>
      <c r="H41" s="72"/>
      <c r="I41" s="72"/>
      <c r="J41" s="73"/>
    </row>
    <row r="42" spans="2:10" ht="14" thickBot="1">
      <c r="B42" s="283" t="s">
        <v>151</v>
      </c>
      <c r="C42" s="99" t="s">
        <v>188</v>
      </c>
      <c r="D42" s="99"/>
      <c r="E42" s="99"/>
      <c r="F42" s="99"/>
      <c r="G42" s="99"/>
      <c r="H42" s="99"/>
      <c r="I42" s="99"/>
      <c r="J42" s="83"/>
    </row>
    <row r="54" spans="4:4">
      <c r="D54" s="69" t="s">
        <v>218</v>
      </c>
    </row>
  </sheetData>
  <mergeCells count="1">
    <mergeCell ref="B27:J27"/>
  </mergeCells>
  <phoneticPr fontId="7" type="noConversion"/>
  <hyperlinks>
    <hyperlink ref="C29" r:id="rId1"/>
    <hyperlink ref="C37" r:id="rId2"/>
    <hyperlink ref="C40" r:id="rId3"/>
  </hyperlinks>
  <pageMargins left="0.75" right="0.75" top="1" bottom="1" header="0.5" footer="0.5"/>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17"/>
  <sheetViews>
    <sheetView workbookViewId="0">
      <selection activeCell="N16" sqref="N16"/>
    </sheetView>
  </sheetViews>
  <sheetFormatPr baseColWidth="10" defaultRowHeight="13" x14ac:dyDescent="0"/>
  <cols>
    <col min="2" max="3" width="15.28515625" customWidth="1"/>
    <col min="4" max="4" width="10.7109375" style="26"/>
    <col min="7" max="7" width="10.7109375" style="26"/>
    <col min="8" max="8" width="18.85546875" customWidth="1"/>
    <col min="9" max="9" width="15.140625" customWidth="1"/>
  </cols>
  <sheetData>
    <row r="1" spans="2:15" s="26" customFormat="1"/>
    <row r="2" spans="2:15" s="26" customFormat="1">
      <c r="B2" s="41" t="s">
        <v>273</v>
      </c>
    </row>
    <row r="3" spans="2:15" s="26" customFormat="1"/>
    <row r="4" spans="2:15">
      <c r="B4" s="41" t="s">
        <v>246</v>
      </c>
      <c r="C4" s="26"/>
      <c r="E4" s="26"/>
      <c r="F4" s="26"/>
      <c r="H4" s="41" t="s">
        <v>91</v>
      </c>
      <c r="J4" s="26"/>
      <c r="N4" s="41" t="s">
        <v>112</v>
      </c>
    </row>
    <row r="5" spans="2:15">
      <c r="B5" s="26"/>
      <c r="C5" s="26"/>
      <c r="E5" s="26"/>
      <c r="F5" s="26"/>
      <c r="J5" s="26"/>
    </row>
    <row r="6" spans="2:15">
      <c r="B6" s="54" t="s">
        <v>237</v>
      </c>
      <c r="C6" s="55" t="s">
        <v>89</v>
      </c>
      <c r="D6" s="55" t="s">
        <v>90</v>
      </c>
      <c r="E6" s="55" t="s">
        <v>88</v>
      </c>
      <c r="F6" s="56" t="s">
        <v>87</v>
      </c>
      <c r="H6" s="54" t="s">
        <v>86</v>
      </c>
      <c r="I6" s="55" t="s">
        <v>89</v>
      </c>
      <c r="J6" s="55" t="s">
        <v>90</v>
      </c>
      <c r="K6" s="55" t="s">
        <v>88</v>
      </c>
      <c r="L6" s="56" t="s">
        <v>87</v>
      </c>
      <c r="N6" s="104">
        <f>12812-((1/23)*398)</f>
        <v>12794.695652173914</v>
      </c>
      <c r="O6" s="105" t="s">
        <v>94</v>
      </c>
    </row>
    <row r="7" spans="2:15">
      <c r="B7" s="57" t="s">
        <v>233</v>
      </c>
      <c r="C7" s="109">
        <v>13457</v>
      </c>
      <c r="D7" s="114">
        <v>1</v>
      </c>
      <c r="E7" s="114">
        <f>7575/17674</f>
        <v>0.42859567726604053</v>
      </c>
      <c r="F7" s="110">
        <f>E7*D7*C7</f>
        <v>5767.6120289691071</v>
      </c>
      <c r="H7" s="57" t="s">
        <v>247</v>
      </c>
      <c r="I7" s="109">
        <v>100</v>
      </c>
      <c r="J7" s="114">
        <v>1</v>
      </c>
      <c r="K7" s="114">
        <f>19/(61+19)</f>
        <v>0.23749999999999999</v>
      </c>
      <c r="L7" s="110">
        <f>K7*J7*I7</f>
        <v>23.75</v>
      </c>
    </row>
    <row r="8" spans="2:15">
      <c r="B8" s="57" t="s">
        <v>234</v>
      </c>
      <c r="C8" s="109">
        <v>14361</v>
      </c>
      <c r="D8" s="114">
        <v>1</v>
      </c>
      <c r="E8" s="114">
        <f>4452/9949</f>
        <v>0.44748215901095589</v>
      </c>
      <c r="F8" s="110">
        <f t="shared" ref="F8:F16" si="0">E8*D8*C8</f>
        <v>6426.2912855563372</v>
      </c>
      <c r="H8" s="57" t="s">
        <v>235</v>
      </c>
      <c r="I8" s="109">
        <v>114</v>
      </c>
      <c r="J8" s="114">
        <v>1</v>
      </c>
      <c r="K8" s="114">
        <f>10/40</f>
        <v>0.25</v>
      </c>
      <c r="L8" s="110">
        <f t="shared" ref="L8:L18" si="1">K8*J8*I8</f>
        <v>28.5</v>
      </c>
    </row>
    <row r="9" spans="2:15">
      <c r="B9" s="58" t="s">
        <v>235</v>
      </c>
      <c r="C9" s="109">
        <v>4501</v>
      </c>
      <c r="D9" s="114">
        <v>1</v>
      </c>
      <c r="E9" s="114">
        <f>760/1791</f>
        <v>0.42434394193188163</v>
      </c>
      <c r="F9" s="110">
        <f t="shared" si="0"/>
        <v>1909.9720826353991</v>
      </c>
      <c r="H9" s="58" t="s">
        <v>236</v>
      </c>
      <c r="I9" s="109">
        <v>272</v>
      </c>
      <c r="J9" s="114">
        <v>1</v>
      </c>
      <c r="K9" s="114">
        <f>34/64</f>
        <v>0.53125</v>
      </c>
      <c r="L9" s="110">
        <f t="shared" si="1"/>
        <v>144.5</v>
      </c>
    </row>
    <row r="10" spans="2:15">
      <c r="B10" s="58" t="s">
        <v>236</v>
      </c>
      <c r="C10" s="109">
        <v>634</v>
      </c>
      <c r="D10" s="114">
        <v>1</v>
      </c>
      <c r="E10" s="114">
        <f>115/149</f>
        <v>0.77181208053691275</v>
      </c>
      <c r="F10" s="110">
        <f t="shared" si="0"/>
        <v>489.32885906040269</v>
      </c>
      <c r="H10" s="58" t="s">
        <v>238</v>
      </c>
      <c r="I10" s="109">
        <v>509</v>
      </c>
      <c r="J10" s="114">
        <v>1</v>
      </c>
      <c r="K10" s="114">
        <f>88/88</f>
        <v>1</v>
      </c>
      <c r="L10" s="110">
        <f t="shared" si="1"/>
        <v>509</v>
      </c>
    </row>
    <row r="11" spans="2:15">
      <c r="B11" s="58" t="s">
        <v>238</v>
      </c>
      <c r="C11" s="109">
        <v>542</v>
      </c>
      <c r="D11" s="114">
        <v>1</v>
      </c>
      <c r="E11" s="114">
        <f>62/92</f>
        <v>0.67391304347826086</v>
      </c>
      <c r="F11" s="110">
        <f t="shared" si="0"/>
        <v>365.26086956521738</v>
      </c>
      <c r="H11" s="58" t="s">
        <v>239</v>
      </c>
      <c r="I11" s="109">
        <v>403</v>
      </c>
      <c r="J11" s="114">
        <v>1</v>
      </c>
      <c r="K11" s="114">
        <f>50/50</f>
        <v>1</v>
      </c>
      <c r="L11" s="110">
        <f t="shared" si="1"/>
        <v>403</v>
      </c>
    </row>
    <row r="12" spans="2:15">
      <c r="B12" s="58" t="s">
        <v>239</v>
      </c>
      <c r="C12" s="109">
        <v>3155</v>
      </c>
      <c r="D12" s="114">
        <v>1</v>
      </c>
      <c r="E12" s="114">
        <f>206/347</f>
        <v>0.59365994236311237</v>
      </c>
      <c r="F12" s="110">
        <f t="shared" si="0"/>
        <v>1872.9971181556195</v>
      </c>
      <c r="H12" s="58" t="s">
        <v>240</v>
      </c>
      <c r="I12" s="109">
        <v>1849</v>
      </c>
      <c r="J12" s="114">
        <v>1</v>
      </c>
      <c r="K12" s="114">
        <f>129/131</f>
        <v>0.98473282442748089</v>
      </c>
      <c r="L12" s="110">
        <f t="shared" si="1"/>
        <v>1820.7709923664122</v>
      </c>
    </row>
    <row r="13" spans="2:15">
      <c r="B13" s="58" t="s">
        <v>240</v>
      </c>
      <c r="C13" s="109">
        <v>439</v>
      </c>
      <c r="D13" s="114">
        <v>1</v>
      </c>
      <c r="E13" s="114">
        <f>34/34</f>
        <v>1</v>
      </c>
      <c r="F13" s="110">
        <f t="shared" si="0"/>
        <v>439</v>
      </c>
      <c r="H13" s="58" t="s">
        <v>241</v>
      </c>
      <c r="I13" s="109">
        <v>64</v>
      </c>
      <c r="J13" s="114">
        <v>1</v>
      </c>
      <c r="K13" s="114">
        <f>4/4</f>
        <v>1</v>
      </c>
      <c r="L13" s="110">
        <f t="shared" si="1"/>
        <v>64</v>
      </c>
    </row>
    <row r="14" spans="2:15">
      <c r="B14" s="58" t="s">
        <v>241</v>
      </c>
      <c r="C14" s="109">
        <v>1127</v>
      </c>
      <c r="D14" s="114">
        <v>1</v>
      </c>
      <c r="E14" s="114">
        <f>64/64</f>
        <v>1</v>
      </c>
      <c r="F14" s="110">
        <f t="shared" si="0"/>
        <v>1127</v>
      </c>
      <c r="H14" s="58" t="s">
        <v>242</v>
      </c>
      <c r="I14" s="109">
        <v>503</v>
      </c>
      <c r="J14" s="114">
        <v>1</v>
      </c>
      <c r="K14" s="114">
        <f>12/13</f>
        <v>0.92307692307692313</v>
      </c>
      <c r="L14" s="110">
        <f t="shared" si="1"/>
        <v>464.30769230769232</v>
      </c>
    </row>
    <row r="15" spans="2:15">
      <c r="B15" s="58" t="s">
        <v>242</v>
      </c>
      <c r="C15" s="109">
        <v>367</v>
      </c>
      <c r="D15" s="114">
        <v>0.6</v>
      </c>
      <c r="E15" s="114">
        <f>0</f>
        <v>0</v>
      </c>
      <c r="F15" s="110">
        <f t="shared" si="0"/>
        <v>0</v>
      </c>
      <c r="H15" s="58" t="s">
        <v>248</v>
      </c>
      <c r="I15" s="109">
        <v>1843</v>
      </c>
      <c r="J15" s="114">
        <v>0.75</v>
      </c>
      <c r="K15" s="114">
        <f>49/49</f>
        <v>1</v>
      </c>
      <c r="L15" s="110">
        <f t="shared" si="1"/>
        <v>1382.25</v>
      </c>
    </row>
    <row r="16" spans="2:15">
      <c r="B16" s="59" t="s">
        <v>243</v>
      </c>
      <c r="C16" s="111">
        <v>43</v>
      </c>
      <c r="D16" s="115">
        <v>0.6</v>
      </c>
      <c r="E16" s="115">
        <f>1</f>
        <v>1</v>
      </c>
      <c r="F16" s="112">
        <f t="shared" si="0"/>
        <v>25.8</v>
      </c>
      <c r="H16" s="58" t="s">
        <v>250</v>
      </c>
      <c r="I16" s="109">
        <v>3320</v>
      </c>
      <c r="J16" s="114">
        <v>0.1</v>
      </c>
      <c r="K16" s="114">
        <f>31/39</f>
        <v>0.79487179487179482</v>
      </c>
      <c r="L16" s="110">
        <f t="shared" si="1"/>
        <v>263.89743589743586</v>
      </c>
    </row>
    <row r="17" spans="2:15">
      <c r="B17" s="26"/>
      <c r="C17" s="26"/>
      <c r="E17" s="26"/>
      <c r="F17" s="26"/>
      <c r="H17" s="58" t="s">
        <v>249</v>
      </c>
      <c r="I17" s="109">
        <v>9061</v>
      </c>
      <c r="J17" s="114">
        <v>0.05</v>
      </c>
      <c r="K17" s="114">
        <f>29/65</f>
        <v>0.44615384615384618</v>
      </c>
      <c r="L17" s="110">
        <f t="shared" si="1"/>
        <v>202.13000000000002</v>
      </c>
    </row>
    <row r="18" spans="2:15">
      <c r="B18" s="26"/>
      <c r="C18" s="26"/>
      <c r="E18" s="26"/>
      <c r="F18" s="26"/>
      <c r="H18" s="59" t="s">
        <v>251</v>
      </c>
      <c r="I18" s="111">
        <v>14916</v>
      </c>
      <c r="J18" s="115">
        <v>0.05</v>
      </c>
      <c r="K18" s="115">
        <f>62/64</f>
        <v>0.96875</v>
      </c>
      <c r="L18" s="112">
        <f t="shared" si="1"/>
        <v>722.49374999999998</v>
      </c>
    </row>
    <row r="19" spans="2:15">
      <c r="B19" s="26"/>
      <c r="C19" s="26"/>
      <c r="E19" s="26"/>
      <c r="F19" s="26"/>
      <c r="J19" s="26"/>
    </row>
    <row r="20" spans="2:15">
      <c r="B20" s="41"/>
      <c r="C20" s="26"/>
      <c r="E20" s="60" t="s">
        <v>92</v>
      </c>
      <c r="F20" s="61">
        <f>SUM(F7:F16)</f>
        <v>18423.262243942081</v>
      </c>
      <c r="K20" s="60" t="s">
        <v>92</v>
      </c>
      <c r="L20" s="61">
        <f>SUM(L7:L18)</f>
        <v>6028.5998705715401</v>
      </c>
    </row>
    <row r="21" spans="2:15" s="26" customFormat="1" ht="14" thickBot="1">
      <c r="B21" s="41"/>
      <c r="E21" s="52"/>
      <c r="F21" s="53"/>
      <c r="K21" s="52"/>
      <c r="L21" s="53"/>
    </row>
    <row r="22" spans="2:15" ht="14" thickBot="1">
      <c r="B22" s="106" t="s">
        <v>93</v>
      </c>
      <c r="C22" s="107">
        <f>F20+L20+N6</f>
        <v>37246.557766687532</v>
      </c>
      <c r="D22" s="108" t="s">
        <v>94</v>
      </c>
    </row>
    <row r="27" spans="2:15">
      <c r="B27" s="41" t="s">
        <v>245</v>
      </c>
      <c r="C27" s="26"/>
      <c r="E27" s="26"/>
      <c r="F27" s="26"/>
      <c r="H27" s="41" t="s">
        <v>95</v>
      </c>
      <c r="I27" s="26"/>
      <c r="J27" s="26"/>
      <c r="K27" s="26"/>
      <c r="L27" s="26"/>
      <c r="N27" s="41" t="s">
        <v>113</v>
      </c>
    </row>
    <row r="28" spans="2:15">
      <c r="B28" s="26"/>
      <c r="C28" s="26"/>
      <c r="E28" s="26"/>
      <c r="F28" s="26"/>
      <c r="H28" s="26"/>
      <c r="I28" s="26"/>
      <c r="J28" s="26"/>
      <c r="K28" s="26"/>
      <c r="L28" s="26"/>
    </row>
    <row r="29" spans="2:15">
      <c r="B29" s="54" t="s">
        <v>86</v>
      </c>
      <c r="C29" s="55" t="s">
        <v>89</v>
      </c>
      <c r="D29" s="55" t="s">
        <v>90</v>
      </c>
      <c r="E29" s="55" t="s">
        <v>88</v>
      </c>
      <c r="F29" s="56" t="s">
        <v>87</v>
      </c>
      <c r="H29" s="54" t="s">
        <v>86</v>
      </c>
      <c r="I29" s="55" t="s">
        <v>89</v>
      </c>
      <c r="J29" s="55" t="s">
        <v>90</v>
      </c>
      <c r="K29" s="55" t="s">
        <v>88</v>
      </c>
      <c r="L29" s="56" t="s">
        <v>87</v>
      </c>
      <c r="N29" s="104">
        <f>6773</f>
        <v>6773</v>
      </c>
      <c r="O29" s="105" t="s">
        <v>94</v>
      </c>
    </row>
    <row r="30" spans="2:15">
      <c r="B30" s="57" t="s">
        <v>233</v>
      </c>
      <c r="C30" s="109">
        <v>13100</v>
      </c>
      <c r="D30" s="114">
        <v>1</v>
      </c>
      <c r="E30" s="114">
        <f>7570/13100</f>
        <v>0.5778625954198473</v>
      </c>
      <c r="F30" s="110">
        <f>E30*D30*C30</f>
        <v>7570</v>
      </c>
      <c r="H30" s="57" t="s">
        <v>247</v>
      </c>
      <c r="I30" s="109">
        <v>161</v>
      </c>
      <c r="J30" s="114">
        <v>1</v>
      </c>
      <c r="K30" s="114">
        <f>24/118</f>
        <v>0.20338983050847459</v>
      </c>
      <c r="L30" s="110">
        <f>K30*J30*I30</f>
        <v>32.745762711864408</v>
      </c>
    </row>
    <row r="31" spans="2:15">
      <c r="B31" s="57" t="s">
        <v>234</v>
      </c>
      <c r="C31" s="109">
        <v>21231</v>
      </c>
      <c r="D31" s="114">
        <v>1</v>
      </c>
      <c r="E31" s="114">
        <f>6237/15052</f>
        <v>0.41436353972893969</v>
      </c>
      <c r="F31" s="110">
        <f t="shared" ref="F31:F39" si="2">E31*D31*C31</f>
        <v>8797.3523119851179</v>
      </c>
      <c r="H31" s="57" t="s">
        <v>235</v>
      </c>
      <c r="I31" s="109">
        <v>152</v>
      </c>
      <c r="J31" s="114">
        <v>1</v>
      </c>
      <c r="K31" s="114">
        <f>12/54</f>
        <v>0.22222222222222221</v>
      </c>
      <c r="L31" s="110">
        <f t="shared" ref="L31:L41" si="3">K31*J31*I31</f>
        <v>33.777777777777779</v>
      </c>
    </row>
    <row r="32" spans="2:15">
      <c r="B32" s="58" t="s">
        <v>235</v>
      </c>
      <c r="C32" s="109">
        <v>6329</v>
      </c>
      <c r="D32" s="114">
        <v>1</v>
      </c>
      <c r="E32" s="114">
        <f>882/2556</f>
        <v>0.34507042253521125</v>
      </c>
      <c r="F32" s="110">
        <f t="shared" si="2"/>
        <v>2183.9507042253522</v>
      </c>
      <c r="H32" s="58" t="s">
        <v>236</v>
      </c>
      <c r="I32" s="109">
        <v>274</v>
      </c>
      <c r="J32" s="114">
        <v>1</v>
      </c>
      <c r="K32" s="114">
        <f>29/67</f>
        <v>0.43283582089552236</v>
      </c>
      <c r="L32" s="110">
        <f t="shared" si="3"/>
        <v>118.59701492537313</v>
      </c>
    </row>
    <row r="33" spans="2:12">
      <c r="B33" s="58" t="s">
        <v>236</v>
      </c>
      <c r="C33" s="109">
        <v>1826</v>
      </c>
      <c r="D33" s="114">
        <v>1</v>
      </c>
      <c r="E33" s="114">
        <f>421/427</f>
        <v>0.98594847775175642</v>
      </c>
      <c r="F33" s="110">
        <f t="shared" si="2"/>
        <v>1800.3419203747073</v>
      </c>
      <c r="H33" s="58" t="s">
        <v>238</v>
      </c>
      <c r="I33" s="109">
        <v>278</v>
      </c>
      <c r="J33" s="114">
        <v>1</v>
      </c>
      <c r="K33" s="114">
        <f>44/47</f>
        <v>0.93617021276595747</v>
      </c>
      <c r="L33" s="110">
        <f t="shared" si="3"/>
        <v>260.25531914893617</v>
      </c>
    </row>
    <row r="34" spans="2:12">
      <c r="B34" s="58" t="s">
        <v>238</v>
      </c>
      <c r="C34" s="109">
        <v>616</v>
      </c>
      <c r="D34" s="114">
        <v>1</v>
      </c>
      <c r="E34" s="114">
        <f>81/99</f>
        <v>0.81818181818181823</v>
      </c>
      <c r="F34" s="110">
        <f t="shared" si="2"/>
        <v>504.00000000000006</v>
      </c>
      <c r="H34" s="58" t="s">
        <v>239</v>
      </c>
      <c r="I34" s="109">
        <v>353</v>
      </c>
      <c r="J34" s="114">
        <v>1</v>
      </c>
      <c r="K34" s="114">
        <f>44/45</f>
        <v>0.97777777777777775</v>
      </c>
      <c r="L34" s="110">
        <f t="shared" si="3"/>
        <v>345.15555555555557</v>
      </c>
    </row>
    <row r="35" spans="2:12">
      <c r="B35" s="58" t="s">
        <v>239</v>
      </c>
      <c r="C35" s="109">
        <v>2562</v>
      </c>
      <c r="D35" s="114">
        <v>1</v>
      </c>
      <c r="E35" s="114">
        <f>248/279</f>
        <v>0.88888888888888884</v>
      </c>
      <c r="F35" s="110">
        <f t="shared" si="2"/>
        <v>2277.333333333333</v>
      </c>
      <c r="H35" s="58" t="s">
        <v>240</v>
      </c>
      <c r="I35" s="109">
        <v>1176</v>
      </c>
      <c r="J35" s="114">
        <v>1</v>
      </c>
      <c r="K35" s="114">
        <f>1</f>
        <v>1</v>
      </c>
      <c r="L35" s="110">
        <f t="shared" si="3"/>
        <v>1176</v>
      </c>
    </row>
    <row r="36" spans="2:12">
      <c r="B36" s="58" t="s">
        <v>240</v>
      </c>
      <c r="C36" s="109">
        <v>168</v>
      </c>
      <c r="D36" s="114">
        <v>1</v>
      </c>
      <c r="E36" s="114">
        <f>13/13</f>
        <v>1</v>
      </c>
      <c r="F36" s="110">
        <f t="shared" si="2"/>
        <v>168</v>
      </c>
      <c r="H36" s="58" t="s">
        <v>241</v>
      </c>
      <c r="I36" s="109">
        <v>81</v>
      </c>
      <c r="J36" s="114">
        <v>1</v>
      </c>
      <c r="K36" s="114">
        <f>1</f>
        <v>1</v>
      </c>
      <c r="L36" s="110">
        <f t="shared" si="3"/>
        <v>81</v>
      </c>
    </row>
    <row r="37" spans="2:12">
      <c r="B37" s="58" t="s">
        <v>241</v>
      </c>
      <c r="C37" s="109">
        <v>1655</v>
      </c>
      <c r="D37" s="114">
        <v>1</v>
      </c>
      <c r="E37" s="114">
        <f>1</f>
        <v>1</v>
      </c>
      <c r="F37" s="110">
        <f t="shared" si="2"/>
        <v>1655</v>
      </c>
      <c r="H37" s="58" t="s">
        <v>242</v>
      </c>
      <c r="I37" s="109">
        <v>232</v>
      </c>
      <c r="J37" s="114">
        <v>1</v>
      </c>
      <c r="K37" s="114">
        <f>9/9</f>
        <v>1</v>
      </c>
      <c r="L37" s="110">
        <f t="shared" si="3"/>
        <v>232</v>
      </c>
    </row>
    <row r="38" spans="2:12">
      <c r="B38" s="58" t="s">
        <v>242</v>
      </c>
      <c r="C38" s="109">
        <v>92</v>
      </c>
      <c r="D38" s="114">
        <v>0.6</v>
      </c>
      <c r="E38" s="114">
        <v>1</v>
      </c>
      <c r="F38" s="110">
        <f t="shared" si="2"/>
        <v>55.199999999999996</v>
      </c>
      <c r="H38" s="58" t="s">
        <v>248</v>
      </c>
      <c r="I38" s="109">
        <v>3549</v>
      </c>
      <c r="J38" s="114">
        <v>0.75</v>
      </c>
      <c r="K38" s="114">
        <f>77/98</f>
        <v>0.7857142857142857</v>
      </c>
      <c r="L38" s="110">
        <f t="shared" si="3"/>
        <v>2091.375</v>
      </c>
    </row>
    <row r="39" spans="2:12">
      <c r="B39" s="59" t="s">
        <v>243</v>
      </c>
      <c r="C39" s="111">
        <v>81</v>
      </c>
      <c r="D39" s="115">
        <v>0.6</v>
      </c>
      <c r="E39" s="115">
        <f>1</f>
        <v>1</v>
      </c>
      <c r="F39" s="112">
        <f t="shared" si="2"/>
        <v>48.6</v>
      </c>
      <c r="H39" s="58" t="s">
        <v>250</v>
      </c>
      <c r="I39" s="109">
        <v>5484</v>
      </c>
      <c r="J39" s="114">
        <v>0.1</v>
      </c>
      <c r="K39" s="114">
        <f>51/67</f>
        <v>0.76119402985074625</v>
      </c>
      <c r="L39" s="110">
        <f t="shared" si="3"/>
        <v>417.4388059701493</v>
      </c>
    </row>
    <row r="40" spans="2:12">
      <c r="B40" s="26"/>
      <c r="C40" s="26"/>
      <c r="E40" s="26"/>
      <c r="F40" s="26"/>
      <c r="H40" s="58" t="s">
        <v>249</v>
      </c>
      <c r="I40" s="109">
        <v>5617</v>
      </c>
      <c r="J40" s="114">
        <v>0.05</v>
      </c>
      <c r="K40" s="114">
        <f>26/37</f>
        <v>0.70270270270270274</v>
      </c>
      <c r="L40" s="110">
        <f t="shared" si="3"/>
        <v>197.35405405405407</v>
      </c>
    </row>
    <row r="41" spans="2:12">
      <c r="B41" s="26"/>
      <c r="C41" s="26"/>
      <c r="E41" s="26"/>
      <c r="F41" s="26"/>
      <c r="H41" s="59" t="s">
        <v>251</v>
      </c>
      <c r="I41" s="111">
        <v>11474</v>
      </c>
      <c r="J41" s="115">
        <v>0.05</v>
      </c>
      <c r="K41" s="115">
        <f>1</f>
        <v>1</v>
      </c>
      <c r="L41" s="112">
        <f t="shared" si="3"/>
        <v>573.70000000000005</v>
      </c>
    </row>
    <row r="42" spans="2:12">
      <c r="B42" s="26"/>
      <c r="C42" s="26"/>
      <c r="E42" s="26"/>
      <c r="F42" s="26"/>
      <c r="H42" s="26"/>
      <c r="I42" s="26"/>
      <c r="J42" s="26"/>
      <c r="K42" s="26"/>
      <c r="L42" s="26"/>
    </row>
    <row r="43" spans="2:12">
      <c r="B43" s="41"/>
      <c r="C43" s="26"/>
      <c r="E43" s="60" t="s">
        <v>92</v>
      </c>
      <c r="F43" s="61">
        <f>SUM(F30:F39)</f>
        <v>25059.778269918508</v>
      </c>
      <c r="H43" s="26"/>
      <c r="I43" s="26"/>
      <c r="J43" s="26"/>
      <c r="K43" s="60" t="s">
        <v>92</v>
      </c>
      <c r="L43" s="61">
        <f>SUM(L30:L41)</f>
        <v>5559.3992901437105</v>
      </c>
    </row>
    <row r="44" spans="2:12" ht="14" thickBot="1">
      <c r="B44" s="41"/>
      <c r="C44" s="26"/>
      <c r="E44" s="52"/>
      <c r="F44" s="53"/>
      <c r="H44" s="26"/>
      <c r="I44" s="26"/>
      <c r="J44" s="26"/>
      <c r="K44" s="52"/>
      <c r="L44" s="53"/>
    </row>
    <row r="45" spans="2:12" ht="14" thickBot="1">
      <c r="B45" s="106" t="s">
        <v>96</v>
      </c>
      <c r="C45" s="107">
        <f>F43+L43+N29</f>
        <v>37392.17756006222</v>
      </c>
      <c r="D45" s="108" t="s">
        <v>94</v>
      </c>
      <c r="E45" s="26"/>
      <c r="F45" s="26"/>
      <c r="H45" s="26"/>
      <c r="I45" s="26"/>
      <c r="J45" s="26"/>
      <c r="K45" s="26"/>
      <c r="L45" s="26"/>
    </row>
    <row r="50" spans="2:15">
      <c r="B50" s="41" t="s">
        <v>244</v>
      </c>
      <c r="C50" s="26"/>
      <c r="E50" s="26"/>
      <c r="F50" s="26"/>
      <c r="H50" s="41" t="s">
        <v>97</v>
      </c>
      <c r="I50" s="26"/>
      <c r="J50" s="26"/>
      <c r="K50" s="26"/>
      <c r="L50" s="26"/>
      <c r="N50" s="41" t="s">
        <v>114</v>
      </c>
    </row>
    <row r="51" spans="2:15">
      <c r="B51" s="26"/>
      <c r="C51" s="26"/>
      <c r="E51" s="26"/>
      <c r="F51" s="26"/>
      <c r="H51" s="26"/>
      <c r="I51" s="26"/>
      <c r="J51" s="26"/>
      <c r="K51" s="26"/>
      <c r="L51" s="26"/>
    </row>
    <row r="52" spans="2:15">
      <c r="B52" s="54" t="s">
        <v>86</v>
      </c>
      <c r="C52" s="55" t="s">
        <v>89</v>
      </c>
      <c r="D52" s="55" t="s">
        <v>90</v>
      </c>
      <c r="E52" s="55" t="s">
        <v>88</v>
      </c>
      <c r="F52" s="56" t="s">
        <v>87</v>
      </c>
      <c r="H52" s="54" t="s">
        <v>86</v>
      </c>
      <c r="I52" s="55" t="s">
        <v>89</v>
      </c>
      <c r="J52" s="55" t="s">
        <v>90</v>
      </c>
      <c r="K52" s="55" t="s">
        <v>88</v>
      </c>
      <c r="L52" s="56" t="s">
        <v>87</v>
      </c>
      <c r="N52" s="104">
        <v>11895</v>
      </c>
      <c r="O52" s="105" t="s">
        <v>94</v>
      </c>
    </row>
    <row r="53" spans="2:15">
      <c r="B53" s="57" t="s">
        <v>233</v>
      </c>
      <c r="C53" s="109">
        <v>13280</v>
      </c>
      <c r="D53" s="114">
        <v>1</v>
      </c>
      <c r="E53" s="114">
        <f>7991/17636</f>
        <v>0.45310728056248584</v>
      </c>
      <c r="F53" s="110">
        <f>E53*D53*C53</f>
        <v>6017.2646858698117</v>
      </c>
      <c r="H53" s="57" t="s">
        <v>247</v>
      </c>
      <c r="I53" s="109">
        <v>179</v>
      </c>
      <c r="J53" s="114">
        <v>1</v>
      </c>
      <c r="K53" s="114">
        <f>34/130</f>
        <v>0.26153846153846155</v>
      </c>
      <c r="L53" s="110">
        <f>K53*J53*I53</f>
        <v>46.815384615384616</v>
      </c>
    </row>
    <row r="54" spans="2:15">
      <c r="B54" s="57" t="s">
        <v>234</v>
      </c>
      <c r="C54" s="109">
        <v>16097</v>
      </c>
      <c r="D54" s="114">
        <v>1</v>
      </c>
      <c r="E54" s="114">
        <f>6307/11125</f>
        <v>0.56692134831460672</v>
      </c>
      <c r="F54" s="110">
        <f t="shared" ref="F54:F62" si="4">E54*D54*C54</f>
        <v>9125.732943820225</v>
      </c>
      <c r="H54" s="57" t="s">
        <v>235</v>
      </c>
      <c r="I54" s="109">
        <v>91</v>
      </c>
      <c r="J54" s="114">
        <v>1</v>
      </c>
      <c r="K54" s="114">
        <f>6/31</f>
        <v>0.19354838709677419</v>
      </c>
      <c r="L54" s="110">
        <f t="shared" ref="L54:L64" si="5">K54*J54*I54</f>
        <v>17.612903225806452</v>
      </c>
    </row>
    <row r="55" spans="2:15">
      <c r="B55" s="58" t="s">
        <v>235</v>
      </c>
      <c r="C55" s="109">
        <v>6035</v>
      </c>
      <c r="D55" s="114">
        <v>1</v>
      </c>
      <c r="E55" s="114">
        <f>1187/2428</f>
        <v>0.48887973640856675</v>
      </c>
      <c r="F55" s="110">
        <f t="shared" si="4"/>
        <v>2950.3892092257001</v>
      </c>
      <c r="H55" s="58" t="s">
        <v>236</v>
      </c>
      <c r="I55" s="109">
        <v>283</v>
      </c>
      <c r="J55" s="114">
        <v>1</v>
      </c>
      <c r="K55" s="114">
        <f>31/68</f>
        <v>0.45588235294117646</v>
      </c>
      <c r="L55" s="110">
        <f t="shared" si="5"/>
        <v>129.01470588235293</v>
      </c>
    </row>
    <row r="56" spans="2:15">
      <c r="B56" s="58" t="s">
        <v>236</v>
      </c>
      <c r="C56" s="113">
        <v>546</v>
      </c>
      <c r="D56" s="114">
        <v>1</v>
      </c>
      <c r="E56" s="114">
        <f>96/129</f>
        <v>0.7441860465116279</v>
      </c>
      <c r="F56" s="110">
        <f t="shared" si="4"/>
        <v>406.32558139534882</v>
      </c>
      <c r="H56" s="58" t="s">
        <v>238</v>
      </c>
      <c r="I56" s="113">
        <v>410</v>
      </c>
      <c r="J56" s="114">
        <v>1</v>
      </c>
      <c r="K56" s="114">
        <f>65/68</f>
        <v>0.95588235294117652</v>
      </c>
      <c r="L56" s="110">
        <f t="shared" si="5"/>
        <v>391.91176470588238</v>
      </c>
    </row>
    <row r="57" spans="2:15">
      <c r="B57" s="58" t="s">
        <v>238</v>
      </c>
      <c r="C57" s="113">
        <v>473</v>
      </c>
      <c r="D57" s="114">
        <v>1</v>
      </c>
      <c r="E57" s="114">
        <f>45/83</f>
        <v>0.54216867469879515</v>
      </c>
      <c r="F57" s="110">
        <f t="shared" si="4"/>
        <v>256.4457831325301</v>
      </c>
      <c r="H57" s="58" t="s">
        <v>239</v>
      </c>
      <c r="I57" s="113">
        <v>107</v>
      </c>
      <c r="J57" s="114">
        <v>1</v>
      </c>
      <c r="K57" s="114">
        <f>1</f>
        <v>1</v>
      </c>
      <c r="L57" s="110">
        <f t="shared" si="5"/>
        <v>107</v>
      </c>
    </row>
    <row r="58" spans="2:15">
      <c r="B58" s="58" t="s">
        <v>239</v>
      </c>
      <c r="C58" s="113">
        <v>1627</v>
      </c>
      <c r="D58" s="114">
        <v>1</v>
      </c>
      <c r="E58" s="114">
        <f>131/178</f>
        <v>0.7359550561797753</v>
      </c>
      <c r="F58" s="110">
        <f t="shared" si="4"/>
        <v>1197.3988764044943</v>
      </c>
      <c r="H58" s="58" t="s">
        <v>240</v>
      </c>
      <c r="I58" s="113">
        <v>829</v>
      </c>
      <c r="J58" s="114">
        <v>1</v>
      </c>
      <c r="K58" s="114">
        <f>1</f>
        <v>1</v>
      </c>
      <c r="L58" s="110">
        <f t="shared" si="5"/>
        <v>829</v>
      </c>
    </row>
    <row r="59" spans="2:15">
      <c r="B59" s="58" t="s">
        <v>240</v>
      </c>
      <c r="C59" s="113">
        <v>35</v>
      </c>
      <c r="D59" s="114">
        <v>1</v>
      </c>
      <c r="E59" s="114">
        <f>3/3</f>
        <v>1</v>
      </c>
      <c r="F59" s="110">
        <f t="shared" si="4"/>
        <v>35</v>
      </c>
      <c r="H59" s="58" t="s">
        <v>241</v>
      </c>
      <c r="I59" s="113">
        <v>32</v>
      </c>
      <c r="J59" s="114">
        <v>1</v>
      </c>
      <c r="K59" s="114">
        <f>1</f>
        <v>1</v>
      </c>
      <c r="L59" s="110">
        <f t="shared" si="5"/>
        <v>32</v>
      </c>
    </row>
    <row r="60" spans="2:15">
      <c r="B60" s="58" t="s">
        <v>241</v>
      </c>
      <c r="C60" s="113">
        <v>2009</v>
      </c>
      <c r="D60" s="114">
        <v>1</v>
      </c>
      <c r="E60" s="114">
        <f>113/113</f>
        <v>1</v>
      </c>
      <c r="F60" s="110">
        <f t="shared" si="4"/>
        <v>2009</v>
      </c>
      <c r="H60" s="58" t="s">
        <v>242</v>
      </c>
      <c r="I60" s="113">
        <v>71</v>
      </c>
      <c r="J60" s="114">
        <v>1</v>
      </c>
      <c r="K60" s="114">
        <f>1</f>
        <v>1</v>
      </c>
      <c r="L60" s="110">
        <f t="shared" si="5"/>
        <v>71</v>
      </c>
    </row>
    <row r="61" spans="2:15">
      <c r="B61" s="58" t="s">
        <v>242</v>
      </c>
      <c r="C61" s="113">
        <v>0</v>
      </c>
      <c r="D61" s="114">
        <v>0.6</v>
      </c>
      <c r="E61" s="114">
        <f>0</f>
        <v>0</v>
      </c>
      <c r="F61" s="110">
        <f t="shared" si="4"/>
        <v>0</v>
      </c>
      <c r="H61" s="58" t="s">
        <v>248</v>
      </c>
      <c r="I61" s="113">
        <v>1632</v>
      </c>
      <c r="J61" s="114">
        <v>0.75</v>
      </c>
      <c r="K61" s="116">
        <f>47/49</f>
        <v>0.95918367346938771</v>
      </c>
      <c r="L61" s="110">
        <f t="shared" si="5"/>
        <v>1174.0408163265306</v>
      </c>
    </row>
    <row r="62" spans="2:15">
      <c r="B62" s="59" t="s">
        <v>243</v>
      </c>
      <c r="C62" s="111">
        <v>0</v>
      </c>
      <c r="D62" s="115">
        <v>0.6</v>
      </c>
      <c r="E62" s="115">
        <f>1</f>
        <v>1</v>
      </c>
      <c r="F62" s="112">
        <f t="shared" si="4"/>
        <v>0</v>
      </c>
      <c r="H62" s="58" t="s">
        <v>250</v>
      </c>
      <c r="I62" s="113">
        <v>611</v>
      </c>
      <c r="J62" s="114">
        <v>0.1</v>
      </c>
      <c r="K62" s="116">
        <f>8/9</f>
        <v>0.88888888888888884</v>
      </c>
      <c r="L62" s="110">
        <f t="shared" si="5"/>
        <v>54.31111111111111</v>
      </c>
    </row>
    <row r="63" spans="2:15">
      <c r="B63" s="26"/>
      <c r="C63" s="26"/>
      <c r="E63" s="26"/>
      <c r="F63" s="26"/>
      <c r="H63" s="58" t="s">
        <v>249</v>
      </c>
      <c r="I63" s="113">
        <v>810</v>
      </c>
      <c r="J63" s="114">
        <v>0.05</v>
      </c>
      <c r="K63" s="114">
        <f>1</f>
        <v>1</v>
      </c>
      <c r="L63" s="110">
        <f t="shared" si="5"/>
        <v>40.5</v>
      </c>
    </row>
    <row r="64" spans="2:15">
      <c r="B64" s="26"/>
      <c r="C64" s="26"/>
      <c r="E64" s="26"/>
      <c r="F64" s="26"/>
      <c r="H64" s="59" t="s">
        <v>251</v>
      </c>
      <c r="I64" s="111">
        <v>2130</v>
      </c>
      <c r="J64" s="115">
        <v>0.05</v>
      </c>
      <c r="K64" s="115">
        <f>1</f>
        <v>1</v>
      </c>
      <c r="L64" s="112">
        <f t="shared" si="5"/>
        <v>106.5</v>
      </c>
    </row>
    <row r="65" spans="2:15">
      <c r="B65" s="26"/>
      <c r="C65" s="26"/>
      <c r="E65" s="26"/>
      <c r="F65" s="26"/>
      <c r="H65" s="26"/>
      <c r="I65" s="26"/>
      <c r="J65" s="26"/>
      <c r="K65" s="26"/>
      <c r="L65" s="26"/>
    </row>
    <row r="66" spans="2:15">
      <c r="B66" s="41"/>
      <c r="C66" s="26"/>
      <c r="E66" s="60" t="s">
        <v>92</v>
      </c>
      <c r="F66" s="61">
        <f>SUM(F53:F62)</f>
        <v>21997.557079848109</v>
      </c>
      <c r="H66" s="26"/>
      <c r="I66" s="26"/>
      <c r="J66" s="26"/>
      <c r="K66" s="60" t="s">
        <v>92</v>
      </c>
      <c r="L66" s="61">
        <f>SUM(L53:L64)</f>
        <v>2999.7066858670682</v>
      </c>
    </row>
    <row r="67" spans="2:15" ht="14" thickBot="1">
      <c r="B67" s="41"/>
      <c r="C67" s="26"/>
      <c r="E67" s="52"/>
      <c r="F67" s="53"/>
      <c r="H67" s="26"/>
      <c r="I67" s="26"/>
      <c r="J67" s="26"/>
      <c r="K67" s="52"/>
      <c r="L67" s="53"/>
    </row>
    <row r="68" spans="2:15" ht="14" thickBot="1">
      <c r="B68" s="106" t="s">
        <v>98</v>
      </c>
      <c r="C68" s="107">
        <f>F66+L66+N52</f>
        <v>36892.263765715179</v>
      </c>
      <c r="D68" s="108" t="s">
        <v>94</v>
      </c>
      <c r="E68" s="26"/>
      <c r="F68" s="26"/>
      <c r="H68" s="26"/>
      <c r="I68" s="26"/>
      <c r="J68" s="26"/>
      <c r="K68" s="26"/>
      <c r="L68" s="26"/>
    </row>
    <row r="73" spans="2:15">
      <c r="B73" s="41" t="s">
        <v>111</v>
      </c>
      <c r="C73" s="26"/>
      <c r="E73" s="26"/>
      <c r="F73" s="26"/>
      <c r="H73" s="41" t="s">
        <v>110</v>
      </c>
      <c r="I73" s="26"/>
      <c r="J73" s="26"/>
      <c r="K73" s="26"/>
      <c r="L73" s="26"/>
      <c r="M73" s="26"/>
      <c r="N73" s="41" t="s">
        <v>115</v>
      </c>
      <c r="O73" s="26"/>
    </row>
    <row r="74" spans="2:15">
      <c r="B74" s="26"/>
      <c r="C74" s="26"/>
      <c r="E74" s="26"/>
      <c r="F74" s="26"/>
      <c r="H74" s="26"/>
      <c r="I74" s="26"/>
      <c r="J74" s="26"/>
      <c r="K74" s="26"/>
      <c r="L74" s="26"/>
      <c r="M74" s="26"/>
      <c r="N74" s="26"/>
      <c r="O74" s="26"/>
    </row>
    <row r="75" spans="2:15">
      <c r="B75" s="54" t="s">
        <v>86</v>
      </c>
      <c r="C75" s="55" t="s">
        <v>89</v>
      </c>
      <c r="D75" s="55" t="s">
        <v>90</v>
      </c>
      <c r="E75" s="55" t="s">
        <v>88</v>
      </c>
      <c r="F75" s="56" t="s">
        <v>87</v>
      </c>
      <c r="H75" s="54" t="s">
        <v>86</v>
      </c>
      <c r="I75" s="55" t="s">
        <v>89</v>
      </c>
      <c r="J75" s="55" t="s">
        <v>90</v>
      </c>
      <c r="K75" s="55" t="s">
        <v>88</v>
      </c>
      <c r="L75" s="56" t="s">
        <v>87</v>
      </c>
      <c r="M75" s="26"/>
      <c r="N75" s="104">
        <f>16707</f>
        <v>16707</v>
      </c>
      <c r="O75" s="105" t="s">
        <v>94</v>
      </c>
    </row>
    <row r="76" spans="2:15">
      <c r="B76" s="57" t="s">
        <v>233</v>
      </c>
      <c r="C76" s="109">
        <v>13335</v>
      </c>
      <c r="D76" s="114">
        <v>1</v>
      </c>
      <c r="E76" s="114">
        <f>8297/18090</f>
        <v>0.45865118850193476</v>
      </c>
      <c r="F76" s="110">
        <f>E76*D76*C76</f>
        <v>6116.1135986732997</v>
      </c>
      <c r="H76" s="57" t="s">
        <v>247</v>
      </c>
      <c r="I76" s="109">
        <v>158</v>
      </c>
      <c r="J76" s="114">
        <v>1</v>
      </c>
      <c r="K76" s="114">
        <f>21/181</f>
        <v>0.11602209944751381</v>
      </c>
      <c r="L76" s="110">
        <f>K76*J76*I76</f>
        <v>18.33149171270718</v>
      </c>
      <c r="M76" s="26"/>
      <c r="N76" s="26"/>
      <c r="O76" s="26"/>
    </row>
    <row r="77" spans="2:15">
      <c r="B77" s="57" t="s">
        <v>234</v>
      </c>
      <c r="C77" s="109">
        <v>15407</v>
      </c>
      <c r="D77" s="114">
        <v>1</v>
      </c>
      <c r="E77" s="114">
        <f>4820/10635</f>
        <v>0.45322049835448991</v>
      </c>
      <c r="F77" s="110">
        <f t="shared" ref="F77:F85" si="6">E77*D77*C77</f>
        <v>6982.7682181476257</v>
      </c>
      <c r="H77" s="57" t="s">
        <v>235</v>
      </c>
      <c r="I77" s="109">
        <v>109</v>
      </c>
      <c r="J77" s="114">
        <v>1</v>
      </c>
      <c r="K77" s="114">
        <f>5/40</f>
        <v>0.125</v>
      </c>
      <c r="L77" s="110">
        <f t="shared" ref="L77:L87" si="7">K77*J77*I77</f>
        <v>13.625</v>
      </c>
      <c r="M77" s="26"/>
      <c r="N77" s="26"/>
      <c r="O77" s="26"/>
    </row>
    <row r="78" spans="2:15">
      <c r="B78" s="58" t="s">
        <v>235</v>
      </c>
      <c r="C78" s="109">
        <v>6260</v>
      </c>
      <c r="D78" s="114">
        <v>1</v>
      </c>
      <c r="E78" s="114">
        <f>860/2485</f>
        <v>0.34607645875251508</v>
      </c>
      <c r="F78" s="110">
        <f t="shared" si="6"/>
        <v>2166.4386317907442</v>
      </c>
      <c r="H78" s="58" t="s">
        <v>236</v>
      </c>
      <c r="I78" s="109">
        <v>166</v>
      </c>
      <c r="J78" s="114">
        <v>1</v>
      </c>
      <c r="K78" s="114">
        <f>15/41</f>
        <v>0.36585365853658536</v>
      </c>
      <c r="L78" s="110">
        <f t="shared" si="7"/>
        <v>60.731707317073166</v>
      </c>
      <c r="M78" s="26"/>
      <c r="N78" s="26"/>
      <c r="O78" s="26"/>
    </row>
    <row r="79" spans="2:15">
      <c r="B79" s="58" t="s">
        <v>236</v>
      </c>
      <c r="C79" s="113">
        <v>834</v>
      </c>
      <c r="D79" s="114">
        <v>1</v>
      </c>
      <c r="E79" s="114">
        <f>183/196</f>
        <v>0.93367346938775508</v>
      </c>
      <c r="F79" s="110">
        <f t="shared" si="6"/>
        <v>778.68367346938771</v>
      </c>
      <c r="H79" s="58" t="s">
        <v>238</v>
      </c>
      <c r="I79" s="113">
        <v>295</v>
      </c>
      <c r="J79" s="114">
        <v>1</v>
      </c>
      <c r="K79" s="114">
        <f>42/50</f>
        <v>0.84</v>
      </c>
      <c r="L79" s="110">
        <f t="shared" si="7"/>
        <v>247.79999999999998</v>
      </c>
      <c r="M79" s="26"/>
      <c r="N79" s="26"/>
      <c r="O79" s="26"/>
    </row>
    <row r="80" spans="2:15">
      <c r="B80" s="58" t="s">
        <v>238</v>
      </c>
      <c r="C80" s="113">
        <v>1363</v>
      </c>
      <c r="D80" s="114">
        <v>1</v>
      </c>
      <c r="E80" s="123">
        <f>103/142</f>
        <v>0.72535211267605637</v>
      </c>
      <c r="F80" s="110">
        <f t="shared" si="6"/>
        <v>988.65492957746483</v>
      </c>
      <c r="H80" s="58" t="s">
        <v>239</v>
      </c>
      <c r="I80" s="113">
        <v>346</v>
      </c>
      <c r="J80" s="114">
        <v>1</v>
      </c>
      <c r="K80" s="114">
        <f>1</f>
        <v>1</v>
      </c>
      <c r="L80" s="110">
        <f t="shared" si="7"/>
        <v>346</v>
      </c>
      <c r="M80" s="26"/>
      <c r="N80" s="26"/>
      <c r="O80" s="26"/>
    </row>
    <row r="81" spans="2:16">
      <c r="B81" s="58" t="s">
        <v>239</v>
      </c>
      <c r="C81" s="113">
        <v>1667</v>
      </c>
      <c r="D81" s="114">
        <v>1</v>
      </c>
      <c r="E81" s="114">
        <f>172/179</f>
        <v>0.96089385474860334</v>
      </c>
      <c r="F81" s="110">
        <f t="shared" si="6"/>
        <v>1601.8100558659219</v>
      </c>
      <c r="H81" s="58" t="s">
        <v>240</v>
      </c>
      <c r="I81" s="113">
        <v>386</v>
      </c>
      <c r="J81" s="114">
        <v>1</v>
      </c>
      <c r="K81" s="114">
        <f>29/30</f>
        <v>0.96666666666666667</v>
      </c>
      <c r="L81" s="110">
        <f t="shared" si="7"/>
        <v>373.13333333333333</v>
      </c>
      <c r="M81" s="26"/>
      <c r="N81" s="26"/>
      <c r="O81" s="26"/>
    </row>
    <row r="82" spans="2:16">
      <c r="B82" s="58" t="s">
        <v>240</v>
      </c>
      <c r="C82" s="113">
        <v>127</v>
      </c>
      <c r="D82" s="114">
        <v>1</v>
      </c>
      <c r="E82" s="114">
        <f>3/3</f>
        <v>1</v>
      </c>
      <c r="F82" s="110">
        <f t="shared" si="6"/>
        <v>127</v>
      </c>
      <c r="H82" s="58" t="s">
        <v>241</v>
      </c>
      <c r="I82" s="113">
        <v>689</v>
      </c>
      <c r="J82" s="114">
        <v>1</v>
      </c>
      <c r="K82" s="114">
        <f>43/44</f>
        <v>0.97727272727272729</v>
      </c>
      <c r="L82" s="110">
        <f t="shared" si="7"/>
        <v>673.34090909090912</v>
      </c>
      <c r="M82" s="26"/>
      <c r="N82" s="26"/>
      <c r="O82" s="26"/>
    </row>
    <row r="83" spans="2:16">
      <c r="B83" s="58" t="s">
        <v>241</v>
      </c>
      <c r="C83" s="113">
        <v>1330</v>
      </c>
      <c r="D83" s="114">
        <v>1</v>
      </c>
      <c r="E83" s="114">
        <f>113/113</f>
        <v>1</v>
      </c>
      <c r="F83" s="110">
        <f t="shared" si="6"/>
        <v>1330</v>
      </c>
      <c r="H83" s="58" t="s">
        <v>242</v>
      </c>
      <c r="I83" s="113">
        <v>992</v>
      </c>
      <c r="J83" s="114">
        <v>1</v>
      </c>
      <c r="K83" s="114">
        <f>33/40</f>
        <v>0.82499999999999996</v>
      </c>
      <c r="L83" s="110">
        <f t="shared" si="7"/>
        <v>818.4</v>
      </c>
      <c r="M83" s="26"/>
      <c r="N83" s="26"/>
      <c r="O83" s="26"/>
    </row>
    <row r="84" spans="2:16">
      <c r="B84" s="58" t="s">
        <v>242</v>
      </c>
      <c r="C84" s="113">
        <v>63</v>
      </c>
      <c r="D84" s="114">
        <v>0.6</v>
      </c>
      <c r="E84" s="114">
        <f>3/3</f>
        <v>1</v>
      </c>
      <c r="F84" s="110">
        <f t="shared" si="6"/>
        <v>37.799999999999997</v>
      </c>
      <c r="H84" s="58" t="s">
        <v>248</v>
      </c>
      <c r="I84" s="113">
        <v>6901</v>
      </c>
      <c r="J84" s="114">
        <v>0.75</v>
      </c>
      <c r="K84" s="116">
        <f>133/164</f>
        <v>0.81097560975609762</v>
      </c>
      <c r="L84" s="110">
        <f t="shared" si="7"/>
        <v>4197.4070121951227</v>
      </c>
      <c r="M84" s="26"/>
      <c r="N84" s="26"/>
      <c r="O84" s="26"/>
    </row>
    <row r="85" spans="2:16">
      <c r="B85" s="59" t="s">
        <v>243</v>
      </c>
      <c r="C85" s="111">
        <v>0</v>
      </c>
      <c r="D85" s="115">
        <v>0.6</v>
      </c>
      <c r="E85" s="115">
        <f>1</f>
        <v>1</v>
      </c>
      <c r="F85" s="112">
        <f t="shared" si="6"/>
        <v>0</v>
      </c>
      <c r="H85" s="58" t="s">
        <v>250</v>
      </c>
      <c r="I85" s="113">
        <v>1672</v>
      </c>
      <c r="J85" s="114">
        <v>0.1</v>
      </c>
      <c r="K85" s="116">
        <f>0</f>
        <v>0</v>
      </c>
      <c r="L85" s="110">
        <f t="shared" si="7"/>
        <v>0</v>
      </c>
      <c r="M85" s="26"/>
      <c r="N85" s="26"/>
      <c r="O85" s="26"/>
    </row>
    <row r="86" spans="2:16">
      <c r="B86" s="26"/>
      <c r="C86" s="26"/>
      <c r="E86" s="26"/>
      <c r="F86" s="26"/>
      <c r="H86" s="58" t="s">
        <v>249</v>
      </c>
      <c r="I86" s="113">
        <v>5588</v>
      </c>
      <c r="J86" s="114">
        <v>0.05</v>
      </c>
      <c r="K86" s="114">
        <f>12/38</f>
        <v>0.31578947368421051</v>
      </c>
      <c r="L86" s="110">
        <f t="shared" si="7"/>
        <v>88.231578947368419</v>
      </c>
      <c r="M86" s="26"/>
      <c r="N86" s="26"/>
      <c r="O86" s="26"/>
    </row>
    <row r="87" spans="2:16">
      <c r="B87" s="26"/>
      <c r="C87" s="26"/>
      <c r="E87" s="26"/>
      <c r="F87" s="26"/>
      <c r="H87" s="59" t="s">
        <v>251</v>
      </c>
      <c r="I87" s="111">
        <v>21151</v>
      </c>
      <c r="J87" s="115">
        <v>0.05</v>
      </c>
      <c r="K87" s="115">
        <f>1/83</f>
        <v>1.2048192771084338E-2</v>
      </c>
      <c r="L87" s="112">
        <f t="shared" si="7"/>
        <v>12.741566265060243</v>
      </c>
      <c r="M87" s="26"/>
      <c r="N87" s="26"/>
      <c r="O87" s="26"/>
    </row>
    <row r="88" spans="2:16">
      <c r="B88" s="26"/>
      <c r="C88" s="26"/>
      <c r="E88" s="26"/>
      <c r="F88" s="26"/>
      <c r="H88" s="26"/>
      <c r="I88" s="26"/>
      <c r="J88" s="26"/>
      <c r="K88" s="26"/>
      <c r="L88" s="26"/>
      <c r="M88" s="26"/>
      <c r="N88" s="26"/>
      <c r="O88" s="26"/>
    </row>
    <row r="89" spans="2:16">
      <c r="B89" s="41"/>
      <c r="C89" s="26"/>
      <c r="E89" s="60" t="s">
        <v>92</v>
      </c>
      <c r="F89" s="61">
        <f>SUM(F76:F85)</f>
        <v>20129.269107524444</v>
      </c>
      <c r="H89" s="26"/>
      <c r="I89" s="26"/>
      <c r="J89" s="26"/>
      <c r="K89" s="60" t="s">
        <v>92</v>
      </c>
      <c r="L89" s="61">
        <f>SUM(L76:L87)</f>
        <v>6849.7425988615742</v>
      </c>
      <c r="M89" s="26"/>
      <c r="N89" s="26"/>
      <c r="O89" s="26"/>
    </row>
    <row r="90" spans="2:16" ht="14" thickBot="1">
      <c r="B90" s="41"/>
      <c r="C90" s="26"/>
      <c r="E90" s="52"/>
      <c r="F90" s="53"/>
      <c r="H90" s="26"/>
      <c r="I90" s="26"/>
      <c r="J90" s="26"/>
      <c r="K90" s="52"/>
      <c r="L90" s="53"/>
      <c r="M90" s="26"/>
      <c r="N90" s="26"/>
      <c r="O90" s="26"/>
    </row>
    <row r="91" spans="2:16" ht="14" thickBot="1">
      <c r="B91" s="106" t="s">
        <v>202</v>
      </c>
      <c r="C91" s="107">
        <f>F89+L89+N75</f>
        <v>43686.011706386016</v>
      </c>
      <c r="D91" s="108" t="s">
        <v>94</v>
      </c>
      <c r="E91" s="26"/>
      <c r="F91" s="26"/>
      <c r="H91" s="26"/>
      <c r="I91" s="26"/>
      <c r="J91" s="26"/>
      <c r="K91" s="26"/>
      <c r="L91" s="26"/>
      <c r="M91" s="26"/>
      <c r="N91" s="26"/>
      <c r="O91" s="26"/>
    </row>
    <row r="96" spans="2:16">
      <c r="B96" s="41" t="s">
        <v>199</v>
      </c>
      <c r="C96" s="26"/>
      <c r="E96" s="26"/>
      <c r="F96" s="26"/>
      <c r="H96" s="41" t="s">
        <v>200</v>
      </c>
      <c r="I96" s="26"/>
      <c r="J96" s="26"/>
      <c r="K96" s="26"/>
      <c r="L96" s="26"/>
      <c r="M96" s="26"/>
      <c r="N96" s="41" t="s">
        <v>201</v>
      </c>
      <c r="O96" s="26"/>
      <c r="P96" s="26"/>
    </row>
    <row r="97" spans="2:16">
      <c r="B97" s="26"/>
      <c r="C97" s="26"/>
      <c r="E97" s="26"/>
      <c r="F97" s="26"/>
      <c r="H97" s="26"/>
      <c r="I97" s="26"/>
      <c r="J97" s="26"/>
      <c r="K97" s="26"/>
      <c r="L97" s="26"/>
      <c r="M97" s="26"/>
      <c r="N97" s="26"/>
      <c r="O97" s="26"/>
      <c r="P97" s="26"/>
    </row>
    <row r="98" spans="2:16">
      <c r="B98" s="54" t="s">
        <v>86</v>
      </c>
      <c r="C98" s="55" t="s">
        <v>89</v>
      </c>
      <c r="D98" s="55" t="s">
        <v>90</v>
      </c>
      <c r="E98" s="55" t="s">
        <v>88</v>
      </c>
      <c r="F98" s="56" t="s">
        <v>87</v>
      </c>
      <c r="H98" s="54" t="s">
        <v>86</v>
      </c>
      <c r="I98" s="55" t="s">
        <v>89</v>
      </c>
      <c r="J98" s="55" t="s">
        <v>90</v>
      </c>
      <c r="K98" s="55" t="s">
        <v>88</v>
      </c>
      <c r="L98" s="56" t="s">
        <v>87</v>
      </c>
      <c r="M98" s="26"/>
      <c r="N98" s="104">
        <f>15062</f>
        <v>15062</v>
      </c>
      <c r="O98" s="105" t="s">
        <v>94</v>
      </c>
      <c r="P98" s="26"/>
    </row>
    <row r="99" spans="2:16">
      <c r="B99" s="57" t="s">
        <v>233</v>
      </c>
      <c r="C99" s="109">
        <v>12746</v>
      </c>
      <c r="D99" s="114">
        <v>1</v>
      </c>
      <c r="E99" s="114">
        <f>7905/17417</f>
        <v>0.45386691163805476</v>
      </c>
      <c r="F99" s="110">
        <f>E99*D99*C99</f>
        <v>5784.987655738646</v>
      </c>
      <c r="H99" s="57" t="s">
        <v>247</v>
      </c>
      <c r="I99" s="109">
        <v>140</v>
      </c>
      <c r="J99" s="114">
        <v>1</v>
      </c>
      <c r="K99" s="114">
        <v>0.15384615384615385</v>
      </c>
      <c r="L99" s="110">
        <f>K99*J99*I99</f>
        <v>21.53846153846154</v>
      </c>
      <c r="M99" s="26"/>
      <c r="N99" s="26"/>
      <c r="O99" s="26"/>
      <c r="P99" s="26"/>
    </row>
    <row r="100" spans="2:16">
      <c r="B100" s="57" t="s">
        <v>234</v>
      </c>
      <c r="C100" s="109">
        <v>16054</v>
      </c>
      <c r="D100" s="114">
        <v>1</v>
      </c>
      <c r="E100" s="114">
        <f>6771/11047</f>
        <v>0.61292658640354847</v>
      </c>
      <c r="F100" s="110">
        <f t="shared" ref="F100:F108" si="8">E100*D100*C100</f>
        <v>9839.9234181225675</v>
      </c>
      <c r="H100" s="57" t="s">
        <v>235</v>
      </c>
      <c r="I100" s="109">
        <v>104</v>
      </c>
      <c r="J100" s="114">
        <v>1</v>
      </c>
      <c r="K100" s="114">
        <v>5.2631578947368418E-2</v>
      </c>
      <c r="L100" s="110">
        <f t="shared" ref="L100:L110" si="9">K100*J100*I100</f>
        <v>5.473684210526315</v>
      </c>
      <c r="M100" s="26"/>
      <c r="N100" s="26"/>
      <c r="O100" s="26"/>
      <c r="P100" s="26"/>
    </row>
    <row r="101" spans="2:16">
      <c r="B101" s="58" t="s">
        <v>235</v>
      </c>
      <c r="C101" s="109">
        <v>6342</v>
      </c>
      <c r="D101" s="114">
        <v>1</v>
      </c>
      <c r="E101" s="114">
        <f>789/2627</f>
        <v>0.30034259611724401</v>
      </c>
      <c r="F101" s="110">
        <f t="shared" si="8"/>
        <v>1904.7727445755615</v>
      </c>
      <c r="H101" s="58" t="s">
        <v>236</v>
      </c>
      <c r="I101" s="109">
        <v>220</v>
      </c>
      <c r="J101" s="114">
        <v>1</v>
      </c>
      <c r="K101" s="114">
        <v>0.18867924528301888</v>
      </c>
      <c r="L101" s="110">
        <f t="shared" si="9"/>
        <v>41.509433962264154</v>
      </c>
      <c r="M101" s="26"/>
      <c r="N101" s="26"/>
      <c r="O101" s="26"/>
      <c r="P101" s="26"/>
    </row>
    <row r="102" spans="2:16">
      <c r="B102" s="58" t="s">
        <v>236</v>
      </c>
      <c r="C102" s="113">
        <v>745</v>
      </c>
      <c r="D102" s="114">
        <v>1</v>
      </c>
      <c r="E102" s="114">
        <f>168/187</f>
        <v>0.89839572192513373</v>
      </c>
      <c r="F102" s="110">
        <f t="shared" si="8"/>
        <v>669.30481283422466</v>
      </c>
      <c r="H102" s="58" t="s">
        <v>238</v>
      </c>
      <c r="I102" s="113">
        <v>423</v>
      </c>
      <c r="J102" s="114">
        <v>1</v>
      </c>
      <c r="K102" s="114">
        <v>0.92753623188405798</v>
      </c>
      <c r="L102" s="110">
        <f t="shared" si="9"/>
        <v>392.3478260869565</v>
      </c>
      <c r="M102" s="26"/>
      <c r="N102" s="26"/>
      <c r="O102" s="26"/>
      <c r="P102" s="26"/>
    </row>
    <row r="103" spans="2:16">
      <c r="B103" s="58" t="s">
        <v>238</v>
      </c>
      <c r="C103" s="113">
        <v>296</v>
      </c>
      <c r="D103" s="114">
        <v>1</v>
      </c>
      <c r="E103" s="114">
        <f>40/67</f>
        <v>0.59701492537313428</v>
      </c>
      <c r="F103" s="110">
        <f t="shared" si="8"/>
        <v>176.71641791044775</v>
      </c>
      <c r="H103" s="58" t="s">
        <v>239</v>
      </c>
      <c r="I103" s="113">
        <v>291</v>
      </c>
      <c r="J103" s="114">
        <v>1</v>
      </c>
      <c r="K103" s="114">
        <v>0.94444444444444442</v>
      </c>
      <c r="L103" s="110">
        <f t="shared" si="9"/>
        <v>274.83333333333331</v>
      </c>
      <c r="M103" s="26"/>
      <c r="N103" s="26"/>
      <c r="O103" s="26"/>
      <c r="P103" s="26"/>
    </row>
    <row r="104" spans="2:16">
      <c r="B104" s="58" t="s">
        <v>239</v>
      </c>
      <c r="C104" s="113">
        <v>1687</v>
      </c>
      <c r="D104" s="114">
        <v>1</v>
      </c>
      <c r="E104" s="114">
        <f>157/184</f>
        <v>0.85326086956521741</v>
      </c>
      <c r="F104" s="110">
        <f t="shared" si="8"/>
        <v>1439.4510869565217</v>
      </c>
      <c r="H104" s="58" t="s">
        <v>240</v>
      </c>
      <c r="I104" s="113">
        <v>175</v>
      </c>
      <c r="J104" s="114">
        <v>1</v>
      </c>
      <c r="K104" s="114">
        <v>0.5714285714285714</v>
      </c>
      <c r="L104" s="110">
        <f t="shared" si="9"/>
        <v>100</v>
      </c>
      <c r="M104" s="26"/>
      <c r="N104" s="26"/>
      <c r="O104" s="26"/>
      <c r="P104" s="26"/>
    </row>
    <row r="105" spans="2:16">
      <c r="B105" s="58" t="s">
        <v>240</v>
      </c>
      <c r="C105" s="113">
        <v>168</v>
      </c>
      <c r="D105" s="114">
        <v>1</v>
      </c>
      <c r="E105" s="114">
        <f>12/12</f>
        <v>1</v>
      </c>
      <c r="F105" s="110">
        <f t="shared" si="8"/>
        <v>168</v>
      </c>
      <c r="H105" s="58" t="s">
        <v>241</v>
      </c>
      <c r="I105" s="113">
        <v>609</v>
      </c>
      <c r="J105" s="114">
        <v>1</v>
      </c>
      <c r="K105" s="114">
        <v>1</v>
      </c>
      <c r="L105" s="110">
        <f t="shared" si="9"/>
        <v>609</v>
      </c>
      <c r="M105" s="26"/>
      <c r="N105" s="26"/>
      <c r="O105" s="26"/>
      <c r="P105" s="26"/>
    </row>
    <row r="106" spans="2:16">
      <c r="B106" s="58" t="s">
        <v>241</v>
      </c>
      <c r="C106" s="113">
        <v>1076</v>
      </c>
      <c r="D106" s="114">
        <v>1</v>
      </c>
      <c r="E106" s="114">
        <v>1</v>
      </c>
      <c r="F106" s="110">
        <f t="shared" si="8"/>
        <v>1076</v>
      </c>
      <c r="H106" s="58" t="s">
        <v>242</v>
      </c>
      <c r="I106" s="113">
        <v>239</v>
      </c>
      <c r="J106" s="114">
        <v>1</v>
      </c>
      <c r="K106" s="114">
        <v>1</v>
      </c>
      <c r="L106" s="110">
        <f t="shared" si="9"/>
        <v>239</v>
      </c>
      <c r="M106" s="26"/>
      <c r="N106" s="26"/>
      <c r="O106" s="26"/>
      <c r="P106" s="26"/>
    </row>
    <row r="107" spans="2:16">
      <c r="B107" s="58" t="s">
        <v>242</v>
      </c>
      <c r="C107" s="113">
        <v>67</v>
      </c>
      <c r="D107" s="114">
        <v>0.6</v>
      </c>
      <c r="E107" s="114">
        <v>1</v>
      </c>
      <c r="F107" s="110">
        <f t="shared" si="8"/>
        <v>40.199999999999996</v>
      </c>
      <c r="H107" s="58" t="s">
        <v>248</v>
      </c>
      <c r="I107" s="113">
        <v>2322</v>
      </c>
      <c r="J107" s="114">
        <v>0.75</v>
      </c>
      <c r="K107" s="116">
        <v>0.44230769230769229</v>
      </c>
      <c r="L107" s="110">
        <f t="shared" si="9"/>
        <v>770.27884615384608</v>
      </c>
      <c r="M107" s="26"/>
      <c r="N107" s="26"/>
      <c r="O107" s="26"/>
      <c r="P107" s="26"/>
    </row>
    <row r="108" spans="2:16">
      <c r="B108" s="59" t="s">
        <v>243</v>
      </c>
      <c r="C108" s="111">
        <v>47</v>
      </c>
      <c r="D108" s="115">
        <v>0.6</v>
      </c>
      <c r="E108" s="115">
        <v>1</v>
      </c>
      <c r="F108" s="112">
        <f t="shared" si="8"/>
        <v>28.2</v>
      </c>
      <c r="H108" s="58" t="s">
        <v>250</v>
      </c>
      <c r="I108" s="113">
        <v>804</v>
      </c>
      <c r="J108" s="114">
        <v>0.1</v>
      </c>
      <c r="K108" s="116">
        <v>1</v>
      </c>
      <c r="L108" s="110">
        <f t="shared" si="9"/>
        <v>80.400000000000006</v>
      </c>
      <c r="M108" s="26"/>
      <c r="N108" s="26"/>
      <c r="O108" s="26"/>
      <c r="P108" s="26"/>
    </row>
    <row r="109" spans="2:16">
      <c r="B109" s="26"/>
      <c r="C109" s="26"/>
      <c r="E109" s="26"/>
      <c r="F109" s="26"/>
      <c r="H109" s="58" t="s">
        <v>249</v>
      </c>
      <c r="I109" s="113">
        <v>5890</v>
      </c>
      <c r="J109" s="114">
        <v>0.05</v>
      </c>
      <c r="K109" s="114">
        <v>0.90476190476190477</v>
      </c>
      <c r="L109" s="110">
        <f t="shared" si="9"/>
        <v>266.45238095238096</v>
      </c>
      <c r="M109" s="26"/>
      <c r="N109" s="26"/>
      <c r="O109" s="26"/>
      <c r="P109" s="26"/>
    </row>
    <row r="110" spans="2:16">
      <c r="B110" s="26"/>
      <c r="C110" s="26"/>
      <c r="E110" s="26"/>
      <c r="F110" s="26"/>
      <c r="H110" s="59" t="s">
        <v>251</v>
      </c>
      <c r="I110" s="111">
        <v>27992</v>
      </c>
      <c r="J110" s="115">
        <v>0.05</v>
      </c>
      <c r="K110" s="115">
        <v>0.58823529411764708</v>
      </c>
      <c r="L110" s="112">
        <f t="shared" si="9"/>
        <v>823.2941176470589</v>
      </c>
      <c r="M110" s="26"/>
      <c r="N110" s="26"/>
      <c r="O110" s="26"/>
      <c r="P110" s="26"/>
    </row>
    <row r="111" spans="2:16">
      <c r="B111" s="26"/>
      <c r="C111" s="26"/>
      <c r="E111" s="26"/>
      <c r="F111" s="26"/>
      <c r="H111" s="26"/>
      <c r="I111" s="26"/>
      <c r="J111" s="26"/>
      <c r="K111" s="26"/>
      <c r="L111" s="26"/>
      <c r="M111" s="26"/>
      <c r="N111" s="26"/>
      <c r="O111" s="26"/>
      <c r="P111" s="26"/>
    </row>
    <row r="112" spans="2:16">
      <c r="B112" s="41"/>
      <c r="C112" s="26"/>
      <c r="E112" s="60" t="s">
        <v>92</v>
      </c>
      <c r="F112" s="61">
        <f>SUM(F99:F108)</f>
        <v>21127.55613613797</v>
      </c>
      <c r="H112" s="26"/>
      <c r="I112" s="26"/>
      <c r="J112" s="26"/>
      <c r="K112" s="60" t="s">
        <v>92</v>
      </c>
      <c r="L112" s="61">
        <f>SUM(L99:L110)</f>
        <v>3624.1280838848284</v>
      </c>
      <c r="M112" s="26"/>
      <c r="N112" s="26"/>
      <c r="O112" s="26"/>
      <c r="P112" s="26"/>
    </row>
    <row r="113" spans="2:16" ht="14" thickBot="1">
      <c r="B113" s="41"/>
      <c r="C113" s="26"/>
      <c r="E113" s="52"/>
      <c r="F113" s="53"/>
      <c r="H113" s="26"/>
      <c r="I113" s="26"/>
      <c r="J113" s="26"/>
      <c r="K113" s="52"/>
      <c r="L113" s="53"/>
      <c r="M113" s="26"/>
      <c r="N113" s="26"/>
      <c r="O113" s="26"/>
      <c r="P113" s="26"/>
    </row>
    <row r="114" spans="2:16" ht="14" thickBot="1">
      <c r="B114" s="106" t="s">
        <v>203</v>
      </c>
      <c r="C114" s="107">
        <f>F112+L112+N98</f>
        <v>39813.684220022798</v>
      </c>
      <c r="D114" s="108" t="s">
        <v>94</v>
      </c>
      <c r="E114" s="26"/>
      <c r="F114" s="26"/>
      <c r="H114" s="26"/>
      <c r="I114" s="26"/>
      <c r="J114" s="26"/>
      <c r="K114" s="26"/>
      <c r="L114" s="26"/>
      <c r="M114" s="26"/>
      <c r="N114" s="26"/>
      <c r="O114" s="26"/>
      <c r="P114" s="26"/>
    </row>
    <row r="115" spans="2:16">
      <c r="B115" s="26"/>
      <c r="C115" s="26"/>
      <c r="E115" s="26"/>
      <c r="F115" s="26"/>
      <c r="H115" s="26"/>
      <c r="I115" s="26"/>
      <c r="J115" s="26"/>
      <c r="K115" s="26"/>
      <c r="L115" s="26"/>
      <c r="M115" s="26"/>
      <c r="N115" s="26"/>
      <c r="O115" s="26"/>
      <c r="P115" s="26"/>
    </row>
    <row r="116" spans="2:16">
      <c r="B116" s="26"/>
      <c r="C116" s="26"/>
      <c r="E116" s="26"/>
      <c r="F116" s="26"/>
      <c r="H116" s="26"/>
      <c r="I116" s="26"/>
      <c r="J116" s="26"/>
      <c r="K116" s="26"/>
      <c r="L116" s="26"/>
      <c r="M116" s="26"/>
      <c r="N116" s="26"/>
      <c r="O116" s="26"/>
      <c r="P116" s="26"/>
    </row>
    <row r="117" spans="2:16">
      <c r="B117" s="26"/>
      <c r="C117" s="26"/>
      <c r="E117" s="26"/>
      <c r="F117" s="26"/>
      <c r="H117" s="26"/>
      <c r="I117" s="26"/>
      <c r="J117" s="26"/>
      <c r="K117" s="26"/>
      <c r="L117" s="26"/>
      <c r="M117" s="26"/>
      <c r="N117" s="26"/>
      <c r="O117" s="26"/>
      <c r="P117" s="26"/>
    </row>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39997558519241921"/>
  </sheetPr>
  <dimension ref="B2:T71"/>
  <sheetViews>
    <sheetView showGridLines="0" workbookViewId="0">
      <selection activeCell="N44" sqref="N44"/>
    </sheetView>
  </sheetViews>
  <sheetFormatPr baseColWidth="10" defaultColWidth="20.5703125" defaultRowHeight="13" x14ac:dyDescent="0"/>
  <cols>
    <col min="1" max="1" width="2.140625" style="117" customWidth="1"/>
    <col min="2" max="13" width="11.28515625" style="117" customWidth="1"/>
    <col min="14" max="14" width="20.85546875" style="117" customWidth="1"/>
    <col min="15" max="15" width="11.28515625" style="117" customWidth="1"/>
    <col min="16" max="19" width="10.28515625" style="117" customWidth="1"/>
    <col min="20" max="16384" width="20.5703125" style="117"/>
  </cols>
  <sheetData>
    <row r="2" spans="2:15" s="69" customFormat="1">
      <c r="B2" s="68" t="s">
        <v>139</v>
      </c>
    </row>
    <row r="3" spans="2:15" s="69" customFormat="1">
      <c r="B3" s="69" t="s">
        <v>138</v>
      </c>
    </row>
    <row r="4" spans="2:15">
      <c r="B4" s="69" t="s">
        <v>129</v>
      </c>
      <c r="C4" s="69"/>
      <c r="D4" s="69"/>
      <c r="E4" s="69"/>
      <c r="F4" s="69"/>
      <c r="G4" s="69"/>
      <c r="H4" s="69"/>
      <c r="I4" s="69"/>
      <c r="J4" s="69"/>
      <c r="K4" s="69"/>
      <c r="L4" s="69"/>
      <c r="M4" s="69"/>
      <c r="N4" s="69"/>
      <c r="O4" s="69"/>
    </row>
    <row r="5" spans="2:15" ht="14" thickBot="1">
      <c r="B5" s="69"/>
      <c r="C5" s="69"/>
      <c r="D5" s="69"/>
      <c r="E5" s="69"/>
      <c r="F5" s="69"/>
      <c r="G5" s="69"/>
      <c r="H5" s="69"/>
      <c r="I5" s="69"/>
      <c r="J5" s="69"/>
      <c r="K5" s="69"/>
      <c r="L5" s="69"/>
      <c r="M5" s="69"/>
      <c r="N5" s="402" t="s">
        <v>205</v>
      </c>
      <c r="O5" s="402"/>
    </row>
    <row r="6" spans="2:15" s="443" customFormat="1" ht="26">
      <c r="B6" s="440"/>
      <c r="C6" s="427" t="s">
        <v>27</v>
      </c>
      <c r="D6" s="427" t="s">
        <v>57</v>
      </c>
      <c r="E6" s="427" t="s">
        <v>22</v>
      </c>
      <c r="F6" s="427" t="s">
        <v>215</v>
      </c>
      <c r="G6" s="427" t="s">
        <v>58</v>
      </c>
      <c r="H6" s="427" t="s">
        <v>5</v>
      </c>
      <c r="I6" s="427" t="s">
        <v>252</v>
      </c>
      <c r="J6" s="427" t="s">
        <v>254</v>
      </c>
      <c r="K6" s="441" t="s">
        <v>70</v>
      </c>
      <c r="L6" s="428" t="s">
        <v>165</v>
      </c>
      <c r="M6" s="442"/>
      <c r="N6" s="424" t="s">
        <v>255</v>
      </c>
      <c r="O6" s="425" t="s">
        <v>220</v>
      </c>
    </row>
    <row r="7" spans="2:15" s="422" customFormat="1" ht="14" thickBot="1">
      <c r="B7" s="417" t="s">
        <v>130</v>
      </c>
      <c r="C7" s="418" t="s">
        <v>100</v>
      </c>
      <c r="D7" s="418" t="s">
        <v>101</v>
      </c>
      <c r="E7" s="418" t="s">
        <v>106</v>
      </c>
      <c r="F7" s="418" t="s">
        <v>106</v>
      </c>
      <c r="G7" s="418" t="s">
        <v>253</v>
      </c>
      <c r="H7" s="418" t="s">
        <v>106</v>
      </c>
      <c r="I7" s="418" t="s">
        <v>85</v>
      </c>
      <c r="J7" s="418" t="s">
        <v>133</v>
      </c>
      <c r="K7" s="419" t="s">
        <v>85</v>
      </c>
      <c r="L7" s="419" t="s">
        <v>85</v>
      </c>
      <c r="M7" s="420"/>
      <c r="N7" s="421" t="s">
        <v>106</v>
      </c>
      <c r="O7" s="426"/>
    </row>
    <row r="8" spans="2:15">
      <c r="B8" s="308">
        <v>1990</v>
      </c>
      <c r="C8" s="309">
        <f>Nuclear!G11/1000</f>
        <v>323.17099999999999</v>
      </c>
      <c r="D8" s="285">
        <f>Wind!D11/1000</f>
        <v>1.7430000000000001</v>
      </c>
      <c r="E8" s="286"/>
      <c r="F8" s="286"/>
      <c r="G8" s="286">
        <f>PV!F11/1000</f>
        <v>0.26800000000000002</v>
      </c>
      <c r="H8" s="287"/>
      <c r="I8" s="287"/>
      <c r="J8" s="288"/>
      <c r="K8" s="310"/>
      <c r="L8" s="310"/>
      <c r="M8" s="289"/>
      <c r="N8" s="310"/>
      <c r="O8" s="310"/>
    </row>
    <row r="9" spans="2:15">
      <c r="B9" s="284">
        <v>1991</v>
      </c>
      <c r="C9" s="134">
        <f>Nuclear!G12/1000</f>
        <v>325.04000000000002</v>
      </c>
      <c r="D9" s="147">
        <f>Wind!D12/1000</f>
        <v>1.9830000000000001</v>
      </c>
      <c r="E9" s="136"/>
      <c r="F9" s="136"/>
      <c r="G9" s="136">
        <f>PV!F12/1000</f>
        <v>0.31806719999999999</v>
      </c>
      <c r="H9" s="137"/>
      <c r="I9" s="137"/>
      <c r="J9" s="138"/>
      <c r="K9" s="139"/>
      <c r="L9" s="139"/>
      <c r="M9" s="289"/>
      <c r="N9" s="139"/>
      <c r="O9" s="139"/>
    </row>
    <row r="10" spans="2:15">
      <c r="B10" s="284">
        <v>1992</v>
      </c>
      <c r="C10" s="134">
        <f>Nuclear!G13/1000</f>
        <v>327.803</v>
      </c>
      <c r="D10" s="147">
        <f>Wind!D13/1000</f>
        <v>2.3210000000000002</v>
      </c>
      <c r="E10" s="136"/>
      <c r="F10" s="136"/>
      <c r="G10" s="136">
        <f>PV!F13/1000</f>
        <v>0.37421739999999998</v>
      </c>
      <c r="H10" s="137"/>
      <c r="I10" s="137"/>
      <c r="J10" s="138"/>
      <c r="K10" s="139"/>
      <c r="L10" s="139"/>
      <c r="M10" s="289"/>
      <c r="N10" s="139"/>
      <c r="O10" s="139"/>
    </row>
    <row r="11" spans="2:15">
      <c r="B11" s="284">
        <v>1993</v>
      </c>
      <c r="C11" s="134">
        <f>Nuclear!G14/1000</f>
        <v>336.815</v>
      </c>
      <c r="D11" s="147">
        <f>Wind!D14/1000</f>
        <v>2.8010000000000002</v>
      </c>
      <c r="E11" s="136"/>
      <c r="F11" s="136"/>
      <c r="G11" s="136">
        <f>PV!F14/1000</f>
        <v>0.43298419999999999</v>
      </c>
      <c r="H11" s="137"/>
      <c r="I11" s="137"/>
      <c r="J11" s="138"/>
      <c r="K11" s="139"/>
      <c r="L11" s="139"/>
      <c r="M11" s="289"/>
      <c r="N11" s="139"/>
      <c r="O11" s="139"/>
    </row>
    <row r="12" spans="2:15">
      <c r="B12" s="284">
        <v>1994</v>
      </c>
      <c r="C12" s="134">
        <f>Nuclear!G15/1000</f>
        <v>339.733</v>
      </c>
      <c r="D12" s="147">
        <f>Wind!D15/1000</f>
        <v>3.5310000000000001</v>
      </c>
      <c r="E12" s="136"/>
      <c r="F12" s="136"/>
      <c r="G12" s="136">
        <f>PV!F15/1000</f>
        <v>0.49643480000000001</v>
      </c>
      <c r="H12" s="137"/>
      <c r="I12" s="137"/>
      <c r="J12" s="138"/>
      <c r="K12" s="139"/>
      <c r="L12" s="139"/>
      <c r="M12" s="289"/>
      <c r="N12" s="139"/>
      <c r="O12" s="139"/>
    </row>
    <row r="13" spans="2:15">
      <c r="B13" s="284">
        <v>1995</v>
      </c>
      <c r="C13" s="134">
        <f>Nuclear!G16/1000</f>
        <v>342.5</v>
      </c>
      <c r="D13" s="147">
        <f>Wind!D16/1000</f>
        <v>4.8209999999999997</v>
      </c>
      <c r="E13" s="136"/>
      <c r="F13" s="136"/>
      <c r="G13" s="136">
        <f>PV!F16/1000</f>
        <v>0.56888539999999999</v>
      </c>
      <c r="H13" s="137"/>
      <c r="I13" s="137"/>
      <c r="J13" s="138"/>
      <c r="K13" s="139"/>
      <c r="L13" s="139"/>
      <c r="M13" s="289"/>
      <c r="N13" s="139"/>
      <c r="O13" s="139"/>
    </row>
    <row r="14" spans="2:15">
      <c r="B14" s="284">
        <v>1996</v>
      </c>
      <c r="C14" s="134">
        <f>Nuclear!G17/1000</f>
        <v>347.28</v>
      </c>
      <c r="D14" s="147">
        <f>Wind!D17/1000</f>
        <v>6.1</v>
      </c>
      <c r="E14" s="136"/>
      <c r="F14" s="136"/>
      <c r="G14" s="136">
        <f>PV!F17/1000</f>
        <v>0.65110279999999998</v>
      </c>
      <c r="H14" s="137"/>
      <c r="I14" s="137"/>
      <c r="J14" s="138"/>
      <c r="K14" s="139"/>
      <c r="L14" s="139"/>
      <c r="M14" s="289"/>
      <c r="N14" s="139"/>
      <c r="O14" s="139"/>
    </row>
    <row r="15" spans="2:15">
      <c r="B15" s="284">
        <v>1997</v>
      </c>
      <c r="C15" s="134">
        <f>Nuclear!G18/1000</f>
        <v>347.88</v>
      </c>
      <c r="D15" s="147">
        <f>Wind!D18/1000</f>
        <v>7.6</v>
      </c>
      <c r="E15" s="136"/>
      <c r="F15" s="136"/>
      <c r="G15" s="136">
        <f>PV!F18/1000</f>
        <v>0.75428859999999998</v>
      </c>
      <c r="H15" s="137"/>
      <c r="I15" s="137"/>
      <c r="J15" s="138"/>
      <c r="K15" s="139"/>
      <c r="L15" s="139"/>
      <c r="M15" s="289"/>
      <c r="N15" s="139"/>
      <c r="O15" s="139"/>
    </row>
    <row r="16" spans="2:15">
      <c r="B16" s="284">
        <v>1998</v>
      </c>
      <c r="C16" s="134">
        <f>Nuclear!G19/1000</f>
        <v>344.9</v>
      </c>
      <c r="D16" s="147">
        <f>Wind!D19/1000</f>
        <v>10.199999999999999</v>
      </c>
      <c r="E16" s="136"/>
      <c r="F16" s="136"/>
      <c r="G16" s="136">
        <f>PV!F19/1000</f>
        <v>0.89140719999999996</v>
      </c>
      <c r="H16" s="137"/>
      <c r="I16" s="137"/>
      <c r="J16" s="138"/>
      <c r="K16" s="139"/>
      <c r="L16" s="139"/>
      <c r="M16" s="289"/>
      <c r="N16" s="139"/>
      <c r="O16" s="139"/>
    </row>
    <row r="17" spans="2:20">
      <c r="B17" s="284">
        <v>1999</v>
      </c>
      <c r="C17" s="134">
        <f>Nuclear!G20/1000</f>
        <v>347.35</v>
      </c>
      <c r="D17" s="147">
        <f>Wind!D20/1000</f>
        <v>13.6</v>
      </c>
      <c r="E17" s="136"/>
      <c r="F17" s="136"/>
      <c r="G17" s="136">
        <f>PV!F20/1000</f>
        <v>1.0640436</v>
      </c>
      <c r="H17" s="137"/>
      <c r="I17" s="137"/>
      <c r="J17" s="138"/>
      <c r="K17" s="139"/>
      <c r="L17" s="139"/>
      <c r="M17" s="289"/>
      <c r="N17" s="139"/>
      <c r="O17" s="139"/>
    </row>
    <row r="18" spans="2:20">
      <c r="B18" s="284">
        <v>2000</v>
      </c>
      <c r="C18" s="134">
        <f>Nuclear!G21/1000</f>
        <v>349.98</v>
      </c>
      <c r="D18" s="147">
        <f>Wind!D21/1000</f>
        <v>17.399999999999999</v>
      </c>
      <c r="E18" s="136">
        <f>Hydro!D10</f>
        <v>136.15472</v>
      </c>
      <c r="F18" s="136">
        <f>'Biomass &amp; Waste'!E9</f>
        <v>35.361690000000003</v>
      </c>
      <c r="G18" s="136">
        <f>PV!F21/1000</f>
        <v>1.288</v>
      </c>
      <c r="H18" s="136">
        <f>Geothermal!E9</f>
        <v>7.9954000000000001</v>
      </c>
      <c r="I18" s="136">
        <f>SUM(D18:H18)</f>
        <v>198.19981000000001</v>
      </c>
      <c r="J18" s="290">
        <f>'Cogeneration (CHP)'!G9</f>
        <v>223.23984557450376</v>
      </c>
      <c r="K18" s="139">
        <f>SUM(D18:H18)+J18</f>
        <v>421.43965557450377</v>
      </c>
      <c r="L18" s="139">
        <f>('Generation (TWh)'!K19/8766*1000)/K18</f>
        <v>0.6305818888699587</v>
      </c>
      <c r="M18" s="289"/>
      <c r="N18" s="139"/>
      <c r="O18" s="139"/>
    </row>
    <row r="19" spans="2:20">
      <c r="B19" s="284">
        <v>2001</v>
      </c>
      <c r="C19" s="134">
        <f>Nuclear!G22/1000</f>
        <v>352.72</v>
      </c>
      <c r="D19" s="147">
        <f>Wind!D22/1000</f>
        <v>23.9</v>
      </c>
      <c r="E19" s="136">
        <f>Hydro!D11</f>
        <v>138.06807999999998</v>
      </c>
      <c r="F19" s="136">
        <f>'Biomass &amp; Waste'!E10</f>
        <v>36.181080000000001</v>
      </c>
      <c r="G19" s="136">
        <f>PV!F22/1000</f>
        <v>1.615</v>
      </c>
      <c r="H19" s="136">
        <f>Geothermal!E10</f>
        <v>8.1456499999999998</v>
      </c>
      <c r="I19" s="136">
        <f t="shared" ref="I19:I29" si="0">SUM(D19:H19)</f>
        <v>207.90980999999999</v>
      </c>
      <c r="J19" s="290">
        <f>'Cogeneration (CHP)'!G10</f>
        <v>236.91731900114058</v>
      </c>
      <c r="K19" s="139">
        <f t="shared" ref="K19:K28" si="1">SUM(D19:H19)+J19</f>
        <v>444.82712900114058</v>
      </c>
      <c r="L19" s="139">
        <f>('Generation (TWh)'!K20/8766*1000)/K19</f>
        <v>0.62387269495041386</v>
      </c>
      <c r="M19" s="289"/>
      <c r="N19" s="139">
        <v>10.07</v>
      </c>
      <c r="O19" s="139">
        <f>(I19-I18)/N19</f>
        <v>0.96425024826216277</v>
      </c>
      <c r="S19" s="120"/>
      <c r="T19" s="120"/>
    </row>
    <row r="20" spans="2:20">
      <c r="B20" s="284">
        <v>2002</v>
      </c>
      <c r="C20" s="134">
        <f>Nuclear!G23/1000</f>
        <v>357.48</v>
      </c>
      <c r="D20" s="147">
        <f>Wind!D23/1000</f>
        <v>31.1</v>
      </c>
      <c r="E20" s="136">
        <f>Hydro!D12</f>
        <v>141.00814000000003</v>
      </c>
      <c r="F20" s="136">
        <f>'Biomass &amp; Waste'!E11</f>
        <v>37.633540000000004</v>
      </c>
      <c r="G20" s="136">
        <f>PV!F23/1000</f>
        <v>2.069</v>
      </c>
      <c r="H20" s="136">
        <f>Geothermal!E11</f>
        <v>8.3826499999999999</v>
      </c>
      <c r="I20" s="136">
        <f t="shared" si="0"/>
        <v>220.19333000000003</v>
      </c>
      <c r="J20" s="290">
        <f>'Cogeneration (CHP)'!G11</f>
        <v>252.93383031773851</v>
      </c>
      <c r="K20" s="139">
        <f t="shared" si="1"/>
        <v>473.12716031773857</v>
      </c>
      <c r="L20" s="139">
        <f>('Generation (TWh)'!K21/8766*1000)/K20</f>
        <v>0.61872939321346809</v>
      </c>
      <c r="M20" s="289"/>
      <c r="N20" s="139">
        <v>11.76</v>
      </c>
      <c r="O20" s="139">
        <f t="shared" ref="O20:O32" si="2">(I20-I19)/N20</f>
        <v>1.0445170068027243</v>
      </c>
    </row>
    <row r="21" spans="2:20">
      <c r="B21" s="284">
        <v>2003</v>
      </c>
      <c r="C21" s="134">
        <f>Nuclear!G24/1000</f>
        <v>359.83</v>
      </c>
      <c r="D21" s="147">
        <f>Wind!D24/1000</f>
        <v>39.430999999999997</v>
      </c>
      <c r="E21" s="136">
        <f>Hydro!D13</f>
        <v>143.96007</v>
      </c>
      <c r="F21" s="136">
        <f>'Biomass &amp; Waste'!E12</f>
        <v>39.652749999999997</v>
      </c>
      <c r="G21" s="136">
        <f>PV!F24/1000</f>
        <v>2.6349999999999998</v>
      </c>
      <c r="H21" s="136">
        <f>Geothermal!E12</f>
        <v>8.5276499999999995</v>
      </c>
      <c r="I21" s="136">
        <f t="shared" si="0"/>
        <v>234.20647</v>
      </c>
      <c r="J21" s="290">
        <f>'Cogeneration (CHP)'!G12</f>
        <v>264.40704413433645</v>
      </c>
      <c r="K21" s="139">
        <f t="shared" si="1"/>
        <v>498.61351413433647</v>
      </c>
      <c r="L21" s="139">
        <f>('Generation (TWh)'!K22/8766*1000)/K21</f>
        <v>0.61929540486715384</v>
      </c>
      <c r="M21" s="289"/>
      <c r="N21" s="139">
        <v>13.18</v>
      </c>
      <c r="O21" s="139">
        <f t="shared" si="2"/>
        <v>1.0632124430955967</v>
      </c>
    </row>
    <row r="22" spans="2:20">
      <c r="B22" s="284">
        <v>2004</v>
      </c>
      <c r="C22" s="134">
        <f>Nuclear!G25/1000</f>
        <v>364.67</v>
      </c>
      <c r="D22" s="147">
        <f>Wind!D25/1000</f>
        <v>47.62</v>
      </c>
      <c r="E22" s="136">
        <f>Hydro!D14</f>
        <v>148.58673000000002</v>
      </c>
      <c r="F22" s="136">
        <f>'Biomass &amp; Waste'!E13</f>
        <v>41.054010000000005</v>
      </c>
      <c r="G22" s="136">
        <f>PV!F25/1000</f>
        <v>3.7229999999999999</v>
      </c>
      <c r="H22" s="136">
        <f>Geothermal!E13</f>
        <v>8.5407499999999992</v>
      </c>
      <c r="I22" s="136">
        <f t="shared" si="0"/>
        <v>249.52449000000004</v>
      </c>
      <c r="J22" s="290">
        <f>'Cogeneration (CHP)'!G13</f>
        <v>279.59454295093434</v>
      </c>
      <c r="K22" s="139">
        <f t="shared" si="1"/>
        <v>529.11903295093441</v>
      </c>
      <c r="L22" s="139">
        <f>('Generation (TWh)'!K23/8766*1000)/K22</f>
        <v>0.61320113697871259</v>
      </c>
      <c r="M22" s="289"/>
      <c r="N22" s="139">
        <v>15.33</v>
      </c>
      <c r="O22" s="139">
        <f t="shared" si="2"/>
        <v>0.99921852576647407</v>
      </c>
    </row>
    <row r="23" spans="2:20" ht="12.75" customHeight="1">
      <c r="B23" s="284">
        <v>2005</v>
      </c>
      <c r="C23" s="134">
        <f>Nuclear!G26/1000</f>
        <v>368.12</v>
      </c>
      <c r="D23" s="147">
        <f>Wind!D26/1000</f>
        <v>59.091000000000001</v>
      </c>
      <c r="E23" s="136">
        <f>Hydro!D15</f>
        <v>153.28585999999999</v>
      </c>
      <c r="F23" s="136">
        <f>'Biomass &amp; Waste'!E14</f>
        <v>43.225379999999994</v>
      </c>
      <c r="G23" s="136">
        <f>PV!F26/1000</f>
        <v>5.1120000000000001</v>
      </c>
      <c r="H23" s="136">
        <f>Geothermal!E14</f>
        <v>8.7512500000000006</v>
      </c>
      <c r="I23" s="136">
        <f t="shared" si="0"/>
        <v>269.46549000000005</v>
      </c>
      <c r="J23" s="290">
        <f>'Cogeneration (CHP)'!G14</f>
        <v>296.4234580175322</v>
      </c>
      <c r="K23" s="139">
        <f t="shared" si="1"/>
        <v>565.88894801753224</v>
      </c>
      <c r="L23" s="139">
        <f>('Generation (TWh)'!K24/8766*1000)/K23</f>
        <v>0.60559780092268112</v>
      </c>
      <c r="M23" s="289"/>
      <c r="N23" s="139">
        <v>18.440000000000001</v>
      </c>
      <c r="O23" s="139">
        <f t="shared" si="2"/>
        <v>1.0813991323210412</v>
      </c>
    </row>
    <row r="24" spans="2:20" ht="12.75" customHeight="1">
      <c r="B24" s="284">
        <v>2006</v>
      </c>
      <c r="C24" s="134">
        <f>Nuclear!G27/1000</f>
        <v>369.58</v>
      </c>
      <c r="D24" s="147">
        <f>Wind!D27/1000</f>
        <v>74.006</v>
      </c>
      <c r="E24" s="136">
        <f>Hydro!D16</f>
        <v>158.93039999999999</v>
      </c>
      <c r="F24" s="136">
        <f>'Biomass &amp; Waste'!E15</f>
        <v>46.935040000000001</v>
      </c>
      <c r="G24" s="136">
        <f>PV!F27/1000</f>
        <v>6.66</v>
      </c>
      <c r="H24" s="136">
        <f>Geothermal!E15</f>
        <v>9.3357199999999985</v>
      </c>
      <c r="I24" s="136">
        <f t="shared" si="0"/>
        <v>295.86716000000001</v>
      </c>
      <c r="J24" s="290">
        <f>'Cogeneration (CHP)'!G15</f>
        <v>314.32499999999999</v>
      </c>
      <c r="K24" s="139">
        <f t="shared" si="1"/>
        <v>610.19216000000006</v>
      </c>
      <c r="L24" s="139">
        <f>('Generation (TWh)'!K25/8766*1000)/K24</f>
        <v>0.59707894400531658</v>
      </c>
      <c r="M24" s="289"/>
      <c r="N24" s="139">
        <v>26.55</v>
      </c>
      <c r="O24" s="139">
        <f t="shared" si="2"/>
        <v>0.99441318267419831</v>
      </c>
      <c r="P24" s="120"/>
    </row>
    <row r="25" spans="2:20" ht="12.75" customHeight="1">
      <c r="B25" s="284">
        <v>2007</v>
      </c>
      <c r="C25" s="134">
        <f>Nuclear!G28/1000</f>
        <v>371.71</v>
      </c>
      <c r="D25" s="147">
        <f>Wind!D28/1000</f>
        <v>93.638999999999996</v>
      </c>
      <c r="E25" s="136">
        <f>Hydro!D17</f>
        <v>164.19574</v>
      </c>
      <c r="F25" s="136">
        <f>'Biomass &amp; Waste'!E16</f>
        <v>50.405300000000004</v>
      </c>
      <c r="G25" s="136">
        <f>PV!F28/1000</f>
        <v>9.1829999999999998</v>
      </c>
      <c r="H25" s="136">
        <f>Geothermal!E16</f>
        <v>9.6494900000000001</v>
      </c>
      <c r="I25" s="136">
        <f t="shared" si="0"/>
        <v>327.07253000000003</v>
      </c>
      <c r="J25" s="290">
        <f>'Cogeneration (CHP)'!G16</f>
        <v>338.71477024683327</v>
      </c>
      <c r="K25" s="139">
        <f t="shared" si="1"/>
        <v>665.7873002468333</v>
      </c>
      <c r="L25" s="139">
        <f>('Generation (TWh)'!K26/8766*1000)/K25</f>
        <v>0.58607071373935382</v>
      </c>
      <c r="M25" s="289"/>
      <c r="N25" s="139">
        <v>31.89</v>
      </c>
      <c r="O25" s="139">
        <f t="shared" si="2"/>
        <v>0.978531514581374</v>
      </c>
      <c r="P25" s="120"/>
    </row>
    <row r="26" spans="2:20" ht="12.75" customHeight="1">
      <c r="B26" s="284">
        <v>2008</v>
      </c>
      <c r="C26" s="134">
        <f>Nuclear!G29/1000</f>
        <v>371.56</v>
      </c>
      <c r="D26" s="147">
        <f>Wind!D29/1000</f>
        <v>120.267</v>
      </c>
      <c r="E26" s="136">
        <f>Hydro!D18</f>
        <v>169.90951000000001</v>
      </c>
      <c r="F26" s="136">
        <f>'Biomass &amp; Waste'!E17</f>
        <v>54.14246</v>
      </c>
      <c r="G26" s="136">
        <f>PV!F29/1000</f>
        <v>15.843999999999999</v>
      </c>
      <c r="H26" s="136">
        <f>Geothermal!E17</f>
        <v>10.062290000000001</v>
      </c>
      <c r="I26" s="136">
        <f t="shared" si="0"/>
        <v>370.22526000000005</v>
      </c>
      <c r="J26" s="290">
        <f>'Cogeneration (CHP)'!G17</f>
        <v>362.54908360379932</v>
      </c>
      <c r="K26" s="139">
        <f t="shared" si="1"/>
        <v>732.77434360379937</v>
      </c>
      <c r="L26" s="139">
        <f>('Generation (TWh)'!K27/8766*1000)/K26</f>
        <v>0.57490500903337016</v>
      </c>
      <c r="M26" s="289"/>
      <c r="N26" s="139">
        <v>43.3</v>
      </c>
      <c r="O26" s="139">
        <f t="shared" si="2"/>
        <v>0.99659884526558939</v>
      </c>
      <c r="P26" s="120"/>
    </row>
    <row r="27" spans="2:20">
      <c r="B27" s="284">
        <v>2009</v>
      </c>
      <c r="C27" s="134">
        <f>Nuclear!G30/1000</f>
        <v>370.7</v>
      </c>
      <c r="D27" s="147">
        <f>Wind!D30/1000</f>
        <v>158.864</v>
      </c>
      <c r="E27" s="136">
        <f>Hydro!D19</f>
        <v>175.18079</v>
      </c>
      <c r="F27" s="136">
        <f>'Biomass &amp; Waste'!E18</f>
        <v>60.093290000000003</v>
      </c>
      <c r="G27" s="136">
        <f>PV!F30/1000</f>
        <v>23.184999999999999</v>
      </c>
      <c r="H27" s="136">
        <f>Geothermal!E18</f>
        <v>10.397450000000001</v>
      </c>
      <c r="I27" s="136">
        <f t="shared" si="0"/>
        <v>427.72053000000005</v>
      </c>
      <c r="J27" s="290">
        <f>'Cogeneration (CHP)'!G18</f>
        <v>385.21836145007524</v>
      </c>
      <c r="K27" s="139">
        <f t="shared" si="1"/>
        <v>812.93889145007529</v>
      </c>
      <c r="L27" s="139">
        <f>('Generation (TWh)'!K28/8766*1000)/K27</f>
        <v>0.55841730797348199</v>
      </c>
      <c r="M27" s="289"/>
      <c r="N27" s="139">
        <v>58.37</v>
      </c>
      <c r="O27" s="139">
        <f t="shared" si="2"/>
        <v>0.9850140483124894</v>
      </c>
    </row>
    <row r="28" spans="2:20">
      <c r="B28" s="284">
        <v>2010</v>
      </c>
      <c r="C28" s="134">
        <f>Nuclear!G31/1000</f>
        <v>375.28</v>
      </c>
      <c r="D28" s="147">
        <f>Wind!D31/1000</f>
        <v>197.68600000000001</v>
      </c>
      <c r="E28" s="136">
        <f>Hydro!D20</f>
        <v>181.18122</v>
      </c>
      <c r="F28" s="136">
        <f>'Biomass &amp; Waste'!E19</f>
        <v>63.555349999999997</v>
      </c>
      <c r="G28" s="136">
        <f>PV!F31/1000</f>
        <v>40.335999999999999</v>
      </c>
      <c r="H28" s="136">
        <f>Geothermal!E19</f>
        <v>10.702950000000001</v>
      </c>
      <c r="I28" s="136">
        <f t="shared" si="0"/>
        <v>493.46151999999995</v>
      </c>
      <c r="J28" s="290">
        <f>'Cogeneration (CHP)'!G19</f>
        <v>418.60227484857552</v>
      </c>
      <c r="K28" s="139">
        <f t="shared" si="1"/>
        <v>912.06379484857553</v>
      </c>
      <c r="L28" s="139">
        <f>('Generation (TWh)'!K29/8766*1000)/K28</f>
        <v>0.53684499258642993</v>
      </c>
      <c r="M28" s="289"/>
      <c r="N28" s="139">
        <v>64.41</v>
      </c>
      <c r="O28" s="139">
        <f t="shared" si="2"/>
        <v>1.0206643378357383</v>
      </c>
    </row>
    <row r="29" spans="2:20">
      <c r="B29" s="291">
        <v>2011</v>
      </c>
      <c r="C29" s="134">
        <f>Nuclear!G32/1000</f>
        <v>368.92</v>
      </c>
      <c r="D29" s="147">
        <f>Wind!D32/1000</f>
        <v>238.035</v>
      </c>
      <c r="E29" s="136">
        <f>Hydro!D21</f>
        <v>185.94913</v>
      </c>
      <c r="F29" s="136">
        <f>'Biomass &amp; Waste'!E20</f>
        <v>71.642160000000004</v>
      </c>
      <c r="G29" s="136">
        <f>PV!F32/1000</f>
        <v>70.468999999999994</v>
      </c>
      <c r="H29" s="136">
        <f>Geothermal!E20</f>
        <v>10.842049999999999</v>
      </c>
      <c r="I29" s="136">
        <f t="shared" si="0"/>
        <v>576.93733999999995</v>
      </c>
      <c r="J29" s="290">
        <f>'Cogeneration (CHP)'!G20</f>
        <v>451.84281154588933</v>
      </c>
      <c r="K29" s="134">
        <f>SUM(D29:H29)+J29</f>
        <v>1028.7801515458893</v>
      </c>
      <c r="L29" s="134">
        <f>('Generation (TWh)'!K30/8766*1000)/K29</f>
        <v>0.52189551388180466</v>
      </c>
      <c r="M29" s="289"/>
      <c r="N29" s="139">
        <v>82.23</v>
      </c>
      <c r="O29" s="139">
        <f t="shared" si="2"/>
        <v>1.0151504317159188</v>
      </c>
    </row>
    <row r="30" spans="2:20">
      <c r="B30" s="292">
        <v>2012</v>
      </c>
      <c r="C30" s="134">
        <f>Nuclear!G33/1000</f>
        <v>373.26</v>
      </c>
      <c r="D30" s="147">
        <f>Wind!D33/1000</f>
        <v>282.43</v>
      </c>
      <c r="E30" s="136">
        <f>Hydro!D22</f>
        <v>190.86750000000001</v>
      </c>
      <c r="F30" s="136">
        <f>'Biomass &amp; Waste'!E21</f>
        <v>76.456910000000008</v>
      </c>
      <c r="G30" s="136">
        <f>PV!F33/1000</f>
        <v>100.504</v>
      </c>
      <c r="H30" s="136">
        <f>Geothermal!E21</f>
        <v>11.29078</v>
      </c>
      <c r="I30" s="136">
        <f>SUM(D30:H30)</f>
        <v>661.54919000000007</v>
      </c>
      <c r="J30" s="290">
        <f>'Cogeneration (CHP)'!G21</f>
        <v>484.33798708276004</v>
      </c>
      <c r="K30" s="134">
        <f>SUM(D30:H30)+J30</f>
        <v>1145.88717708276</v>
      </c>
      <c r="L30" s="134">
        <f>('Generation (TWh)'!K31/8766*1000)/K30</f>
        <v>0.51127427414711291</v>
      </c>
      <c r="M30" s="137"/>
      <c r="N30" s="139">
        <v>88.58</v>
      </c>
      <c r="O30" s="139">
        <f t="shared" si="2"/>
        <v>0.95520264167983882</v>
      </c>
    </row>
    <row r="31" spans="2:20">
      <c r="B31" s="292">
        <v>2013</v>
      </c>
      <c r="C31" s="134">
        <f>Nuclear!G34/1000</f>
        <v>371.74</v>
      </c>
      <c r="D31" s="147">
        <f>Wind!D34/1000</f>
        <v>318.10500000000002</v>
      </c>
      <c r="E31" s="136">
        <f>Hydro!D23</f>
        <v>196.57384999999999</v>
      </c>
      <c r="F31" s="136">
        <f>'Biomass &amp; Waste'!E22</f>
        <v>84.560640000000006</v>
      </c>
      <c r="G31" s="136">
        <f>PV!F34/1000</f>
        <v>138.25700000000001</v>
      </c>
      <c r="H31" s="136">
        <f>Geothermal!E22</f>
        <v>11.7761</v>
      </c>
      <c r="I31" s="136">
        <f>SUM(D31:H31)</f>
        <v>749.27259000000004</v>
      </c>
      <c r="J31" s="290">
        <f>'Cogeneration (CHP)'!G22</f>
        <v>524.965977969699</v>
      </c>
      <c r="K31" s="134">
        <f>SUM(D31:H31)+J31</f>
        <v>1274.238567969699</v>
      </c>
      <c r="L31" s="134">
        <f>('Generation (TWh)'!K32/8766*1000)/K31</f>
        <v>0.50100501543882625</v>
      </c>
      <c r="M31" s="136"/>
      <c r="N31" s="139">
        <v>88.4</v>
      </c>
      <c r="O31" s="139">
        <f t="shared" si="2"/>
        <v>0.99234615384615343</v>
      </c>
    </row>
    <row r="32" spans="2:20" ht="14" thickBot="1">
      <c r="B32" s="293">
        <v>2014</v>
      </c>
      <c r="C32" s="141">
        <f>Nuclear!G35/1000</f>
        <v>376.22</v>
      </c>
      <c r="D32" s="146">
        <f>Wind!D35/1000</f>
        <v>369.553</v>
      </c>
      <c r="E32" s="143">
        <f>Hydro!D24</f>
        <v>200.11218</v>
      </c>
      <c r="F32" s="143">
        <f>'Biomass &amp; Waste'!E23</f>
        <v>94.279750000000007</v>
      </c>
      <c r="G32" s="143">
        <f>PV!F35/1000</f>
        <v>178.39099999999999</v>
      </c>
      <c r="H32" s="143">
        <f>Geothermal!E23</f>
        <v>12.47364</v>
      </c>
      <c r="I32" s="143">
        <f>SUM(D32:H32)</f>
        <v>854.80957000000001</v>
      </c>
      <c r="J32" s="144">
        <f>'Cogeneration (CHP)'!G23</f>
        <v>561.99270429432022</v>
      </c>
      <c r="K32" s="141">
        <f>SUM(D32:H32)+J32</f>
        <v>1416.8022742943203</v>
      </c>
      <c r="L32" s="141">
        <f>('Generation (TWh)'!K33/8766*1000)/K32</f>
        <v>0.48872234454639679</v>
      </c>
      <c r="M32" s="136"/>
      <c r="N32" s="145">
        <v>108.54</v>
      </c>
      <c r="O32" s="145">
        <f t="shared" si="2"/>
        <v>0.97233259627786961</v>
      </c>
    </row>
    <row r="33" spans="2:15" ht="14" thickBot="1">
      <c r="B33" s="297"/>
      <c r="C33" s="136"/>
      <c r="D33" s="136"/>
      <c r="E33" s="136"/>
      <c r="F33" s="136"/>
      <c r="G33" s="136"/>
      <c r="H33" s="136"/>
      <c r="I33" s="136"/>
      <c r="J33" s="136"/>
      <c r="K33" s="136"/>
      <c r="L33" s="136"/>
      <c r="M33" s="136"/>
      <c r="N33" s="137"/>
      <c r="O33" s="137"/>
    </row>
    <row r="34" spans="2:15">
      <c r="B34" s="126" t="s">
        <v>259</v>
      </c>
      <c r="C34" s="136"/>
      <c r="D34" s="285">
        <f>369.608</f>
        <v>369.608</v>
      </c>
      <c r="E34" s="286"/>
      <c r="F34" s="286">
        <v>94.525999999999996</v>
      </c>
      <c r="G34" s="286">
        <f>175.305</f>
        <v>175.30500000000001</v>
      </c>
      <c r="H34" s="286">
        <v>12.414</v>
      </c>
      <c r="I34" s="384"/>
      <c r="J34" s="136"/>
      <c r="K34" s="136"/>
      <c r="L34" s="136"/>
      <c r="M34" s="136"/>
      <c r="N34" s="137"/>
      <c r="O34" s="137"/>
    </row>
    <row r="35" spans="2:15" ht="14" thickBot="1">
      <c r="B35" s="126" t="s">
        <v>219</v>
      </c>
      <c r="C35" s="136"/>
      <c r="D35" s="385">
        <f>(D32/D34)</f>
        <v>0.99985119369710607</v>
      </c>
      <c r="E35" s="386"/>
      <c r="F35" s="386">
        <f t="shared" ref="F35:H35" si="3">(F32/F34)</f>
        <v>0.99739489664219383</v>
      </c>
      <c r="G35" s="386">
        <f>(G32/G34)</f>
        <v>1.0176036051453181</v>
      </c>
      <c r="H35" s="386">
        <f t="shared" si="3"/>
        <v>1.0048042532624457</v>
      </c>
      <c r="I35" s="144"/>
      <c r="J35" s="136"/>
      <c r="K35" s="136"/>
      <c r="L35" s="136"/>
      <c r="M35" s="136"/>
      <c r="N35" s="137"/>
      <c r="O35" s="137"/>
    </row>
    <row r="36" spans="2:15" ht="14" thickBot="1">
      <c r="B36" s="297"/>
      <c r="C36" s="136"/>
      <c r="D36" s="136"/>
      <c r="E36" s="136"/>
      <c r="F36" s="136"/>
      <c r="G36" s="136"/>
      <c r="H36" s="136"/>
      <c r="I36" s="136"/>
      <c r="J36" s="136"/>
      <c r="K36" s="136"/>
      <c r="L36" s="136"/>
      <c r="M36" s="136"/>
      <c r="N36" s="137"/>
      <c r="O36" s="137"/>
    </row>
    <row r="37" spans="2:15" s="422" customFormat="1" ht="27" thickBot="1">
      <c r="C37" s="429"/>
      <c r="D37" s="430" t="s">
        <v>57</v>
      </c>
      <c r="E37" s="431" t="s">
        <v>22</v>
      </c>
      <c r="F37" s="431" t="s">
        <v>28</v>
      </c>
      <c r="G37" s="431" t="s">
        <v>58</v>
      </c>
      <c r="H37" s="431" t="s">
        <v>5</v>
      </c>
      <c r="I37" s="432" t="s">
        <v>252</v>
      </c>
      <c r="J37" s="433"/>
      <c r="K37" s="433"/>
      <c r="L37" s="433"/>
      <c r="M37" s="434"/>
      <c r="N37" s="434"/>
    </row>
    <row r="38" spans="2:15" s="299" customFormat="1" ht="17" customHeight="1">
      <c r="B38" s="404" t="s">
        <v>231</v>
      </c>
      <c r="C38" s="405"/>
      <c r="D38" s="495">
        <f>'Generation (TWh)'!D33/(D32*8766/1000)</f>
        <v>0.21799649687964132</v>
      </c>
      <c r="E38" s="496">
        <f>'Generation (TWh)'!E33/(E32*8766/1000)</f>
        <v>0.39469548030509694</v>
      </c>
      <c r="F38" s="496">
        <f>'Generation (TWh)'!F33/(F32*8766/1000)</f>
        <v>0.64587880483348759</v>
      </c>
      <c r="G38" s="496">
        <f>'Generation (TWh)'!G33/(G32*8766/1000)</f>
        <v>0.11887895627391931</v>
      </c>
      <c r="H38" s="496">
        <f>'Generation (TWh)'!H33/(H32*8766/1000)</f>
        <v>0.67676368675521437</v>
      </c>
      <c r="I38" s="497"/>
    </row>
    <row r="39" spans="2:15" s="299" customFormat="1" ht="14" hidden="1">
      <c r="B39" s="304" t="s">
        <v>226</v>
      </c>
      <c r="C39" s="303"/>
      <c r="D39" s="498">
        <f>D38*'Generation (TWh)'!D33</f>
        <v>153.94912609640269</v>
      </c>
      <c r="E39" s="499">
        <f>E38*'Generation (TWh)'!E33</f>
        <v>273.27461808105437</v>
      </c>
      <c r="F39" s="499">
        <f>F38*'Generation (TWh)'!F33</f>
        <v>344.7640346711878</v>
      </c>
      <c r="G39" s="499">
        <f>G38*'Generation (TWh)'!G33</f>
        <v>22.0995979713216</v>
      </c>
      <c r="H39" s="499">
        <f>H38*'Generation (TWh)'!H33</f>
        <v>50.080512819885861</v>
      </c>
      <c r="I39" s="500"/>
      <c r="J39" s="300"/>
      <c r="K39" s="301"/>
    </row>
    <row r="40" spans="2:15" s="299" customFormat="1" ht="28" customHeight="1">
      <c r="B40" s="406" t="s">
        <v>212</v>
      </c>
      <c r="C40" s="405"/>
      <c r="D40" s="498"/>
      <c r="E40" s="499"/>
      <c r="F40" s="499"/>
      <c r="G40" s="499"/>
      <c r="H40" s="499"/>
      <c r="I40" s="500">
        <f>SUM(D39:H39)/'Generation (TWh)'!I33</f>
        <v>0.38506761670554474</v>
      </c>
      <c r="J40" s="300"/>
      <c r="K40" s="301"/>
    </row>
    <row r="41" spans="2:15" s="299" customFormat="1" ht="14">
      <c r="B41" s="302"/>
      <c r="C41" s="303"/>
      <c r="D41" s="498"/>
      <c r="E41" s="499"/>
      <c r="F41" s="499"/>
      <c r="G41" s="499"/>
      <c r="H41" s="499"/>
      <c r="I41" s="500"/>
      <c r="J41" s="300"/>
      <c r="K41" s="301"/>
    </row>
    <row r="42" spans="2:15" s="299" customFormat="1" ht="41" customHeight="1">
      <c r="B42" s="406" t="s">
        <v>257</v>
      </c>
      <c r="C42" s="405"/>
      <c r="D42" s="501">
        <v>0.33900000000000002</v>
      </c>
      <c r="E42" s="502">
        <f>E38</f>
        <v>0.39469548030509694</v>
      </c>
      <c r="F42" s="502">
        <f>F38</f>
        <v>0.64587880483348759</v>
      </c>
      <c r="G42" s="502">
        <v>0.29399999999999998</v>
      </c>
      <c r="H42" s="502">
        <f>H38</f>
        <v>0.67676368675521437</v>
      </c>
      <c r="I42" s="500"/>
      <c r="J42" s="300"/>
      <c r="K42" s="301"/>
    </row>
    <row r="43" spans="2:15" s="299" customFormat="1" ht="3" customHeight="1">
      <c r="B43" s="304" t="s">
        <v>226</v>
      </c>
      <c r="C43" s="303"/>
      <c r="D43" s="498">
        <f>D42*'Generation (TWh)'!D32</f>
        <v>217.19730000000004</v>
      </c>
      <c r="E43" s="499">
        <f>E42*'Generation (TWh)'!E32</f>
        <v>266.12736997599404</v>
      </c>
      <c r="F43" s="499">
        <f>F42*'Generation (TWh)'!F32</f>
        <v>311.04646017779334</v>
      </c>
      <c r="G43" s="499">
        <f>G42*'Generation (TWh)'!G32</f>
        <v>39.542999999999999</v>
      </c>
      <c r="H43" s="499">
        <f>H42*'Generation (TWh)'!H32</f>
        <v>51.434040193396292</v>
      </c>
      <c r="I43" s="500"/>
      <c r="J43" s="300"/>
      <c r="K43" s="301"/>
    </row>
    <row r="44" spans="2:15" s="299" customFormat="1" ht="53" customHeight="1" thickBot="1">
      <c r="B44" s="406" t="s">
        <v>258</v>
      </c>
      <c r="C44" s="405"/>
      <c r="D44" s="503"/>
      <c r="E44" s="504"/>
      <c r="F44" s="504"/>
      <c r="G44" s="504"/>
      <c r="H44" s="504"/>
      <c r="I44" s="505">
        <f>SUM(D43:H43)/'Generation (TWh)'!I32</f>
        <v>0.44111992998970956</v>
      </c>
      <c r="J44" s="300"/>
      <c r="K44" s="301"/>
    </row>
    <row r="45" spans="2:15" ht="180" customHeight="1">
      <c r="C45" s="298"/>
      <c r="D45" s="403" t="s">
        <v>256</v>
      </c>
      <c r="E45" s="403"/>
      <c r="F45" s="403"/>
      <c r="G45" s="403"/>
      <c r="H45" s="403"/>
      <c r="I45" s="403"/>
      <c r="J45" s="121"/>
      <c r="K45" s="122"/>
      <c r="M45" s="120"/>
    </row>
    <row r="46" spans="2:15" ht="12.75" customHeight="1"/>
    <row r="47" spans="2:15" ht="12.75" customHeight="1">
      <c r="B47" s="120"/>
    </row>
    <row r="48" spans="2:15" ht="12.75" customHeight="1">
      <c r="B48" s="120"/>
    </row>
    <row r="49" spans="2:15" ht="12.75" customHeight="1">
      <c r="B49" s="120"/>
    </row>
    <row r="50" spans="2:15" ht="12.75" customHeight="1">
      <c r="B50" s="120"/>
    </row>
    <row r="51" spans="2:15" ht="12.75" customHeight="1">
      <c r="B51" s="120"/>
      <c r="C51" s="120"/>
    </row>
    <row r="52" spans="2:15" ht="12.75" customHeight="1">
      <c r="B52" s="120"/>
      <c r="C52" s="120"/>
    </row>
    <row r="53" spans="2:15" ht="12.75" customHeight="1">
      <c r="B53" s="120"/>
      <c r="C53" s="120"/>
    </row>
    <row r="54" spans="2:15" ht="12.75" customHeight="1">
      <c r="B54" s="120"/>
    </row>
    <row r="55" spans="2:15" ht="12.75" customHeight="1">
      <c r="B55" s="120"/>
    </row>
    <row r="56" spans="2:15" ht="12.75" customHeight="1">
      <c r="B56" s="120"/>
    </row>
    <row r="57" spans="2:15" ht="12.75" customHeight="1">
      <c r="B57" s="120"/>
    </row>
    <row r="58" spans="2:15" ht="12.75" customHeight="1"/>
    <row r="59" spans="2:15" ht="12.75" customHeight="1">
      <c r="H59" s="118"/>
    </row>
    <row r="60" spans="2:15">
      <c r="F60" s="119"/>
      <c r="G60" s="119"/>
      <c r="H60" s="119"/>
      <c r="I60" s="119"/>
      <c r="J60" s="119"/>
      <c r="K60" s="119"/>
      <c r="L60" s="119"/>
      <c r="M60" s="119"/>
    </row>
    <row r="61" spans="2:15">
      <c r="H61" s="119"/>
      <c r="I61" s="119"/>
      <c r="J61" s="119"/>
      <c r="K61" s="119"/>
      <c r="L61" s="119"/>
      <c r="M61" s="119"/>
      <c r="N61" s="119"/>
      <c r="O61" s="119"/>
    </row>
    <row r="62" spans="2:15">
      <c r="H62" s="119"/>
      <c r="I62" s="119"/>
      <c r="J62" s="119"/>
      <c r="K62" s="119"/>
      <c r="L62" s="119"/>
      <c r="M62" s="119"/>
      <c r="N62" s="119"/>
      <c r="O62" s="119"/>
    </row>
    <row r="63" spans="2:15">
      <c r="H63" s="119"/>
      <c r="I63" s="119"/>
      <c r="J63" s="119"/>
      <c r="K63" s="119"/>
      <c r="L63" s="119"/>
      <c r="M63" s="119"/>
      <c r="N63" s="119"/>
      <c r="O63" s="119"/>
    </row>
    <row r="64" spans="2:15">
      <c r="H64" s="119"/>
      <c r="I64" s="119"/>
      <c r="J64" s="119"/>
      <c r="K64" s="119"/>
      <c r="L64" s="119"/>
      <c r="M64" s="119"/>
      <c r="N64" s="119"/>
      <c r="O64" s="119"/>
    </row>
    <row r="65" spans="8:15">
      <c r="H65" s="119"/>
      <c r="I65" s="119"/>
      <c r="J65" s="119"/>
      <c r="K65" s="119"/>
      <c r="L65" s="119"/>
      <c r="M65" s="119"/>
      <c r="N65" s="119"/>
      <c r="O65" s="119"/>
    </row>
    <row r="66" spans="8:15">
      <c r="H66" s="119"/>
      <c r="I66" s="119"/>
      <c r="J66" s="119"/>
      <c r="K66" s="119"/>
      <c r="L66" s="119"/>
      <c r="M66" s="119"/>
      <c r="N66" s="119"/>
      <c r="O66" s="119"/>
    </row>
    <row r="67" spans="8:15">
      <c r="H67" s="119"/>
      <c r="I67" s="119"/>
      <c r="J67" s="119"/>
      <c r="K67" s="119"/>
      <c r="L67" s="119"/>
      <c r="M67" s="119"/>
      <c r="N67" s="119"/>
      <c r="O67" s="119"/>
    </row>
    <row r="68" spans="8:15">
      <c r="H68" s="119"/>
      <c r="I68" s="119"/>
      <c r="J68" s="119"/>
      <c r="K68" s="119"/>
      <c r="L68" s="119"/>
      <c r="M68" s="119"/>
      <c r="N68" s="119"/>
      <c r="O68" s="119"/>
    </row>
    <row r="69" spans="8:15">
      <c r="H69" s="119"/>
      <c r="I69" s="119"/>
      <c r="J69" s="119"/>
      <c r="K69" s="119"/>
      <c r="L69" s="119"/>
      <c r="M69" s="119"/>
      <c r="N69" s="119"/>
      <c r="O69" s="119"/>
    </row>
    <row r="70" spans="8:15">
      <c r="H70" s="119"/>
      <c r="I70" s="119"/>
      <c r="J70" s="119"/>
      <c r="K70" s="119"/>
      <c r="L70" s="119"/>
      <c r="M70" s="119"/>
      <c r="N70" s="119"/>
      <c r="O70" s="119"/>
    </row>
    <row r="71" spans="8:15">
      <c r="H71" s="119"/>
      <c r="I71" s="119"/>
      <c r="J71" s="119"/>
      <c r="K71" s="119"/>
      <c r="L71" s="119"/>
      <c r="M71" s="119"/>
      <c r="N71" s="119"/>
      <c r="O71" s="119"/>
    </row>
  </sheetData>
  <mergeCells count="7">
    <mergeCell ref="O6:O7"/>
    <mergeCell ref="N5:O5"/>
    <mergeCell ref="D45:I45"/>
    <mergeCell ref="B38:C38"/>
    <mergeCell ref="B40:C40"/>
    <mergeCell ref="B42:C42"/>
    <mergeCell ref="B44:C44"/>
  </mergeCells>
  <phoneticPr fontId="7"/>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39997558519241921"/>
  </sheetPr>
  <dimension ref="A2:R73"/>
  <sheetViews>
    <sheetView showGridLines="0" topLeftCell="A2" workbookViewId="0">
      <selection activeCell="U11" sqref="U11"/>
    </sheetView>
  </sheetViews>
  <sheetFormatPr baseColWidth="10" defaultColWidth="11" defaultRowHeight="13" x14ac:dyDescent="0"/>
  <cols>
    <col min="1" max="1" width="2.140625" style="69" customWidth="1"/>
    <col min="2" max="7" width="11.28515625" style="69" customWidth="1"/>
    <col min="8" max="8" width="13.85546875" style="69" customWidth="1"/>
    <col min="9" max="14" width="11.28515625" style="69" customWidth="1"/>
    <col min="15" max="15" width="12.7109375" style="69" customWidth="1"/>
    <col min="16" max="17" width="12.5703125" style="69" customWidth="1"/>
    <col min="18" max="18" width="14.140625" style="69" customWidth="1"/>
    <col min="19" max="16384" width="11" style="69"/>
  </cols>
  <sheetData>
    <row r="2" spans="1:18" ht="16">
      <c r="B2" s="148" t="s">
        <v>136</v>
      </c>
      <c r="C2" s="149"/>
    </row>
    <row r="3" spans="1:18">
      <c r="B3" s="69" t="s">
        <v>138</v>
      </c>
    </row>
    <row r="4" spans="1:18" s="117" customFormat="1">
      <c r="B4" s="117" t="s">
        <v>129</v>
      </c>
    </row>
    <row r="5" spans="1:18" ht="14" thickBot="1">
      <c r="B5" s="68"/>
      <c r="C5" s="68"/>
    </row>
    <row r="6" spans="1:18" s="444" customFormat="1" ht="39">
      <c r="A6" s="439"/>
      <c r="B6" s="510"/>
      <c r="C6" s="511" t="s">
        <v>27</v>
      </c>
      <c r="D6" s="512" t="s">
        <v>57</v>
      </c>
      <c r="E6" s="512" t="s">
        <v>22</v>
      </c>
      <c r="F6" s="512" t="s">
        <v>28</v>
      </c>
      <c r="G6" s="512" t="s">
        <v>58</v>
      </c>
      <c r="H6" s="512" t="s">
        <v>5</v>
      </c>
      <c r="I6" s="512" t="s">
        <v>131</v>
      </c>
      <c r="J6" s="512" t="s">
        <v>33</v>
      </c>
      <c r="K6" s="512" t="s">
        <v>70</v>
      </c>
      <c r="L6" s="511" t="s">
        <v>109</v>
      </c>
      <c r="M6" s="511" t="s">
        <v>134</v>
      </c>
      <c r="N6" s="423" t="s">
        <v>260</v>
      </c>
      <c r="O6" s="511" t="s">
        <v>140</v>
      </c>
      <c r="P6" s="513" t="s">
        <v>142</v>
      </c>
      <c r="Q6" s="514" t="s">
        <v>261</v>
      </c>
      <c r="R6" s="514" t="s">
        <v>262</v>
      </c>
    </row>
    <row r="7" spans="1:18">
      <c r="A7" s="439"/>
      <c r="B7" s="515"/>
      <c r="C7" s="516"/>
      <c r="D7" s="517"/>
      <c r="E7" s="517"/>
      <c r="F7" s="517"/>
      <c r="G7" s="517"/>
      <c r="H7" s="517"/>
      <c r="I7" s="517" t="s">
        <v>132</v>
      </c>
      <c r="J7" s="517"/>
      <c r="K7" s="517"/>
      <c r="L7" s="516" t="s">
        <v>137</v>
      </c>
      <c r="M7" s="516"/>
      <c r="N7" s="517"/>
      <c r="O7" s="516" t="s">
        <v>141</v>
      </c>
      <c r="P7" s="518" t="s">
        <v>141</v>
      </c>
      <c r="Q7" s="518" t="s">
        <v>141</v>
      </c>
      <c r="R7" s="518" t="s">
        <v>141</v>
      </c>
    </row>
    <row r="8" spans="1:18" s="439" customFormat="1" ht="14" thickBot="1">
      <c r="B8" s="435" t="s">
        <v>130</v>
      </c>
      <c r="C8" s="436" t="s">
        <v>100</v>
      </c>
      <c r="D8" s="437" t="s">
        <v>102</v>
      </c>
      <c r="E8" s="437" t="s">
        <v>107</v>
      </c>
      <c r="F8" s="437" t="s">
        <v>107</v>
      </c>
      <c r="G8" s="437" t="s">
        <v>102</v>
      </c>
      <c r="H8" s="437" t="s">
        <v>216</v>
      </c>
      <c r="I8" s="437" t="s">
        <v>85</v>
      </c>
      <c r="J8" s="437" t="s">
        <v>133</v>
      </c>
      <c r="K8" s="437" t="s">
        <v>85</v>
      </c>
      <c r="L8" s="436" t="s">
        <v>211</v>
      </c>
      <c r="M8" s="436" t="s">
        <v>135</v>
      </c>
      <c r="N8" s="437" t="s">
        <v>102</v>
      </c>
      <c r="O8" s="436" t="s">
        <v>85</v>
      </c>
      <c r="P8" s="438" t="s">
        <v>85</v>
      </c>
      <c r="Q8" s="438" t="s">
        <v>85</v>
      </c>
      <c r="R8" s="438" t="s">
        <v>85</v>
      </c>
    </row>
    <row r="9" spans="1:18">
      <c r="B9" s="308">
        <v>1990</v>
      </c>
      <c r="C9" s="309">
        <f>Nuclear!H11</f>
        <v>1908.807090009667</v>
      </c>
      <c r="D9" s="294">
        <f>Wind!E11</f>
        <v>3.6</v>
      </c>
      <c r="E9" s="286"/>
      <c r="F9" s="286"/>
      <c r="G9" s="286">
        <f>PV!G11</f>
        <v>0.4</v>
      </c>
      <c r="H9" s="287"/>
      <c r="I9" s="287"/>
      <c r="J9" s="287"/>
      <c r="K9" s="288"/>
      <c r="L9" s="310"/>
      <c r="M9" s="310"/>
      <c r="N9" s="309">
        <v>11847.479792009501</v>
      </c>
      <c r="O9" s="154"/>
      <c r="P9" s="154"/>
      <c r="Q9" s="154"/>
      <c r="R9" s="154"/>
    </row>
    <row r="10" spans="1:18">
      <c r="B10" s="284">
        <v>1991</v>
      </c>
      <c r="C10" s="134">
        <f>Nuclear!H12</f>
        <v>1996.1400900000001</v>
      </c>
      <c r="D10" s="135">
        <f>Wind!E12</f>
        <v>4.0999999999999996</v>
      </c>
      <c r="E10" s="136"/>
      <c r="F10" s="136"/>
      <c r="G10" s="136">
        <f>PV!G12</f>
        <v>0.5</v>
      </c>
      <c r="H10" s="137"/>
      <c r="I10" s="137"/>
      <c r="J10" s="137"/>
      <c r="K10" s="138"/>
      <c r="L10" s="139"/>
      <c r="M10" s="139"/>
      <c r="N10" s="134">
        <v>12096.976962909999</v>
      </c>
      <c r="O10" s="74"/>
      <c r="P10" s="74"/>
      <c r="Q10" s="74"/>
      <c r="R10" s="74"/>
    </row>
    <row r="11" spans="1:18">
      <c r="B11" s="284">
        <v>1992</v>
      </c>
      <c r="C11" s="134">
        <f>Nuclear!H13</f>
        <v>2015.6030599999999</v>
      </c>
      <c r="D11" s="135">
        <f>Wind!E13</f>
        <v>4.7</v>
      </c>
      <c r="E11" s="136"/>
      <c r="F11" s="136"/>
      <c r="G11" s="136">
        <f>PV!G13</f>
        <v>0.5</v>
      </c>
      <c r="H11" s="137"/>
      <c r="I11" s="137"/>
      <c r="J11" s="137"/>
      <c r="K11" s="138"/>
      <c r="L11" s="139"/>
      <c r="M11" s="139"/>
      <c r="N11" s="134">
        <v>12211.057950045801</v>
      </c>
      <c r="O11" s="74"/>
      <c r="P11" s="74"/>
      <c r="Q11" s="74"/>
      <c r="R11" s="74"/>
    </row>
    <row r="12" spans="1:18">
      <c r="B12" s="284">
        <v>1993</v>
      </c>
      <c r="C12" s="134">
        <f>Nuclear!H14</f>
        <v>2081.6272820000004</v>
      </c>
      <c r="D12" s="135">
        <f>Wind!E14</f>
        <v>5.7</v>
      </c>
      <c r="E12" s="136"/>
      <c r="F12" s="136"/>
      <c r="G12" s="136">
        <f>PV!G14</f>
        <v>0.6</v>
      </c>
      <c r="H12" s="137"/>
      <c r="I12" s="137"/>
      <c r="J12" s="137"/>
      <c r="K12" s="138"/>
      <c r="L12" s="139"/>
      <c r="M12" s="139"/>
      <c r="N12" s="134">
        <v>12474.613892899701</v>
      </c>
      <c r="O12" s="74"/>
      <c r="P12" s="74"/>
      <c r="Q12" s="74"/>
      <c r="R12" s="74"/>
    </row>
    <row r="13" spans="1:18">
      <c r="B13" s="284">
        <v>1994</v>
      </c>
      <c r="C13" s="134">
        <f>Nuclear!H15</f>
        <v>2125.160042</v>
      </c>
      <c r="D13" s="135">
        <f>Wind!E15</f>
        <v>7.1</v>
      </c>
      <c r="E13" s="136"/>
      <c r="F13" s="136"/>
      <c r="G13" s="136">
        <f>PV!G15</f>
        <v>0.6</v>
      </c>
      <c r="H13" s="137"/>
      <c r="I13" s="137"/>
      <c r="J13" s="137"/>
      <c r="K13" s="138"/>
      <c r="L13" s="139"/>
      <c r="M13" s="139"/>
      <c r="N13" s="134">
        <v>12805.8504494359</v>
      </c>
      <c r="O13" s="74"/>
      <c r="P13" s="74"/>
      <c r="Q13" s="74"/>
      <c r="R13" s="74"/>
    </row>
    <row r="14" spans="1:18">
      <c r="B14" s="284">
        <v>1995</v>
      </c>
      <c r="C14" s="134">
        <f>Nuclear!H16</f>
        <v>2190.94</v>
      </c>
      <c r="D14" s="135">
        <f>Wind!E16</f>
        <v>8.3000000000000007</v>
      </c>
      <c r="E14" s="136"/>
      <c r="F14" s="136"/>
      <c r="G14" s="136">
        <f>PV!G16</f>
        <v>0.6</v>
      </c>
      <c r="H14" s="137"/>
      <c r="I14" s="137"/>
      <c r="J14" s="137"/>
      <c r="K14" s="138"/>
      <c r="L14" s="139"/>
      <c r="M14" s="139"/>
      <c r="N14" s="134">
        <v>13246.396337104299</v>
      </c>
      <c r="O14" s="74"/>
      <c r="P14" s="74"/>
      <c r="Q14" s="74"/>
      <c r="R14" s="74"/>
    </row>
    <row r="15" spans="1:18">
      <c r="B15" s="284">
        <v>1996</v>
      </c>
      <c r="C15" s="134">
        <f>Nuclear!H17</f>
        <v>2269.39</v>
      </c>
      <c r="D15" s="135">
        <f>Wind!E17</f>
        <v>9.1999999999999993</v>
      </c>
      <c r="E15" s="136"/>
      <c r="F15" s="136"/>
      <c r="G15" s="136">
        <f>PV!G17</f>
        <v>0.7</v>
      </c>
      <c r="H15" s="137"/>
      <c r="I15" s="137"/>
      <c r="J15" s="137"/>
      <c r="K15" s="138"/>
      <c r="L15" s="139"/>
      <c r="M15" s="139"/>
      <c r="N15" s="134">
        <v>13673.232695358</v>
      </c>
      <c r="O15" s="74"/>
      <c r="P15" s="74"/>
      <c r="Q15" s="74"/>
      <c r="R15" s="74"/>
    </row>
    <row r="16" spans="1:18">
      <c r="B16" s="284">
        <v>1997</v>
      </c>
      <c r="C16" s="134">
        <f>Nuclear!H18</f>
        <v>2263.79</v>
      </c>
      <c r="D16" s="135">
        <f>Wind!E18</f>
        <v>12</v>
      </c>
      <c r="E16" s="136"/>
      <c r="F16" s="136"/>
      <c r="G16" s="136">
        <f>PV!G18</f>
        <v>0.7</v>
      </c>
      <c r="H16" s="137"/>
      <c r="I16" s="137"/>
      <c r="J16" s="137"/>
      <c r="K16" s="138"/>
      <c r="L16" s="139"/>
      <c r="M16" s="139"/>
      <c r="N16" s="134">
        <v>13959.568127075599</v>
      </c>
      <c r="O16" s="74"/>
      <c r="P16" s="74"/>
      <c r="Q16" s="74"/>
      <c r="R16" s="74"/>
    </row>
    <row r="17" spans="2:18">
      <c r="B17" s="284">
        <v>1998</v>
      </c>
      <c r="C17" s="134">
        <f>Nuclear!H19</f>
        <v>2298.27</v>
      </c>
      <c r="D17" s="135">
        <f>Wind!E19</f>
        <v>16</v>
      </c>
      <c r="E17" s="136"/>
      <c r="F17" s="136"/>
      <c r="G17" s="136">
        <f>PV!G19</f>
        <v>0.8</v>
      </c>
      <c r="H17" s="137"/>
      <c r="I17" s="137"/>
      <c r="J17" s="137"/>
      <c r="K17" s="138"/>
      <c r="L17" s="139"/>
      <c r="M17" s="139"/>
      <c r="N17" s="134">
        <v>14340.2093338958</v>
      </c>
      <c r="O17" s="74"/>
      <c r="P17" s="74"/>
      <c r="Q17" s="74"/>
      <c r="R17" s="74"/>
    </row>
    <row r="18" spans="2:18">
      <c r="B18" s="284">
        <v>1999</v>
      </c>
      <c r="C18" s="134">
        <f>Nuclear!H20</f>
        <v>2378.9299999999998</v>
      </c>
      <c r="D18" s="135">
        <f>Wind!E20</f>
        <v>21.2</v>
      </c>
      <c r="E18" s="136"/>
      <c r="F18" s="136"/>
      <c r="G18" s="136">
        <f>PV!G20</f>
        <v>0.9</v>
      </c>
      <c r="H18" s="137"/>
      <c r="I18" s="137"/>
      <c r="J18" s="137"/>
      <c r="K18" s="138"/>
      <c r="L18" s="139"/>
      <c r="M18" s="139"/>
      <c r="N18" s="134">
        <v>14715.8597502181</v>
      </c>
      <c r="O18" s="74"/>
      <c r="P18" s="74"/>
      <c r="Q18" s="74"/>
      <c r="R18" s="74"/>
    </row>
    <row r="19" spans="2:18">
      <c r="B19" s="284">
        <v>2000</v>
      </c>
      <c r="C19" s="134">
        <f>Nuclear!H21</f>
        <v>2443.85</v>
      </c>
      <c r="D19" s="135">
        <f>Wind!E21</f>
        <v>29.5</v>
      </c>
      <c r="E19" s="136">
        <f>Hydro!F10</f>
        <v>477.41291020799997</v>
      </c>
      <c r="F19" s="136">
        <f>'Biomass &amp; Waste'!G9</f>
        <v>216.98640217799999</v>
      </c>
      <c r="G19" s="136">
        <f>PV!G21</f>
        <v>1</v>
      </c>
      <c r="H19" s="140">
        <f>Geothermal!H9</f>
        <v>49.762250243999993</v>
      </c>
      <c r="I19" s="140">
        <f t="shared" ref="I19:I29" si="0">SUM(D19:H19)</f>
        <v>774.66156263000005</v>
      </c>
      <c r="J19" s="137">
        <f>'Cogeneration (CHP)'!J9</f>
        <v>1554.9223457925698</v>
      </c>
      <c r="K19" s="138">
        <f t="shared" ref="K19:K27" si="1">F19+J19+G19+D19+E19+H19</f>
        <v>2329.5839084225695</v>
      </c>
      <c r="L19" s="139">
        <f t="shared" ref="L19:L27" si="2">K19/C19*100</f>
        <v>95.324341036584471</v>
      </c>
      <c r="M19" s="139">
        <f>Hydro!L10</f>
        <v>2184.7883705760401</v>
      </c>
      <c r="N19" s="134">
        <v>15379.765413134601</v>
      </c>
      <c r="O19" s="132">
        <f t="shared" ref="O19:O27" si="3">K19/N19</f>
        <v>0.15147070490640008</v>
      </c>
      <c r="P19" s="132">
        <f>C19/N19</f>
        <v>0.15890034303858155</v>
      </c>
      <c r="Q19" s="132">
        <f>I19/N19</f>
        <v>5.0368880267082937E-2</v>
      </c>
      <c r="R19" s="132">
        <f>(I19+M19)/N19</f>
        <v>0.19242490725369685</v>
      </c>
    </row>
    <row r="20" spans="2:18">
      <c r="B20" s="284">
        <v>2001</v>
      </c>
      <c r="C20" s="134">
        <f>Nuclear!H22</f>
        <v>2511.09</v>
      </c>
      <c r="D20" s="135">
        <f>Wind!E22</f>
        <v>38.5</v>
      </c>
      <c r="E20" s="136">
        <f>Hydro!F11</f>
        <v>479.09016158400004</v>
      </c>
      <c r="F20" s="136">
        <f>'Biomass &amp; Waste'!G10</f>
        <v>218.24338740749997</v>
      </c>
      <c r="G20" s="136">
        <f>PV!G22</f>
        <v>1.3</v>
      </c>
      <c r="H20" s="140">
        <f>Geothermal!H10</f>
        <v>50.4185356809</v>
      </c>
      <c r="I20" s="140">
        <f t="shared" si="0"/>
        <v>787.55208467240004</v>
      </c>
      <c r="J20" s="137">
        <f>'Cogeneration (CHP)'!J10</f>
        <v>1645.1487861974358</v>
      </c>
      <c r="K20" s="138">
        <f t="shared" si="1"/>
        <v>2432.7008708698354</v>
      </c>
      <c r="L20" s="139">
        <f t="shared" si="2"/>
        <v>96.878282772414977</v>
      </c>
      <c r="M20" s="139">
        <f>Hydro!L11</f>
        <v>2115.2865667877395</v>
      </c>
      <c r="N20" s="134">
        <v>15626.4513781612</v>
      </c>
      <c r="O20" s="132">
        <f t="shared" si="3"/>
        <v>0.15567839504941375</v>
      </c>
      <c r="P20" s="132">
        <f t="shared" ref="P20:P33" si="4">C20/N20</f>
        <v>0.16069483334580892</v>
      </c>
      <c r="Q20" s="132">
        <f t="shared" ref="Q20:R32" si="5">I20/N20</f>
        <v>5.0398651978852092E-2</v>
      </c>
      <c r="R20" s="132">
        <f t="shared" ref="R20:R33" si="6">(I20+M20)/N20</f>
        <v>0.18576441837057206</v>
      </c>
    </row>
    <row r="21" spans="2:18">
      <c r="B21" s="284">
        <v>2002</v>
      </c>
      <c r="C21" s="134">
        <f>Nuclear!H23</f>
        <v>2553.1799999999998</v>
      </c>
      <c r="D21" s="135">
        <f>Wind!E23</f>
        <v>53</v>
      </c>
      <c r="E21" s="136">
        <f>Hydro!F12</f>
        <v>486.69917230800002</v>
      </c>
      <c r="F21" s="136">
        <f>'Biomass &amp; Waste'!G11</f>
        <v>224.24248935899999</v>
      </c>
      <c r="G21" s="136">
        <f>PV!G23</f>
        <v>1.6</v>
      </c>
      <c r="H21" s="140">
        <f>Geothermal!H11</f>
        <v>51.929238754800004</v>
      </c>
      <c r="I21" s="140">
        <f t="shared" si="0"/>
        <v>817.47090042180014</v>
      </c>
      <c r="J21" s="137">
        <f>'Cogeneration (CHP)'!J11</f>
        <v>1748.6676096130589</v>
      </c>
      <c r="K21" s="138">
        <f t="shared" si="1"/>
        <v>2566.1385100348584</v>
      </c>
      <c r="L21" s="139">
        <f t="shared" si="2"/>
        <v>100.50754392697962</v>
      </c>
      <c r="M21" s="139">
        <f>Hydro!L12</f>
        <v>2159.74953560625</v>
      </c>
      <c r="N21" s="134">
        <v>16183.0925133773</v>
      </c>
      <c r="O21" s="132">
        <f t="shared" si="3"/>
        <v>0.15856910586858675</v>
      </c>
      <c r="P21" s="132">
        <f t="shared" si="4"/>
        <v>0.15776836212791129</v>
      </c>
      <c r="Q21" s="132">
        <f t="shared" si="5"/>
        <v>5.0513886622477175E-2</v>
      </c>
      <c r="R21" s="132">
        <f t="shared" si="6"/>
        <v>0.18397104469167525</v>
      </c>
    </row>
    <row r="22" spans="2:18">
      <c r="B22" s="284">
        <v>2003</v>
      </c>
      <c r="C22" s="134">
        <f>Nuclear!H24</f>
        <v>2504.7800000000002</v>
      </c>
      <c r="D22" s="135">
        <f>Wind!E24</f>
        <v>63.4</v>
      </c>
      <c r="E22" s="136">
        <f>Hydro!F13</f>
        <v>497.01860393400005</v>
      </c>
      <c r="F22" s="136">
        <f>'Biomass &amp; Waste'!G12</f>
        <v>234.02449724850001</v>
      </c>
      <c r="G22" s="136">
        <f>PV!G24</f>
        <v>2</v>
      </c>
      <c r="H22" s="140">
        <f>Geothermal!H12</f>
        <v>53.726456347200006</v>
      </c>
      <c r="I22" s="140">
        <f t="shared" si="0"/>
        <v>850.16955752970011</v>
      </c>
      <c r="J22" s="137">
        <f>'Cogeneration (CHP)'!J12</f>
        <v>1856.6753258455385</v>
      </c>
      <c r="K22" s="138">
        <f t="shared" si="1"/>
        <v>2706.8448833752386</v>
      </c>
      <c r="L22" s="139">
        <f t="shared" si="2"/>
        <v>108.06717090424063</v>
      </c>
      <c r="M22" s="139">
        <f>Hydro!L13</f>
        <v>2142.2929710159897</v>
      </c>
      <c r="N22" s="134">
        <v>16792.610945695302</v>
      </c>
      <c r="O22" s="132">
        <f t="shared" si="3"/>
        <v>0.16119261573609697</v>
      </c>
      <c r="P22" s="132">
        <f t="shared" si="4"/>
        <v>0.14915965171229598</v>
      </c>
      <c r="Q22" s="132">
        <f t="shared" si="5"/>
        <v>5.0627598071498026E-2</v>
      </c>
      <c r="R22" s="132">
        <f t="shared" si="6"/>
        <v>0.17820114681527779</v>
      </c>
    </row>
    <row r="23" spans="2:18">
      <c r="B23" s="284">
        <v>2004</v>
      </c>
      <c r="C23" s="134">
        <f>Nuclear!H25</f>
        <v>2616.2399999999998</v>
      </c>
      <c r="D23" s="135">
        <f>Wind!E25</f>
        <v>85.7</v>
      </c>
      <c r="E23" s="136">
        <f>Hydro!F14</f>
        <v>508.83731960400002</v>
      </c>
      <c r="F23" s="136">
        <f>'Biomass &amp; Waste'!G13</f>
        <v>245.46680745299997</v>
      </c>
      <c r="G23" s="136">
        <f>PV!G25</f>
        <v>2.6</v>
      </c>
      <c r="H23" s="140">
        <f>Geothermal!H13</f>
        <v>54.890052995699996</v>
      </c>
      <c r="I23" s="140">
        <f t="shared" si="0"/>
        <v>897.49418005270002</v>
      </c>
      <c r="J23" s="137">
        <f>'Cogeneration (CHP)'!J13</f>
        <v>1946.6905575016026</v>
      </c>
      <c r="K23" s="138">
        <f t="shared" si="1"/>
        <v>2844.1847375543025</v>
      </c>
      <c r="L23" s="139">
        <f t="shared" si="2"/>
        <v>108.7126845226089</v>
      </c>
      <c r="M23" s="139">
        <f>Hydro!L14</f>
        <v>2297.7121000968</v>
      </c>
      <c r="N23" s="134">
        <v>17553.598586572101</v>
      </c>
      <c r="O23" s="132">
        <f t="shared" si="3"/>
        <v>0.16202858482419702</v>
      </c>
      <c r="P23" s="132">
        <f t="shared" si="4"/>
        <v>0.14904294336554633</v>
      </c>
      <c r="Q23" s="132">
        <f t="shared" si="5"/>
        <v>5.1128785680404708E-2</v>
      </c>
      <c r="R23" s="132">
        <f t="shared" si="6"/>
        <v>0.18202571195821482</v>
      </c>
    </row>
    <row r="24" spans="2:18">
      <c r="B24" s="284">
        <v>2005</v>
      </c>
      <c r="C24" s="134">
        <f>Nuclear!H26</f>
        <v>2626.34</v>
      </c>
      <c r="D24" s="135">
        <f>Wind!E26</f>
        <v>104.4</v>
      </c>
      <c r="E24" s="136">
        <f>Hydro!F15</f>
        <v>525.12376743000004</v>
      </c>
      <c r="F24" s="136">
        <f>'Biomass &amp; Waste'!G14</f>
        <v>255.2466063105</v>
      </c>
      <c r="G24" s="136">
        <f>PV!G26</f>
        <v>3.7</v>
      </c>
      <c r="H24" s="140">
        <f>Geothermal!H14</f>
        <v>55.743848685000003</v>
      </c>
      <c r="I24" s="140">
        <f t="shared" si="0"/>
        <v>944.2142224255</v>
      </c>
      <c r="J24" s="137">
        <f>'Cogeneration (CHP)'!J14</f>
        <v>2059.9036419656095</v>
      </c>
      <c r="K24" s="138">
        <f t="shared" si="1"/>
        <v>3004.1178643911094</v>
      </c>
      <c r="L24" s="139">
        <f t="shared" si="2"/>
        <v>114.38419490207319</v>
      </c>
      <c r="M24" s="139">
        <f>Hydro!L15</f>
        <v>2399.49857532958</v>
      </c>
      <c r="N24" s="134">
        <v>18311.555971362901</v>
      </c>
      <c r="O24" s="132">
        <f t="shared" si="3"/>
        <v>0.16405584916372989</v>
      </c>
      <c r="P24" s="132">
        <f t="shared" si="4"/>
        <v>0.14342527768297156</v>
      </c>
      <c r="Q24" s="132">
        <f t="shared" si="5"/>
        <v>5.1563844377951217E-2</v>
      </c>
      <c r="R24" s="132">
        <f t="shared" si="6"/>
        <v>0.18260123841929379</v>
      </c>
    </row>
    <row r="25" spans="2:18">
      <c r="B25" s="284">
        <v>2006</v>
      </c>
      <c r="C25" s="134">
        <f>Nuclear!H27</f>
        <v>2660.85</v>
      </c>
      <c r="D25" s="135">
        <f>Wind!E27</f>
        <v>133.19999999999999</v>
      </c>
      <c r="E25" s="136">
        <f>Hydro!F16</f>
        <v>542.42954326799997</v>
      </c>
      <c r="F25" s="136">
        <f>'Biomass &amp; Waste'!G15</f>
        <v>270.930380679</v>
      </c>
      <c r="G25" s="136">
        <f>PV!G27</f>
        <v>5</v>
      </c>
      <c r="H25" s="140">
        <f>Geothermal!H15</f>
        <v>58.183765334729998</v>
      </c>
      <c r="I25" s="140">
        <f t="shared" si="0"/>
        <v>1009.7436892817299</v>
      </c>
      <c r="J25" s="137">
        <f>'Cogeneration (CHP)'!J15</f>
        <v>2183.9984291316277</v>
      </c>
      <c r="K25" s="138">
        <f t="shared" si="1"/>
        <v>3193.7421184133577</v>
      </c>
      <c r="L25" s="139">
        <f t="shared" si="2"/>
        <v>120.02713863665211</v>
      </c>
      <c r="M25" s="139">
        <f>Hydro!L16</f>
        <v>2501.3126335344</v>
      </c>
      <c r="N25" s="134">
        <v>19025.523779428499</v>
      </c>
      <c r="O25" s="132">
        <f t="shared" si="3"/>
        <v>0.16786618625798977</v>
      </c>
      <c r="P25" s="132">
        <f t="shared" si="4"/>
        <v>0.13985685917762042</v>
      </c>
      <c r="Q25" s="132">
        <f t="shared" si="5"/>
        <v>5.3073108577095962E-2</v>
      </c>
      <c r="R25" s="132">
        <f t="shared" si="6"/>
        <v>0.1845445288929437</v>
      </c>
    </row>
    <row r="26" spans="2:18">
      <c r="B26" s="284">
        <v>2007</v>
      </c>
      <c r="C26" s="134">
        <f>Nuclear!H28</f>
        <v>2608.1799999999998</v>
      </c>
      <c r="D26" s="135">
        <f>Wind!E28</f>
        <v>170.7</v>
      </c>
      <c r="E26" s="136">
        <f>Hydro!F17</f>
        <v>561.88915160400006</v>
      </c>
      <c r="F26" s="136">
        <f>'Biomass &amp; Waste'!G16</f>
        <v>293.326344801</v>
      </c>
      <c r="G26" s="136">
        <f>PV!G28</f>
        <v>6.8</v>
      </c>
      <c r="H26" s="140">
        <f>Geothermal!H16</f>
        <v>62.058460453200006</v>
      </c>
      <c r="I26" s="140">
        <f t="shared" si="0"/>
        <v>1094.7739568582001</v>
      </c>
      <c r="J26" s="137">
        <f>'Cogeneration (CHP)'!J16</f>
        <v>2325.7055528786341</v>
      </c>
      <c r="K26" s="138">
        <f t="shared" si="1"/>
        <v>3420.4795097368346</v>
      </c>
      <c r="L26" s="139">
        <f t="shared" si="2"/>
        <v>131.14430406401533</v>
      </c>
      <c r="M26" s="139">
        <f>Hydro!L17</f>
        <v>2532.9407441759604</v>
      </c>
      <c r="N26" s="134">
        <v>19907.793832954201</v>
      </c>
      <c r="O26" s="132">
        <f t="shared" si="3"/>
        <v>0.17181610069091494</v>
      </c>
      <c r="P26" s="132">
        <f t="shared" si="4"/>
        <v>0.13101301037599508</v>
      </c>
      <c r="Q26" s="132">
        <f t="shared" si="5"/>
        <v>5.4992228975466642E-2</v>
      </c>
      <c r="R26" s="132">
        <f t="shared" si="6"/>
        <v>0.18222585242112832</v>
      </c>
    </row>
    <row r="27" spans="2:18">
      <c r="B27" s="284">
        <v>2008</v>
      </c>
      <c r="C27" s="134">
        <f>Nuclear!H29</f>
        <v>2597.81</v>
      </c>
      <c r="D27" s="135">
        <f>Wind!E29</f>
        <v>219.2</v>
      </c>
      <c r="E27" s="136">
        <f>Hydro!F18</f>
        <v>580.744633518</v>
      </c>
      <c r="F27" s="136">
        <f>'Biomass &amp; Waste'!G17</f>
        <v>315.02999215799997</v>
      </c>
      <c r="G27" s="136">
        <f>PV!G29</f>
        <v>11.4</v>
      </c>
      <c r="H27" s="140">
        <f>Geothermal!H17</f>
        <v>64.802997049320012</v>
      </c>
      <c r="I27" s="140">
        <f t="shared" si="0"/>
        <v>1191.1776227253201</v>
      </c>
      <c r="J27" s="137">
        <f>'Cogeneration (CHP)'!J17</f>
        <v>2501.7246430281803</v>
      </c>
      <c r="K27" s="138">
        <f t="shared" si="1"/>
        <v>3692.9022657534997</v>
      </c>
      <c r="L27" s="139">
        <f t="shared" si="2"/>
        <v>142.1544403075475</v>
      </c>
      <c r="M27" s="139">
        <f>Hydro!L18</f>
        <v>2636.9956890549602</v>
      </c>
      <c r="N27" s="134">
        <v>20336.2724557199</v>
      </c>
      <c r="O27" s="132">
        <f t="shared" si="3"/>
        <v>0.18159189565316883</v>
      </c>
      <c r="P27" s="132">
        <f t="shared" si="4"/>
        <v>0.12774268271909017</v>
      </c>
      <c r="Q27" s="132">
        <f t="shared" si="5"/>
        <v>5.8574039333854543E-2</v>
      </c>
      <c r="R27" s="132">
        <f t="shared" si="6"/>
        <v>0.1882436085627652</v>
      </c>
    </row>
    <row r="28" spans="2:18">
      <c r="B28" s="284">
        <v>2009</v>
      </c>
      <c r="C28" s="134">
        <f>Nuclear!H30</f>
        <v>2558.06</v>
      </c>
      <c r="D28" s="135">
        <f>Wind!E30</f>
        <v>277.8</v>
      </c>
      <c r="E28" s="136">
        <f>Hydro!F19</f>
        <v>600.39150991199995</v>
      </c>
      <c r="F28" s="136">
        <f>'Biomass &amp; Waste'!G18</f>
        <v>341.35783381350001</v>
      </c>
      <c r="G28" s="136">
        <f>PV!G30</f>
        <v>19.3</v>
      </c>
      <c r="H28" s="140">
        <f>Geothermal!H18</f>
        <v>67.95057048192001</v>
      </c>
      <c r="I28" s="140">
        <f t="shared" si="0"/>
        <v>1306.79991420742</v>
      </c>
      <c r="J28" s="137">
        <f>'Cogeneration (CHP)'!J18</f>
        <v>2672.605971116403</v>
      </c>
      <c r="K28" s="138">
        <f>F28+J28+G28+D28+E28+H28</f>
        <v>3979.405885323823</v>
      </c>
      <c r="L28" s="139">
        <f>K28/C28*100</f>
        <v>155.56343030749173</v>
      </c>
      <c r="M28" s="139">
        <f>Hydro!L19</f>
        <v>2660.28385961906</v>
      </c>
      <c r="N28" s="134">
        <v>20093.560532533498</v>
      </c>
      <c r="O28" s="132">
        <f>K28/N28</f>
        <v>0.19804383990984395</v>
      </c>
      <c r="P28" s="132">
        <f t="shared" si="4"/>
        <v>0.12730745234814125</v>
      </c>
      <c r="Q28" s="132">
        <f t="shared" si="5"/>
        <v>6.5035756708801282E-2</v>
      </c>
      <c r="R28" s="132">
        <f t="shared" si="6"/>
        <v>0.19743060307322696</v>
      </c>
    </row>
    <row r="29" spans="2:18">
      <c r="B29" s="284">
        <v>2010</v>
      </c>
      <c r="C29" s="134">
        <f>Nuclear!H31</f>
        <v>2629.82</v>
      </c>
      <c r="D29" s="135">
        <f>Wind!E31</f>
        <v>343.4</v>
      </c>
      <c r="E29" s="136">
        <f>Hydro!F20</f>
        <v>619.5138989940001</v>
      </c>
      <c r="F29" s="136">
        <f>'Biomass &amp; Waste'!G19</f>
        <v>374.05541924099998</v>
      </c>
      <c r="G29" s="136">
        <f>PV!G31</f>
        <v>31.4</v>
      </c>
      <c r="H29" s="140">
        <f>Geothermal!G19</f>
        <v>67.2</v>
      </c>
      <c r="I29" s="140">
        <f t="shared" si="0"/>
        <v>1435.5693182350003</v>
      </c>
      <c r="J29" s="137">
        <f>'Cogeneration (CHP)'!J19</f>
        <v>2856.5875822224948</v>
      </c>
      <c r="K29" s="138">
        <f>F29+J29+G29+D29+E29+H29</f>
        <v>4292.1569004574949</v>
      </c>
      <c r="L29" s="139">
        <f>K29/C29*100</f>
        <v>163.21105248486566</v>
      </c>
      <c r="M29" s="139">
        <f>Hydro!L20</f>
        <v>2844.7861010060001</v>
      </c>
      <c r="N29" s="317">
        <v>21404.504400623799</v>
      </c>
      <c r="O29" s="132">
        <f>K29/N29</f>
        <v>0.20052587156993026</v>
      </c>
      <c r="P29" s="132">
        <f t="shared" si="4"/>
        <v>0.12286292411999777</v>
      </c>
      <c r="Q29" s="132">
        <f t="shared" si="5"/>
        <v>6.7068561428274096E-2</v>
      </c>
      <c r="R29" s="132">
        <f t="shared" si="6"/>
        <v>0.19997451653756843</v>
      </c>
    </row>
    <row r="30" spans="2:18">
      <c r="B30" s="284">
        <v>2011</v>
      </c>
      <c r="C30" s="134">
        <f>Nuclear!H32</f>
        <v>2517.98</v>
      </c>
      <c r="D30" s="135">
        <f>Wind!E32</f>
        <v>436.5</v>
      </c>
      <c r="E30" s="136">
        <f>Hydro!F21</f>
        <v>639.47337971400009</v>
      </c>
      <c r="F30" s="136">
        <f>'Biomass &amp; Waste'!G20</f>
        <v>402.39390955049993</v>
      </c>
      <c r="G30" s="136">
        <f>PV!G32</f>
        <v>60.6</v>
      </c>
      <c r="H30" s="140">
        <f>Geothermal!G20</f>
        <v>69</v>
      </c>
      <c r="I30" s="140">
        <f>SUM(D30:H30)</f>
        <v>1607.9672892645001</v>
      </c>
      <c r="J30" s="137">
        <f>'Cogeneration (CHP)'!J20</f>
        <v>3098.636138965674</v>
      </c>
      <c r="K30" s="138">
        <f>F30+J30+G30+D30+E30+H30</f>
        <v>4706.6034282301734</v>
      </c>
      <c r="L30" s="139">
        <f>K30/C30*100</f>
        <v>186.91980985671742</v>
      </c>
      <c r="M30" s="139">
        <f>Hydro!L21</f>
        <v>2876.0266202859998</v>
      </c>
      <c r="N30" s="317">
        <v>22050.9127457346</v>
      </c>
      <c r="O30" s="132">
        <f t="shared" ref="O30:O33" si="7">K30/N30</f>
        <v>0.21344256732141809</v>
      </c>
      <c r="P30" s="132">
        <f t="shared" si="4"/>
        <v>0.11418937751168887</v>
      </c>
      <c r="Q30" s="132">
        <f t="shared" si="5"/>
        <v>7.2920668083253648E-2</v>
      </c>
      <c r="R30" s="132">
        <f t="shared" si="6"/>
        <v>0.20334731542656242</v>
      </c>
    </row>
    <row r="31" spans="2:18">
      <c r="B31" s="284">
        <v>2012</v>
      </c>
      <c r="C31" s="134">
        <f>Nuclear!H33</f>
        <v>2346.19</v>
      </c>
      <c r="D31" s="135">
        <f>Wind!E33</f>
        <v>525.1</v>
      </c>
      <c r="E31" s="136">
        <f>Hydro!F22</f>
        <v>656.32347257399999</v>
      </c>
      <c r="F31" s="136">
        <f>'Biomass &amp; Waste'!G21</f>
        <v>446.99668942950001</v>
      </c>
      <c r="G31" s="136">
        <f>PV!G33</f>
        <v>96.7</v>
      </c>
      <c r="H31" s="140">
        <f>Geothermal!G21</f>
        <v>72</v>
      </c>
      <c r="I31" s="140">
        <f t="shared" ref="I31:I33" si="8">SUM(D31:H31)</f>
        <v>1797.1201620035001</v>
      </c>
      <c r="J31" s="137">
        <f>'Cogeneration (CHP)'!J21</f>
        <v>3338.5516939298632</v>
      </c>
      <c r="K31" s="138">
        <f t="shared" ref="K31:K33" si="9">F31+J31+G31+D31+E31+H31</f>
        <v>5135.6718559333631</v>
      </c>
      <c r="L31" s="139">
        <f t="shared" ref="L31:L33" si="10">K31/C31*100</f>
        <v>218.89411581898153</v>
      </c>
      <c r="M31" s="139">
        <f>Hydro!L22</f>
        <v>3028.6765274260001</v>
      </c>
      <c r="N31" s="317">
        <v>22630.400000000001</v>
      </c>
      <c r="O31" s="132">
        <f t="shared" si="7"/>
        <v>0.22693685732171603</v>
      </c>
      <c r="P31" s="132">
        <f t="shared" si="4"/>
        <v>0.10367426117081448</v>
      </c>
      <c r="Q31" s="132">
        <f t="shared" si="5"/>
        <v>7.9411771864549452E-2</v>
      </c>
      <c r="R31" s="132">
        <f t="shared" si="6"/>
        <v>0.21324398549868762</v>
      </c>
    </row>
    <row r="32" spans="2:18">
      <c r="B32" s="284">
        <v>2013</v>
      </c>
      <c r="C32" s="134">
        <f>Nuclear!H34</f>
        <v>2358.86</v>
      </c>
      <c r="D32" s="135">
        <f>Wind!E34</f>
        <v>640.70000000000005</v>
      </c>
      <c r="E32" s="136">
        <f>Hydro!F23</f>
        <v>674.25998841000001</v>
      </c>
      <c r="F32" s="136">
        <f>'Biomass &amp; Waste'!G22</f>
        <v>481.58641814849994</v>
      </c>
      <c r="G32" s="136">
        <f>PV!G34</f>
        <v>134.5</v>
      </c>
      <c r="H32" s="140">
        <f>Geothermal!G22</f>
        <v>76</v>
      </c>
      <c r="I32" s="136">
        <f t="shared" si="8"/>
        <v>2007.0464065584999</v>
      </c>
      <c r="J32" s="137">
        <f>'Cogeneration (CHP)'!J22</f>
        <v>3589.1672344672543</v>
      </c>
      <c r="K32" s="290">
        <f t="shared" si="9"/>
        <v>5596.2136410257544</v>
      </c>
      <c r="L32" s="134">
        <f t="shared" si="10"/>
        <v>237.24229674612965</v>
      </c>
      <c r="M32" s="139">
        <f>Hydro!L23</f>
        <v>3133.5400115900002</v>
      </c>
      <c r="N32" s="134">
        <v>23184</v>
      </c>
      <c r="O32" s="132">
        <f t="shared" si="7"/>
        <v>0.2413825759586678</v>
      </c>
      <c r="P32" s="132">
        <f t="shared" si="4"/>
        <v>0.10174516908212561</v>
      </c>
      <c r="Q32" s="132">
        <f t="shared" si="5"/>
        <v>8.6570324644517763E-2</v>
      </c>
      <c r="R32" s="132">
        <f t="shared" si="6"/>
        <v>0.22172991796706781</v>
      </c>
    </row>
    <row r="33" spans="2:18" ht="14" thickBot="1">
      <c r="B33" s="244">
        <v>2014</v>
      </c>
      <c r="C33" s="141">
        <f>Nuclear!H35</f>
        <v>2410.37</v>
      </c>
      <c r="D33" s="142">
        <f>Wind!E35</f>
        <v>706.2</v>
      </c>
      <c r="E33" s="143">
        <f>Hydro!F24</f>
        <v>692.36824771800002</v>
      </c>
      <c r="F33" s="143">
        <f>'Biomass &amp; Waste'!G23</f>
        <v>533.79059986350001</v>
      </c>
      <c r="G33" s="143">
        <f>PV!G35</f>
        <v>185.9</v>
      </c>
      <c r="H33" s="295">
        <f>Geothermal!G23</f>
        <v>74</v>
      </c>
      <c r="I33" s="143">
        <f t="shared" si="8"/>
        <v>2192.2588475815</v>
      </c>
      <c r="J33" s="296">
        <f>'Cogeneration (CHP)'!J23</f>
        <v>3877.5205502396693</v>
      </c>
      <c r="K33" s="144">
        <f t="shared" si="9"/>
        <v>6069.7793978211685</v>
      </c>
      <c r="L33" s="141">
        <f t="shared" si="10"/>
        <v>251.8194052291212</v>
      </c>
      <c r="M33" s="145">
        <f>Hydro!L24</f>
        <v>3192.2317522819999</v>
      </c>
      <c r="N33" s="141">
        <v>23536.5</v>
      </c>
      <c r="O33" s="133">
        <f t="shared" si="7"/>
        <v>0.25788793566678003</v>
      </c>
      <c r="P33" s="398">
        <f t="shared" si="4"/>
        <v>0.10240987402544983</v>
      </c>
      <c r="Q33" s="398">
        <f>I33/N33</f>
        <v>9.3142941711023303E-2</v>
      </c>
      <c r="R33" s="133">
        <f t="shared" si="6"/>
        <v>0.22877193294939777</v>
      </c>
    </row>
    <row r="34" spans="2:18">
      <c r="B34" s="76"/>
      <c r="C34" s="71"/>
      <c r="D34" s="100"/>
      <c r="E34" s="71"/>
      <c r="F34" s="71"/>
      <c r="G34" s="71"/>
      <c r="H34" s="81"/>
      <c r="I34" s="81"/>
      <c r="J34" s="81"/>
      <c r="K34" s="75"/>
      <c r="L34" s="75"/>
      <c r="M34" s="101"/>
      <c r="N34" s="102"/>
      <c r="O34" s="103"/>
      <c r="P34" s="78"/>
      <c r="Q34" s="78"/>
      <c r="R34" s="78"/>
    </row>
    <row r="35" spans="2:18">
      <c r="B35" s="76"/>
      <c r="C35" s="71"/>
      <c r="D35" s="100"/>
      <c r="E35" s="71"/>
      <c r="F35" s="71"/>
      <c r="G35" s="71"/>
      <c r="H35" s="81"/>
      <c r="I35" s="81"/>
      <c r="J35" s="81"/>
      <c r="K35" s="75"/>
      <c r="L35" s="75"/>
      <c r="M35" s="101"/>
      <c r="N35" s="102"/>
      <c r="O35" s="103"/>
      <c r="P35" s="78"/>
      <c r="Q35" s="78"/>
      <c r="R35" s="78"/>
    </row>
    <row r="36" spans="2:18">
      <c r="B36" s="76"/>
      <c r="C36" s="71"/>
      <c r="D36" s="100"/>
      <c r="E36" s="71"/>
      <c r="F36" s="71"/>
      <c r="G36" s="71"/>
      <c r="H36" s="81"/>
      <c r="I36" s="81"/>
      <c r="J36" s="81"/>
      <c r="K36" s="75"/>
      <c r="L36" s="75"/>
      <c r="M36" s="101"/>
      <c r="N36" s="102"/>
      <c r="O36" s="103"/>
      <c r="P36" s="78"/>
      <c r="Q36" s="78"/>
      <c r="R36" s="78"/>
    </row>
    <row r="37" spans="2:18">
      <c r="B37" s="77"/>
      <c r="C37" s="71"/>
      <c r="D37" s="100"/>
      <c r="E37" s="71"/>
      <c r="F37" s="71"/>
      <c r="G37" s="71"/>
      <c r="H37" s="71"/>
      <c r="I37" s="71"/>
      <c r="J37" s="71"/>
      <c r="K37" s="71"/>
      <c r="L37" s="71"/>
      <c r="M37" s="124"/>
      <c r="N37" s="102"/>
      <c r="O37" s="125"/>
      <c r="P37" s="126"/>
      <c r="Q37" s="126"/>
      <c r="R37" s="78"/>
    </row>
    <row r="38" spans="2:18">
      <c r="B38" s="77"/>
      <c r="C38" s="71"/>
      <c r="D38" s="100"/>
      <c r="E38" s="71"/>
      <c r="F38" s="71"/>
      <c r="G38" s="71"/>
      <c r="H38" s="71"/>
      <c r="I38" s="71"/>
      <c r="J38" s="71"/>
      <c r="K38" s="71"/>
      <c r="L38" s="71"/>
      <c r="M38" s="124"/>
      <c r="N38" s="102"/>
      <c r="O38" s="125"/>
      <c r="P38" s="126"/>
      <c r="Q38" s="126"/>
      <c r="R38" s="78"/>
    </row>
    <row r="39" spans="2:18">
      <c r="B39" s="126"/>
      <c r="C39" s="126"/>
      <c r="D39" s="126"/>
      <c r="E39" s="126"/>
      <c r="F39" s="126"/>
      <c r="G39" s="126"/>
      <c r="H39" s="126"/>
      <c r="I39" s="126"/>
      <c r="J39" s="126"/>
      <c r="K39" s="126"/>
      <c r="L39" s="126"/>
      <c r="M39" s="126"/>
      <c r="N39" s="126"/>
      <c r="O39" s="126"/>
      <c r="P39" s="126"/>
      <c r="Q39" s="126"/>
      <c r="R39" s="78"/>
    </row>
    <row r="40" spans="2:18">
      <c r="B40" s="77"/>
      <c r="C40" s="126"/>
      <c r="D40" s="126"/>
      <c r="E40" s="77"/>
      <c r="F40" s="77"/>
      <c r="G40" s="407"/>
      <c r="H40" s="407"/>
      <c r="I40" s="77"/>
      <c r="J40" s="126"/>
      <c r="K40" s="77"/>
      <c r="L40" s="77"/>
      <c r="M40" s="77"/>
      <c r="N40" s="77"/>
      <c r="O40" s="77"/>
      <c r="P40" s="126"/>
      <c r="Q40" s="126"/>
    </row>
    <row r="41" spans="2:18">
      <c r="B41" s="77"/>
      <c r="C41" s="77"/>
      <c r="D41" s="77"/>
      <c r="E41" s="77"/>
      <c r="F41" s="77"/>
      <c r="G41" s="77"/>
      <c r="H41" s="77"/>
      <c r="I41" s="77"/>
      <c r="J41" s="77"/>
      <c r="K41" s="77"/>
      <c r="L41" s="77"/>
      <c r="M41" s="77"/>
      <c r="N41" s="77"/>
      <c r="O41" s="77"/>
      <c r="P41" s="126"/>
      <c r="Q41" s="126"/>
    </row>
    <row r="42" spans="2:18">
      <c r="B42" s="77"/>
      <c r="C42" s="77"/>
      <c r="D42" s="77"/>
      <c r="E42" s="77"/>
      <c r="F42" s="77"/>
      <c r="G42" s="77"/>
      <c r="H42" s="77"/>
      <c r="I42" s="77"/>
      <c r="J42" s="77"/>
      <c r="K42" s="77"/>
      <c r="L42" s="77"/>
      <c r="M42" s="77"/>
      <c r="N42" s="77"/>
      <c r="O42" s="77"/>
      <c r="P42" s="126"/>
      <c r="Q42" s="126"/>
    </row>
    <row r="43" spans="2:18">
      <c r="B43" s="77"/>
      <c r="C43" s="77"/>
      <c r="D43" s="77"/>
      <c r="E43" s="77"/>
      <c r="F43" s="77"/>
      <c r="G43" s="77"/>
      <c r="H43" s="77"/>
      <c r="I43" s="77"/>
      <c r="J43" s="77"/>
      <c r="K43" s="77"/>
      <c r="L43" s="77"/>
      <c r="M43" s="77"/>
      <c r="N43" s="77"/>
      <c r="O43" s="126"/>
      <c r="P43" s="126"/>
      <c r="Q43" s="126"/>
    </row>
    <row r="44" spans="2:18">
      <c r="B44" s="77"/>
      <c r="C44" s="71"/>
      <c r="D44" s="71"/>
      <c r="E44" s="71"/>
      <c r="F44" s="71"/>
      <c r="G44" s="71"/>
      <c r="H44" s="71"/>
      <c r="I44" s="71"/>
      <c r="J44" s="71"/>
      <c r="K44" s="71"/>
      <c r="L44" s="71"/>
      <c r="M44" s="131"/>
      <c r="N44" s="126"/>
      <c r="O44" s="126"/>
      <c r="P44" s="71"/>
      <c r="Q44" s="126"/>
    </row>
    <row r="45" spans="2:18">
      <c r="B45" s="77"/>
      <c r="C45" s="71"/>
      <c r="D45" s="71"/>
      <c r="E45" s="71"/>
      <c r="F45" s="71"/>
      <c r="G45" s="71"/>
      <c r="H45" s="71"/>
      <c r="I45" s="71"/>
      <c r="J45" s="71"/>
      <c r="K45" s="71"/>
      <c r="L45" s="71"/>
      <c r="M45" s="131"/>
      <c r="N45" s="126"/>
      <c r="O45" s="126"/>
      <c r="P45" s="71"/>
      <c r="Q45" s="126"/>
    </row>
    <row r="46" spans="2:18">
      <c r="B46" s="126"/>
      <c r="C46" s="126"/>
      <c r="D46" s="126"/>
      <c r="E46" s="126"/>
      <c r="F46" s="126"/>
      <c r="G46" s="126"/>
      <c r="H46" s="126"/>
      <c r="I46" s="126"/>
      <c r="J46" s="126"/>
      <c r="K46" s="126"/>
      <c r="L46" s="126"/>
      <c r="M46" s="126"/>
      <c r="N46" s="126"/>
      <c r="O46" s="126"/>
      <c r="P46" s="126"/>
      <c r="Q46" s="126"/>
    </row>
    <row r="47" spans="2:18">
      <c r="B47" s="77"/>
      <c r="C47" s="71"/>
      <c r="D47" s="71"/>
      <c r="E47" s="71"/>
      <c r="F47" s="71"/>
      <c r="G47" s="71"/>
      <c r="H47" s="71"/>
      <c r="I47" s="71"/>
      <c r="J47" s="71"/>
      <c r="K47" s="71"/>
      <c r="L47" s="71"/>
      <c r="M47" s="71"/>
      <c r="N47" s="71"/>
      <c r="O47" s="126"/>
      <c r="P47" s="71"/>
      <c r="Q47" s="126"/>
    </row>
    <row r="48" spans="2:18">
      <c r="B48" s="77"/>
      <c r="C48" s="71"/>
      <c r="D48" s="71"/>
      <c r="E48" s="71"/>
      <c r="F48" s="71"/>
      <c r="G48" s="71"/>
      <c r="H48" s="71"/>
      <c r="I48" s="71"/>
      <c r="J48" s="71"/>
      <c r="K48" s="71"/>
      <c r="L48" s="71"/>
      <c r="M48" s="71"/>
      <c r="N48" s="71"/>
      <c r="O48" s="126"/>
      <c r="P48" s="71"/>
      <c r="Q48" s="126"/>
    </row>
    <row r="49" spans="2:17">
      <c r="B49" s="77"/>
      <c r="C49" s="71"/>
      <c r="D49" s="71"/>
      <c r="E49" s="71"/>
      <c r="F49" s="71"/>
      <c r="G49" s="71"/>
      <c r="H49" s="71"/>
      <c r="I49" s="71"/>
      <c r="J49" s="71"/>
      <c r="K49" s="71"/>
      <c r="L49" s="71"/>
      <c r="M49" s="71"/>
      <c r="N49" s="71"/>
      <c r="O49" s="126"/>
      <c r="P49" s="71"/>
      <c r="Q49" s="126"/>
    </row>
    <row r="50" spans="2:17">
      <c r="B50" s="77"/>
      <c r="C50" s="71"/>
      <c r="D50" s="71"/>
      <c r="E50" s="71"/>
      <c r="F50" s="71"/>
      <c r="G50" s="71"/>
      <c r="H50" s="71"/>
      <c r="I50" s="71"/>
      <c r="J50" s="71"/>
      <c r="K50" s="71"/>
      <c r="L50" s="71"/>
      <c r="M50" s="71"/>
      <c r="N50" s="71"/>
      <c r="O50" s="126"/>
      <c r="P50" s="71"/>
      <c r="Q50" s="126"/>
    </row>
    <row r="51" spans="2:17">
      <c r="B51" s="77"/>
      <c r="C51" s="71"/>
      <c r="D51" s="71"/>
      <c r="E51" s="71"/>
      <c r="F51" s="71"/>
      <c r="G51" s="71"/>
      <c r="H51" s="71"/>
      <c r="I51" s="71"/>
      <c r="J51" s="71"/>
      <c r="K51" s="71"/>
      <c r="L51" s="71"/>
      <c r="M51" s="71"/>
      <c r="N51" s="71"/>
      <c r="O51" s="126"/>
      <c r="P51" s="71"/>
      <c r="Q51" s="126"/>
    </row>
    <row r="52" spans="2:17">
      <c r="B52" s="77"/>
      <c r="C52" s="71"/>
      <c r="D52" s="71"/>
      <c r="E52" s="71"/>
      <c r="F52" s="71"/>
      <c r="G52" s="71"/>
      <c r="H52" s="71"/>
      <c r="I52" s="71"/>
      <c r="J52" s="71"/>
      <c r="K52" s="71"/>
      <c r="L52" s="71"/>
      <c r="M52" s="71"/>
      <c r="N52" s="71"/>
      <c r="O52" s="126"/>
      <c r="P52" s="71"/>
      <c r="Q52" s="126"/>
    </row>
    <row r="53" spans="2:17">
      <c r="B53" s="77"/>
      <c r="C53" s="71"/>
      <c r="D53" s="71"/>
      <c r="E53" s="71"/>
      <c r="F53" s="71"/>
      <c r="G53" s="71"/>
      <c r="H53" s="71"/>
      <c r="I53" s="71"/>
      <c r="J53" s="71"/>
      <c r="K53" s="71"/>
      <c r="L53" s="71"/>
      <c r="M53" s="71"/>
      <c r="N53" s="71"/>
      <c r="O53" s="126"/>
      <c r="P53" s="71"/>
      <c r="Q53" s="126"/>
    </row>
    <row r="54" spans="2:17">
      <c r="B54" s="77"/>
      <c r="C54" s="71"/>
      <c r="D54" s="71"/>
      <c r="E54" s="71"/>
      <c r="F54" s="71"/>
      <c r="G54" s="71"/>
      <c r="H54" s="71"/>
      <c r="I54" s="71"/>
      <c r="J54" s="71"/>
      <c r="K54" s="71"/>
      <c r="L54" s="71"/>
      <c r="M54" s="71"/>
      <c r="N54" s="71"/>
      <c r="O54" s="126"/>
      <c r="P54" s="71"/>
      <c r="Q54" s="126"/>
    </row>
    <row r="55" spans="2:17">
      <c r="B55" s="77"/>
      <c r="C55" s="71"/>
      <c r="D55" s="71"/>
      <c r="E55" s="71"/>
      <c r="F55" s="71"/>
      <c r="G55" s="71"/>
      <c r="H55" s="71"/>
      <c r="I55" s="71"/>
      <c r="J55" s="71"/>
      <c r="K55" s="71"/>
      <c r="L55" s="71"/>
      <c r="M55" s="71"/>
      <c r="N55" s="71"/>
      <c r="O55" s="126"/>
      <c r="P55" s="71"/>
      <c r="Q55" s="126"/>
    </row>
    <row r="56" spans="2:17">
      <c r="B56" s="77"/>
      <c r="C56" s="71"/>
      <c r="D56" s="71"/>
      <c r="E56" s="71"/>
      <c r="F56" s="71"/>
      <c r="G56" s="71"/>
      <c r="H56" s="71"/>
      <c r="I56" s="71"/>
      <c r="J56" s="71"/>
      <c r="K56" s="71"/>
      <c r="L56" s="71"/>
      <c r="M56" s="71"/>
      <c r="N56" s="71"/>
      <c r="O56" s="126"/>
      <c r="P56" s="71"/>
      <c r="Q56" s="126"/>
    </row>
    <row r="57" spans="2:17">
      <c r="B57" s="77"/>
      <c r="C57" s="71"/>
      <c r="D57" s="71"/>
      <c r="E57" s="71"/>
      <c r="F57" s="71"/>
      <c r="G57" s="71"/>
      <c r="H57" s="71"/>
      <c r="I57" s="71"/>
      <c r="J57" s="71"/>
      <c r="K57" s="71"/>
      <c r="L57" s="71"/>
      <c r="M57" s="71"/>
      <c r="N57" s="71"/>
      <c r="O57" s="126"/>
      <c r="P57" s="71"/>
      <c r="Q57" s="126"/>
    </row>
    <row r="58" spans="2:17">
      <c r="B58" s="77"/>
      <c r="C58" s="71"/>
      <c r="D58" s="71"/>
      <c r="E58" s="71"/>
      <c r="F58" s="71"/>
      <c r="G58" s="71"/>
      <c r="H58" s="71"/>
      <c r="I58" s="71"/>
      <c r="J58" s="71"/>
      <c r="K58" s="71"/>
      <c r="L58" s="71"/>
      <c r="M58" s="71"/>
      <c r="N58" s="71"/>
      <c r="O58" s="126"/>
      <c r="P58" s="71"/>
      <c r="Q58" s="126"/>
    </row>
    <row r="59" spans="2:17">
      <c r="B59" s="77"/>
      <c r="C59" s="71"/>
      <c r="D59" s="71"/>
      <c r="E59" s="71"/>
      <c r="F59" s="71"/>
      <c r="G59" s="71"/>
      <c r="H59" s="71"/>
      <c r="I59" s="71"/>
      <c r="J59" s="71"/>
      <c r="K59" s="71"/>
      <c r="L59" s="71"/>
      <c r="M59" s="71"/>
      <c r="N59" s="71"/>
      <c r="O59" s="126"/>
      <c r="P59" s="71"/>
      <c r="Q59" s="126"/>
    </row>
    <row r="60" spans="2:17">
      <c r="B60" s="126"/>
      <c r="C60" s="126"/>
      <c r="D60" s="126"/>
      <c r="E60" s="126"/>
      <c r="F60" s="126"/>
      <c r="G60" s="126"/>
      <c r="H60" s="126"/>
      <c r="I60" s="126"/>
      <c r="J60" s="126"/>
      <c r="K60" s="126"/>
      <c r="L60" s="126"/>
      <c r="M60" s="126"/>
      <c r="N60" s="126"/>
      <c r="O60" s="126"/>
      <c r="P60" s="71"/>
      <c r="Q60" s="126"/>
    </row>
    <row r="61" spans="2:17">
      <c r="B61" s="77"/>
      <c r="C61" s="126"/>
      <c r="D61" s="126"/>
      <c r="E61" s="126"/>
      <c r="F61" s="126"/>
      <c r="G61" s="126"/>
      <c r="H61" s="126"/>
      <c r="I61" s="126"/>
      <c r="J61" s="126"/>
      <c r="K61" s="126"/>
      <c r="L61" s="126"/>
      <c r="M61" s="126"/>
      <c r="N61" s="126"/>
      <c r="O61" s="126"/>
      <c r="P61" s="126"/>
      <c r="Q61" s="126"/>
    </row>
    <row r="62" spans="2:17">
      <c r="B62" s="126"/>
      <c r="C62" s="126"/>
      <c r="D62" s="126"/>
      <c r="E62" s="126"/>
      <c r="F62" s="126"/>
      <c r="G62" s="126"/>
      <c r="H62" s="126"/>
      <c r="I62" s="126"/>
      <c r="J62" s="126"/>
      <c r="K62" s="126"/>
      <c r="L62" s="126"/>
      <c r="M62" s="126"/>
      <c r="N62" s="126"/>
      <c r="O62" s="126"/>
      <c r="P62" s="126"/>
      <c r="Q62" s="126"/>
    </row>
    <row r="63" spans="2:17" ht="14" thickBot="1">
      <c r="D63" s="127" t="s">
        <v>45</v>
      </c>
      <c r="E63" s="128"/>
      <c r="F63" s="129"/>
      <c r="G63" s="129"/>
      <c r="H63" s="129"/>
      <c r="I63" s="129"/>
      <c r="J63" s="129"/>
      <c r="K63" s="128"/>
      <c r="L63" s="128"/>
      <c r="M63" s="128"/>
      <c r="N63" s="128"/>
      <c r="O63" s="128"/>
      <c r="P63" s="130"/>
    </row>
    <row r="64" spans="2:17">
      <c r="D64" s="79"/>
      <c r="E64" s="84"/>
      <c r="F64" s="85"/>
      <c r="G64" s="85"/>
      <c r="H64" s="85"/>
      <c r="I64" s="85"/>
      <c r="J64" s="85"/>
      <c r="K64" s="86"/>
      <c r="L64" s="86"/>
      <c r="M64" s="86"/>
      <c r="N64" s="86"/>
      <c r="O64" s="70"/>
      <c r="P64" s="87"/>
    </row>
    <row r="65" spans="4:16">
      <c r="D65" s="80" t="s">
        <v>69</v>
      </c>
      <c r="E65" s="88" t="s">
        <v>6</v>
      </c>
      <c r="F65" s="89"/>
      <c r="G65" s="89"/>
      <c r="H65" s="89"/>
      <c r="I65" s="89"/>
      <c r="J65" s="89"/>
      <c r="K65" s="90"/>
      <c r="L65" s="90"/>
      <c r="M65" s="90"/>
      <c r="N65" s="90"/>
      <c r="O65" s="72"/>
      <c r="P65" s="91"/>
    </row>
    <row r="66" spans="4:16">
      <c r="D66" s="80"/>
      <c r="E66" s="88" t="s">
        <v>99</v>
      </c>
      <c r="F66" s="89"/>
      <c r="G66" s="89"/>
      <c r="H66" s="89"/>
      <c r="I66" s="89"/>
      <c r="J66" s="89"/>
      <c r="K66" s="90"/>
      <c r="L66" s="90"/>
      <c r="M66" s="90"/>
      <c r="N66" s="90"/>
      <c r="O66" s="72"/>
      <c r="P66" s="91"/>
    </row>
    <row r="67" spans="4:16">
      <c r="D67" s="80"/>
      <c r="E67" s="88"/>
      <c r="F67" s="89"/>
      <c r="G67" s="89"/>
      <c r="H67" s="89"/>
      <c r="I67" s="89"/>
      <c r="J67" s="89"/>
      <c r="K67" s="90"/>
      <c r="L67" s="90"/>
      <c r="M67" s="90"/>
      <c r="N67" s="90"/>
      <c r="O67" s="72"/>
      <c r="P67" s="91"/>
    </row>
    <row r="68" spans="4:16">
      <c r="D68" s="92" t="s">
        <v>71</v>
      </c>
      <c r="E68" s="88" t="s">
        <v>72</v>
      </c>
      <c r="F68" s="89"/>
      <c r="G68" s="89"/>
      <c r="H68" s="89"/>
      <c r="I68" s="89"/>
      <c r="J68" s="89"/>
      <c r="K68" s="90"/>
      <c r="L68" s="90"/>
      <c r="M68" s="90"/>
      <c r="N68" s="90"/>
      <c r="O68" s="72"/>
      <c r="P68" s="91"/>
    </row>
    <row r="69" spans="4:16">
      <c r="D69" s="92"/>
      <c r="E69" s="88" t="s">
        <v>99</v>
      </c>
      <c r="F69" s="89"/>
      <c r="G69" s="89"/>
      <c r="H69" s="89"/>
      <c r="I69" s="89"/>
      <c r="J69" s="89"/>
      <c r="K69" s="90"/>
      <c r="L69" s="90"/>
      <c r="M69" s="90"/>
      <c r="N69" s="90"/>
      <c r="O69" s="72"/>
      <c r="P69" s="91"/>
    </row>
    <row r="70" spans="4:16">
      <c r="D70" s="92"/>
      <c r="E70" s="93" t="s">
        <v>80</v>
      </c>
      <c r="F70" s="94"/>
      <c r="G70" s="94"/>
      <c r="H70" s="94"/>
      <c r="I70" s="94"/>
      <c r="J70" s="94"/>
      <c r="K70" s="95"/>
      <c r="L70" s="95"/>
      <c r="M70" s="95"/>
      <c r="N70" s="95"/>
      <c r="O70" s="96"/>
      <c r="P70" s="97"/>
    </row>
    <row r="71" spans="4:16">
      <c r="D71" s="98"/>
      <c r="E71" s="88"/>
      <c r="F71" s="89"/>
      <c r="G71" s="89"/>
      <c r="H71" s="89"/>
      <c r="I71" s="89"/>
      <c r="J71" s="89"/>
      <c r="K71" s="90"/>
      <c r="L71" s="90"/>
      <c r="M71" s="90"/>
      <c r="N71" s="90"/>
      <c r="O71" s="72"/>
      <c r="P71" s="91"/>
    </row>
    <row r="72" spans="4:16">
      <c r="D72" s="98"/>
      <c r="E72" s="79" t="s">
        <v>7</v>
      </c>
      <c r="F72" s="89"/>
      <c r="G72" s="89"/>
      <c r="H72" s="89"/>
      <c r="I72" s="89"/>
      <c r="J72" s="89"/>
      <c r="K72" s="90"/>
      <c r="L72" s="90"/>
      <c r="M72" s="90"/>
      <c r="N72" s="90"/>
      <c r="O72" s="72"/>
      <c r="P72" s="91"/>
    </row>
    <row r="73" spans="4:16" ht="14" thickBot="1">
      <c r="D73" s="82"/>
      <c r="E73" s="82"/>
      <c r="F73" s="99"/>
      <c r="G73" s="99"/>
      <c r="H73" s="99"/>
      <c r="I73" s="99"/>
      <c r="J73" s="99"/>
      <c r="K73" s="99"/>
      <c r="L73" s="99"/>
      <c r="M73" s="99"/>
      <c r="N73" s="99"/>
      <c r="O73" s="99"/>
      <c r="P73" s="83"/>
    </row>
  </sheetData>
  <mergeCells count="1">
    <mergeCell ref="G40:H40"/>
  </mergeCells>
  <phoneticPr fontId="7" type="noConversion"/>
  <pageMargins left="0.75" right="0.75" top="1" bottom="1" header="0.5" footer="0.5"/>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39997558519241921"/>
    <pageSetUpPr fitToPage="1"/>
  </sheetPr>
  <dimension ref="A2:R58"/>
  <sheetViews>
    <sheetView showGridLines="0" topLeftCell="A3" workbookViewId="0">
      <selection activeCell="J35" sqref="J35"/>
    </sheetView>
  </sheetViews>
  <sheetFormatPr baseColWidth="10" defaultColWidth="11" defaultRowHeight="13" x14ac:dyDescent="0"/>
  <cols>
    <col min="1" max="1" width="2.140625" style="69" customWidth="1"/>
    <col min="2" max="2" width="9.42578125" style="69" customWidth="1"/>
    <col min="3" max="3" width="10" style="69" customWidth="1"/>
    <col min="4" max="4" width="11" style="69"/>
    <col min="5" max="5" width="7.7109375" style="69" customWidth="1"/>
    <col min="6" max="6" width="10.5703125" style="69" customWidth="1"/>
    <col min="7" max="7" width="11.7109375" style="69" customWidth="1"/>
    <col min="8" max="8" width="14.5703125" style="69" customWidth="1"/>
    <col min="9" max="9" width="11.7109375" style="69" customWidth="1"/>
    <col min="10" max="10" width="10.7109375" style="69" customWidth="1"/>
    <col min="11" max="11" width="11.42578125" style="69" customWidth="1"/>
    <col min="12" max="16384" width="11" style="69"/>
  </cols>
  <sheetData>
    <row r="2" spans="2:10">
      <c r="B2" s="68" t="s">
        <v>146</v>
      </c>
    </row>
    <row r="3" spans="2:10">
      <c r="B3" s="68" t="s">
        <v>145</v>
      </c>
    </row>
    <row r="4" spans="2:10">
      <c r="B4" s="68" t="s">
        <v>224</v>
      </c>
    </row>
    <row r="5" spans="2:10">
      <c r="B5" s="68" t="s">
        <v>263</v>
      </c>
    </row>
    <row r="6" spans="2:10" ht="14" thickBot="1"/>
    <row r="7" spans="2:10" ht="14" thickBot="1">
      <c r="B7" s="408" t="s">
        <v>160</v>
      </c>
      <c r="C7" s="409"/>
      <c r="D7" s="409"/>
      <c r="E7" s="409"/>
      <c r="F7" s="409"/>
      <c r="G7" s="409"/>
      <c r="H7" s="409"/>
      <c r="I7" s="409"/>
      <c r="J7" s="410"/>
    </row>
    <row r="8" spans="2:10">
      <c r="B8" s="152"/>
      <c r="C8" s="234" t="s">
        <v>17</v>
      </c>
      <c r="D8" s="234"/>
      <c r="E8" s="234"/>
      <c r="F8" s="234" t="s">
        <v>8</v>
      </c>
      <c r="G8" s="233" t="s">
        <v>66</v>
      </c>
      <c r="H8" s="152" t="s">
        <v>105</v>
      </c>
      <c r="I8" s="152" t="s">
        <v>83</v>
      </c>
      <c r="J8" s="152" t="s">
        <v>108</v>
      </c>
    </row>
    <row r="9" spans="2:10">
      <c r="B9" s="153"/>
      <c r="C9" s="236" t="s">
        <v>16</v>
      </c>
      <c r="D9" s="236" t="s">
        <v>18</v>
      </c>
      <c r="E9" s="236" t="s">
        <v>82</v>
      </c>
      <c r="F9" s="236" t="s">
        <v>9</v>
      </c>
      <c r="G9" s="235" t="s">
        <v>29</v>
      </c>
      <c r="H9" s="153" t="s">
        <v>52</v>
      </c>
      <c r="I9" s="153" t="s">
        <v>52</v>
      </c>
      <c r="J9" s="153" t="s">
        <v>103</v>
      </c>
    </row>
    <row r="10" spans="2:10" ht="14" thickBot="1">
      <c r="B10" s="153"/>
      <c r="C10" s="236" t="s">
        <v>159</v>
      </c>
      <c r="D10" s="236" t="s">
        <v>159</v>
      </c>
      <c r="E10" s="236" t="s">
        <v>159</v>
      </c>
      <c r="F10" s="236" t="s">
        <v>159</v>
      </c>
      <c r="G10" s="235" t="s">
        <v>159</v>
      </c>
      <c r="H10" s="153" t="s">
        <v>123</v>
      </c>
      <c r="I10" s="153" t="s">
        <v>123</v>
      </c>
      <c r="J10" s="153" t="s">
        <v>104</v>
      </c>
    </row>
    <row r="11" spans="2:10">
      <c r="B11" s="154">
        <v>1990</v>
      </c>
      <c r="C11" s="454">
        <v>10543</v>
      </c>
      <c r="D11" s="455">
        <v>4978</v>
      </c>
      <c r="E11" s="455"/>
      <c r="F11" s="456">
        <f t="shared" ref="F11:F29" si="0">C11-D11</f>
        <v>5565</v>
      </c>
      <c r="G11" s="311">
        <f>323171</f>
        <v>323171</v>
      </c>
      <c r="H11" s="447">
        <v>1908.807090009667</v>
      </c>
      <c r="I11" s="154"/>
      <c r="J11" s="154"/>
    </row>
    <row r="12" spans="2:10">
      <c r="B12" s="74">
        <v>1991</v>
      </c>
      <c r="C12" s="457">
        <v>3678</v>
      </c>
      <c r="D12" s="458">
        <v>1809</v>
      </c>
      <c r="E12" s="458"/>
      <c r="F12" s="459">
        <f t="shared" si="0"/>
        <v>1869</v>
      </c>
      <c r="G12" s="312">
        <f t="shared" ref="G12:G15" si="1">G13-F13</f>
        <v>325040</v>
      </c>
      <c r="H12" s="448">
        <v>1996.1400900000001</v>
      </c>
      <c r="I12" s="74"/>
      <c r="J12" s="74"/>
    </row>
    <row r="13" spans="2:10">
      <c r="B13" s="74">
        <v>1992</v>
      </c>
      <c r="C13" s="457">
        <v>4809</v>
      </c>
      <c r="D13" s="458">
        <v>2046</v>
      </c>
      <c r="E13" s="458"/>
      <c r="F13" s="459">
        <f t="shared" si="0"/>
        <v>2763</v>
      </c>
      <c r="G13" s="312">
        <f t="shared" si="1"/>
        <v>327803</v>
      </c>
      <c r="H13" s="448">
        <v>2015.6030599999999</v>
      </c>
      <c r="I13" s="74"/>
      <c r="J13" s="74"/>
    </row>
    <row r="14" spans="2:10">
      <c r="B14" s="74">
        <v>1993</v>
      </c>
      <c r="C14" s="457">
        <v>9012</v>
      </c>
      <c r="D14" s="458">
        <v>0</v>
      </c>
      <c r="E14" s="458"/>
      <c r="F14" s="459">
        <f t="shared" si="0"/>
        <v>9012</v>
      </c>
      <c r="G14" s="312">
        <f t="shared" si="1"/>
        <v>336815</v>
      </c>
      <c r="H14" s="448">
        <v>2081.6272820000004</v>
      </c>
      <c r="I14" s="74"/>
      <c r="J14" s="74"/>
    </row>
    <row r="15" spans="2:10">
      <c r="B15" s="74">
        <v>1994</v>
      </c>
      <c r="C15" s="457">
        <v>4332</v>
      </c>
      <c r="D15" s="458">
        <v>1414</v>
      </c>
      <c r="E15" s="458"/>
      <c r="F15" s="459">
        <f t="shared" si="0"/>
        <v>2918</v>
      </c>
      <c r="G15" s="312">
        <f t="shared" si="1"/>
        <v>339733</v>
      </c>
      <c r="H15" s="449">
        <v>2125.160042</v>
      </c>
      <c r="I15" s="74"/>
      <c r="J15" s="74"/>
    </row>
    <row r="16" spans="2:10">
      <c r="B16" s="74">
        <v>1995</v>
      </c>
      <c r="C16" s="457">
        <v>3536</v>
      </c>
      <c r="D16" s="458">
        <v>769</v>
      </c>
      <c r="E16" s="458"/>
      <c r="F16" s="459">
        <f t="shared" si="0"/>
        <v>2767</v>
      </c>
      <c r="G16" s="313">
        <v>342500</v>
      </c>
      <c r="H16" s="450">
        <v>2190.94</v>
      </c>
      <c r="I16" s="314">
        <v>2210.0500000000002</v>
      </c>
      <c r="J16" s="132">
        <f t="shared" ref="J16:J34" si="2">I16*1000000/(8766*G16)</f>
        <v>0.73610549052327257</v>
      </c>
    </row>
    <row r="17" spans="1:18">
      <c r="B17" s="74">
        <v>1996</v>
      </c>
      <c r="C17" s="457">
        <v>7080</v>
      </c>
      <c r="D17" s="458">
        <v>1285</v>
      </c>
      <c r="E17" s="458"/>
      <c r="F17" s="459">
        <f t="shared" si="0"/>
        <v>5795</v>
      </c>
      <c r="G17" s="356">
        <v>347280</v>
      </c>
      <c r="H17" s="451">
        <v>2269.39</v>
      </c>
      <c r="I17" s="314">
        <v>2291.5300000000002</v>
      </c>
      <c r="J17" s="132">
        <f t="shared" si="2"/>
        <v>0.75273880997043985</v>
      </c>
    </row>
    <row r="18" spans="1:18">
      <c r="B18" s="74">
        <v>1997</v>
      </c>
      <c r="C18" s="457">
        <v>3570</v>
      </c>
      <c r="D18" s="458">
        <v>2781</v>
      </c>
      <c r="E18" s="458"/>
      <c r="F18" s="459">
        <f t="shared" si="0"/>
        <v>789</v>
      </c>
      <c r="G18" s="356">
        <v>347880</v>
      </c>
      <c r="H18" s="451">
        <v>2263.79</v>
      </c>
      <c r="I18" s="314">
        <v>2271.31</v>
      </c>
      <c r="J18" s="132">
        <f t="shared" si="2"/>
        <v>0.74480997653896619</v>
      </c>
    </row>
    <row r="19" spans="1:18">
      <c r="B19" s="74">
        <v>1998</v>
      </c>
      <c r="C19" s="457">
        <v>2952</v>
      </c>
      <c r="D19" s="458">
        <v>4080</v>
      </c>
      <c r="E19" s="458"/>
      <c r="F19" s="459">
        <f t="shared" si="0"/>
        <v>-1128</v>
      </c>
      <c r="G19" s="356">
        <v>344900</v>
      </c>
      <c r="H19" s="451">
        <v>2298.27</v>
      </c>
      <c r="I19" s="314">
        <v>2316.0100000000002</v>
      </c>
      <c r="J19" s="132">
        <f t="shared" si="2"/>
        <v>0.76602998471849548</v>
      </c>
    </row>
    <row r="20" spans="1:18">
      <c r="B20" s="74">
        <v>1999</v>
      </c>
      <c r="C20" s="457">
        <v>2704</v>
      </c>
      <c r="D20" s="458">
        <v>652</v>
      </c>
      <c r="E20" s="458"/>
      <c r="F20" s="459">
        <f t="shared" si="0"/>
        <v>2052</v>
      </c>
      <c r="G20" s="356">
        <v>347350</v>
      </c>
      <c r="H20" s="452">
        <v>2378.9299999999998</v>
      </c>
      <c r="I20" s="314">
        <v>2393.13</v>
      </c>
      <c r="J20" s="132">
        <f t="shared" si="2"/>
        <v>0.78595471117142235</v>
      </c>
    </row>
    <row r="21" spans="1:18">
      <c r="B21" s="74">
        <v>2000</v>
      </c>
      <c r="C21" s="457">
        <v>3063</v>
      </c>
      <c r="D21" s="458">
        <v>1395</v>
      </c>
      <c r="E21" s="458"/>
      <c r="F21" s="459">
        <f t="shared" si="0"/>
        <v>1668</v>
      </c>
      <c r="G21" s="356">
        <v>349980</v>
      </c>
      <c r="H21" s="452">
        <v>2443.85</v>
      </c>
      <c r="I21" s="314">
        <v>2449.89</v>
      </c>
      <c r="J21" s="132">
        <f t="shared" si="2"/>
        <v>0.79854959151083205</v>
      </c>
    </row>
    <row r="22" spans="1:18">
      <c r="B22" s="74">
        <v>2001</v>
      </c>
      <c r="C22" s="457">
        <v>2696</v>
      </c>
      <c r="D22" s="458">
        <v>0</v>
      </c>
      <c r="E22" s="458"/>
      <c r="F22" s="459">
        <f t="shared" si="0"/>
        <v>2696</v>
      </c>
      <c r="G22" s="356">
        <v>352720</v>
      </c>
      <c r="H22" s="451">
        <v>2511.09</v>
      </c>
      <c r="I22" s="314">
        <v>2516.89</v>
      </c>
      <c r="J22" s="132">
        <f t="shared" si="2"/>
        <v>0.81401551604021538</v>
      </c>
    </row>
    <row r="23" spans="1:18" s="72" customFormat="1">
      <c r="B23" s="74">
        <v>2002</v>
      </c>
      <c r="C23" s="457">
        <v>5022</v>
      </c>
      <c r="D23" s="458">
        <v>1067</v>
      </c>
      <c r="E23" s="458"/>
      <c r="F23" s="459">
        <f t="shared" si="0"/>
        <v>3955</v>
      </c>
      <c r="G23" s="356">
        <v>357480</v>
      </c>
      <c r="H23" s="451">
        <v>2553.1799999999998</v>
      </c>
      <c r="I23" s="314">
        <v>2545.62</v>
      </c>
      <c r="J23" s="132">
        <f t="shared" si="2"/>
        <v>0.81234471400955066</v>
      </c>
      <c r="R23" s="69"/>
    </row>
    <row r="24" spans="1:18" s="72" customFormat="1">
      <c r="B24" s="156">
        <v>2003</v>
      </c>
      <c r="C24" s="457">
        <v>1600</v>
      </c>
      <c r="D24" s="458">
        <v>988</v>
      </c>
      <c r="E24" s="458"/>
      <c r="F24" s="459">
        <f t="shared" si="0"/>
        <v>612</v>
      </c>
      <c r="G24" s="356">
        <v>359830</v>
      </c>
      <c r="H24" s="451">
        <v>2504.7800000000002</v>
      </c>
      <c r="I24" s="314">
        <v>2517.75</v>
      </c>
      <c r="J24" s="132">
        <f t="shared" si="2"/>
        <v>0.79820376049127917</v>
      </c>
      <c r="R24" s="69"/>
    </row>
    <row r="25" spans="1:18">
      <c r="B25" s="74">
        <v>2004</v>
      </c>
      <c r="C25" s="457">
        <v>4785</v>
      </c>
      <c r="D25" s="458">
        <v>1385</v>
      </c>
      <c r="E25" s="458"/>
      <c r="F25" s="459">
        <f t="shared" si="0"/>
        <v>3400</v>
      </c>
      <c r="G25" s="356">
        <v>364670</v>
      </c>
      <c r="H25" s="451">
        <v>2616.2399999999998</v>
      </c>
      <c r="I25" s="314">
        <v>2617.3200000000002</v>
      </c>
      <c r="J25" s="132">
        <f t="shared" si="2"/>
        <v>0.81875755502424463</v>
      </c>
    </row>
    <row r="26" spans="1:18">
      <c r="A26" s="72"/>
      <c r="B26" s="74">
        <v>2005</v>
      </c>
      <c r="C26" s="457">
        <v>3823</v>
      </c>
      <c r="D26" s="458">
        <v>940</v>
      </c>
      <c r="E26" s="458"/>
      <c r="F26" s="459">
        <f t="shared" si="0"/>
        <v>2883</v>
      </c>
      <c r="G26" s="356">
        <v>368120</v>
      </c>
      <c r="H26" s="451">
        <v>2626.34</v>
      </c>
      <c r="I26" s="314">
        <v>2639.24</v>
      </c>
      <c r="J26" s="132">
        <f t="shared" si="2"/>
        <v>0.81787701829911974</v>
      </c>
    </row>
    <row r="27" spans="1:18">
      <c r="A27" s="72"/>
      <c r="B27" s="157">
        <v>2006</v>
      </c>
      <c r="C27" s="457">
        <v>1492</v>
      </c>
      <c r="D27" s="458">
        <v>2236</v>
      </c>
      <c r="E27" s="458"/>
      <c r="F27" s="459">
        <f t="shared" si="0"/>
        <v>-744</v>
      </c>
      <c r="G27" s="356">
        <v>369580</v>
      </c>
      <c r="H27" s="451">
        <v>2660.85</v>
      </c>
      <c r="I27" s="314">
        <v>2659.83</v>
      </c>
      <c r="J27" s="132">
        <f t="shared" si="2"/>
        <v>0.82100150386221937</v>
      </c>
    </row>
    <row r="28" spans="1:18">
      <c r="A28" s="72"/>
      <c r="B28" s="157">
        <v>2007</v>
      </c>
      <c r="C28" s="457">
        <v>1842</v>
      </c>
      <c r="D28" s="458">
        <v>0</v>
      </c>
      <c r="E28" s="458"/>
      <c r="F28" s="459">
        <f t="shared" si="0"/>
        <v>1842</v>
      </c>
      <c r="G28" s="356">
        <v>371710</v>
      </c>
      <c r="H28" s="451">
        <v>2608.1799999999998</v>
      </c>
      <c r="I28" s="314">
        <v>2597.6999999999998</v>
      </c>
      <c r="J28" s="132">
        <f t="shared" si="2"/>
        <v>0.79722935775795867</v>
      </c>
    </row>
    <row r="29" spans="1:18">
      <c r="B29" s="157">
        <v>2008</v>
      </c>
      <c r="C29" s="457">
        <v>0</v>
      </c>
      <c r="D29" s="458">
        <v>408</v>
      </c>
      <c r="E29" s="458"/>
      <c r="F29" s="459">
        <f t="shared" si="0"/>
        <v>-408</v>
      </c>
      <c r="G29" s="356">
        <v>371560</v>
      </c>
      <c r="H29" s="451">
        <v>2597.81</v>
      </c>
      <c r="I29" s="314">
        <v>2602.65</v>
      </c>
      <c r="J29" s="132">
        <f t="shared" si="2"/>
        <v>0.79907096107508024</v>
      </c>
    </row>
    <row r="30" spans="1:18">
      <c r="B30" s="157">
        <v>2009</v>
      </c>
      <c r="C30" s="457">
        <v>1068</v>
      </c>
      <c r="D30" s="458">
        <v>2506</v>
      </c>
      <c r="E30" s="458">
        <v>645</v>
      </c>
      <c r="F30" s="459">
        <f>C30-D30+E30</f>
        <v>-793</v>
      </c>
      <c r="G30" s="356">
        <v>370700</v>
      </c>
      <c r="H30" s="451">
        <v>2558.06</v>
      </c>
      <c r="I30" s="314">
        <v>2568.41</v>
      </c>
      <c r="J30" s="132">
        <f t="shared" si="2"/>
        <v>0.79038793051186496</v>
      </c>
    </row>
    <row r="31" spans="1:18">
      <c r="B31" s="157">
        <v>2010</v>
      </c>
      <c r="C31" s="457">
        <v>3779</v>
      </c>
      <c r="D31" s="458">
        <v>130</v>
      </c>
      <c r="E31" s="458">
        <v>926</v>
      </c>
      <c r="F31" s="459">
        <f>C31-D31+E31</f>
        <v>4575</v>
      </c>
      <c r="G31" s="356">
        <v>375280</v>
      </c>
      <c r="H31" s="451">
        <v>2629.82</v>
      </c>
      <c r="I31" s="314">
        <v>2629.82</v>
      </c>
      <c r="J31" s="132">
        <f t="shared" si="2"/>
        <v>0.7994091919162295</v>
      </c>
    </row>
    <row r="32" spans="1:18">
      <c r="B32" s="157">
        <v>2011</v>
      </c>
      <c r="C32" s="457">
        <v>4004</v>
      </c>
      <c r="D32" s="458">
        <v>11358</v>
      </c>
      <c r="E32" s="458">
        <v>1005</v>
      </c>
      <c r="F32" s="459">
        <f>G33-G32</f>
        <v>4340</v>
      </c>
      <c r="G32" s="356">
        <v>368920</v>
      </c>
      <c r="H32" s="451">
        <v>2517.98</v>
      </c>
      <c r="I32" s="314">
        <v>2517.98</v>
      </c>
      <c r="J32" s="132">
        <f t="shared" si="2"/>
        <v>0.77860754872136784</v>
      </c>
    </row>
    <row r="33" spans="2:11" ht="14" customHeight="1">
      <c r="B33" s="157">
        <v>2012</v>
      </c>
      <c r="C33" s="457">
        <v>2918</v>
      </c>
      <c r="D33" s="458">
        <v>1342</v>
      </c>
      <c r="E33" s="458">
        <v>952</v>
      </c>
      <c r="F33" s="459">
        <v>-7361</v>
      </c>
      <c r="G33" s="356">
        <v>373260</v>
      </c>
      <c r="H33" s="451">
        <v>2346.19</v>
      </c>
      <c r="I33" s="314">
        <v>2346.19</v>
      </c>
      <c r="J33" s="132">
        <f t="shared" si="2"/>
        <v>0.71705135587587121</v>
      </c>
    </row>
    <row r="34" spans="2:11">
      <c r="B34" s="157">
        <v>2013</v>
      </c>
      <c r="C34" s="457">
        <v>3986</v>
      </c>
      <c r="D34" s="458">
        <v>3576</v>
      </c>
      <c r="E34" s="458">
        <v>341</v>
      </c>
      <c r="F34" s="459">
        <f>G34-G33</f>
        <v>-1520</v>
      </c>
      <c r="G34" s="356">
        <v>371740</v>
      </c>
      <c r="H34" s="451">
        <v>2358.86</v>
      </c>
      <c r="I34" s="445">
        <v>2358.86</v>
      </c>
      <c r="J34" s="132">
        <f t="shared" si="2"/>
        <v>0.7238713782633055</v>
      </c>
    </row>
    <row r="35" spans="2:11" ht="14" thickBot="1">
      <c r="B35" s="158">
        <v>2014</v>
      </c>
      <c r="C35" s="460">
        <v>4721</v>
      </c>
      <c r="D35" s="461"/>
      <c r="E35" s="461"/>
      <c r="F35" s="462">
        <f>G35-G34</f>
        <v>4480</v>
      </c>
      <c r="G35" s="357">
        <v>376220</v>
      </c>
      <c r="H35" s="453">
        <v>2410.37</v>
      </c>
      <c r="I35" s="446">
        <v>2356.8000000000002</v>
      </c>
      <c r="J35" s="133">
        <f>I35*1000000/(8766*G35)</f>
        <v>0.7146269398128019</v>
      </c>
    </row>
    <row r="36" spans="2:11">
      <c r="B36" s="72"/>
      <c r="C36" s="150"/>
      <c r="D36" s="150"/>
      <c r="E36" s="78"/>
      <c r="F36" s="159"/>
      <c r="G36" s="159"/>
      <c r="H36" s="160"/>
      <c r="I36" s="160"/>
      <c r="J36" s="78"/>
    </row>
    <row r="37" spans="2:11">
      <c r="B37" s="68" t="s">
        <v>157</v>
      </c>
      <c r="C37" s="78"/>
      <c r="D37" s="78"/>
      <c r="E37" s="78"/>
      <c r="F37" s="78"/>
      <c r="G37" s="78"/>
      <c r="H37" s="78"/>
      <c r="I37" s="78"/>
      <c r="J37" s="78"/>
      <c r="K37" s="78"/>
    </row>
    <row r="38" spans="2:11" ht="14" thickBot="1">
      <c r="C38" s="78"/>
      <c r="D38" s="78"/>
      <c r="E38" s="78"/>
      <c r="F38" s="78"/>
      <c r="G38" s="78"/>
      <c r="H38" s="78"/>
      <c r="I38" s="78"/>
      <c r="J38" s="78"/>
      <c r="K38" s="78"/>
    </row>
    <row r="39" spans="2:11" ht="14" thickBot="1">
      <c r="B39" s="220" t="s">
        <v>45</v>
      </c>
      <c r="C39" s="162"/>
      <c r="D39" s="163"/>
      <c r="E39" s="163"/>
      <c r="F39" s="163"/>
      <c r="G39" s="163"/>
      <c r="H39" s="163"/>
      <c r="I39" s="162"/>
      <c r="J39" s="164"/>
    </row>
    <row r="40" spans="2:11" ht="13" customHeight="1">
      <c r="B40" s="154"/>
      <c r="C40" s="84"/>
      <c r="D40" s="85"/>
      <c r="E40" s="85"/>
      <c r="F40" s="85"/>
      <c r="G40" s="85"/>
      <c r="H40" s="85"/>
      <c r="I40" s="86"/>
      <c r="J40" s="87"/>
    </row>
    <row r="41" spans="2:11" ht="13" customHeight="1">
      <c r="B41" s="396" t="s">
        <v>29</v>
      </c>
      <c r="C41" s="166" t="s">
        <v>228</v>
      </c>
      <c r="D41" s="167"/>
      <c r="E41" s="167"/>
      <c r="F41" s="167"/>
      <c r="G41" s="89"/>
      <c r="H41" s="89"/>
      <c r="I41" s="90"/>
      <c r="J41" s="91"/>
    </row>
    <row r="42" spans="2:11" ht="13" customHeight="1">
      <c r="B42" s="74"/>
      <c r="C42" s="397" t="s">
        <v>229</v>
      </c>
      <c r="D42" s="89"/>
      <c r="E42" s="89"/>
      <c r="F42" s="89"/>
      <c r="G42" s="89"/>
      <c r="H42" s="89"/>
      <c r="I42" s="90"/>
      <c r="J42" s="91"/>
    </row>
    <row r="43" spans="2:11" ht="13" customHeight="1">
      <c r="B43" s="74"/>
      <c r="C43" s="395"/>
      <c r="D43" s="89"/>
      <c r="E43" s="89"/>
      <c r="F43" s="89"/>
      <c r="G43" s="89"/>
      <c r="H43" s="89"/>
      <c r="I43" s="90"/>
      <c r="J43" s="91"/>
    </row>
    <row r="44" spans="2:11">
      <c r="B44" s="165" t="s">
        <v>29</v>
      </c>
      <c r="C44" s="166" t="s">
        <v>143</v>
      </c>
      <c r="D44" s="167"/>
      <c r="E44" s="167"/>
      <c r="F44" s="167"/>
      <c r="G44" s="167"/>
      <c r="H44" s="167"/>
      <c r="I44" s="168"/>
      <c r="J44" s="169"/>
    </row>
    <row r="45" spans="2:11">
      <c r="B45" s="165"/>
      <c r="C45" s="170" t="s">
        <v>144</v>
      </c>
      <c r="D45" s="167"/>
      <c r="E45" s="167"/>
      <c r="F45" s="167"/>
      <c r="G45" s="167"/>
      <c r="H45" s="167"/>
      <c r="I45" s="168"/>
      <c r="J45" s="169"/>
    </row>
    <row r="46" spans="2:11">
      <c r="B46" s="74"/>
      <c r="C46" s="79"/>
      <c r="D46" s="72"/>
      <c r="E46" s="72"/>
      <c r="F46" s="72"/>
      <c r="G46" s="72"/>
      <c r="H46" s="72"/>
      <c r="I46" s="72"/>
      <c r="J46" s="73"/>
    </row>
    <row r="47" spans="2:11">
      <c r="B47" s="171" t="s">
        <v>29</v>
      </c>
      <c r="C47" s="172" t="s">
        <v>206</v>
      </c>
      <c r="D47" s="173"/>
      <c r="E47" s="72"/>
      <c r="F47" s="72"/>
      <c r="G47" s="72"/>
      <c r="H47" s="72"/>
      <c r="I47" s="72"/>
      <c r="J47" s="73"/>
    </row>
    <row r="48" spans="2:11">
      <c r="B48" s="74"/>
      <c r="C48" s="179" t="s">
        <v>147</v>
      </c>
      <c r="D48" s="173"/>
      <c r="E48" s="72"/>
      <c r="F48" s="72"/>
      <c r="G48" s="72"/>
      <c r="H48" s="72"/>
      <c r="I48" s="72"/>
      <c r="J48" s="73"/>
    </row>
    <row r="49" spans="2:10">
      <c r="B49" s="74"/>
      <c r="C49" s="179" t="s">
        <v>148</v>
      </c>
      <c r="D49" s="173"/>
      <c r="E49" s="72"/>
      <c r="F49" s="72"/>
      <c r="G49" s="72"/>
      <c r="H49" s="72"/>
      <c r="I49" s="72"/>
      <c r="J49" s="73"/>
    </row>
    <row r="50" spans="2:10">
      <c r="B50" s="174"/>
      <c r="C50" s="79"/>
      <c r="D50" s="89"/>
      <c r="E50" s="89"/>
      <c r="F50" s="89"/>
      <c r="G50" s="89"/>
      <c r="H50" s="89"/>
      <c r="I50" s="90"/>
      <c r="J50" s="91"/>
    </row>
    <row r="51" spans="2:10">
      <c r="B51" s="175" t="s">
        <v>152</v>
      </c>
      <c r="C51" s="88" t="s">
        <v>23</v>
      </c>
      <c r="D51" s="176"/>
      <c r="E51" s="126"/>
      <c r="F51" s="126"/>
      <c r="G51" s="126"/>
      <c r="H51" s="126"/>
      <c r="I51" s="126"/>
      <c r="J51" s="73"/>
    </row>
    <row r="52" spans="2:10">
      <c r="B52" s="175"/>
      <c r="C52" s="180" t="s">
        <v>75</v>
      </c>
      <c r="D52" s="176"/>
      <c r="E52" s="126"/>
      <c r="F52" s="126"/>
      <c r="G52" s="126"/>
      <c r="H52" s="126"/>
      <c r="I52" s="126"/>
      <c r="J52" s="73"/>
    </row>
    <row r="53" spans="2:10">
      <c r="B53" s="175"/>
      <c r="C53" s="88"/>
      <c r="D53" s="176"/>
      <c r="E53" s="126"/>
      <c r="F53" s="126"/>
      <c r="G53" s="126"/>
      <c r="H53" s="126"/>
      <c r="I53" s="126"/>
      <c r="J53" s="73"/>
    </row>
    <row r="54" spans="2:10">
      <c r="B54" s="178" t="s">
        <v>152</v>
      </c>
      <c r="C54" s="88" t="s">
        <v>189</v>
      </c>
      <c r="D54" s="176"/>
      <c r="E54" s="126"/>
      <c r="F54" s="126"/>
      <c r="G54" s="126"/>
      <c r="H54" s="126"/>
      <c r="I54" s="126"/>
      <c r="J54" s="73"/>
    </row>
    <row r="55" spans="2:10">
      <c r="B55" s="178"/>
      <c r="C55" s="183" t="s">
        <v>264</v>
      </c>
      <c r="D55" s="176"/>
      <c r="E55" s="126"/>
      <c r="F55" s="126"/>
      <c r="G55" s="126"/>
      <c r="H55" s="126"/>
      <c r="I55" s="126"/>
      <c r="J55" s="73"/>
    </row>
    <row r="56" spans="2:10" ht="14" thickBot="1">
      <c r="B56" s="177"/>
      <c r="C56" s="181"/>
      <c r="D56" s="99"/>
      <c r="E56" s="99"/>
      <c r="F56" s="99"/>
      <c r="G56" s="99"/>
      <c r="H56" s="99"/>
      <c r="I56" s="99"/>
      <c r="J56" s="83"/>
    </row>
    <row r="57" spans="2:10">
      <c r="C57" s="72"/>
      <c r="D57" s="72"/>
      <c r="E57" s="72"/>
      <c r="F57" s="72"/>
      <c r="G57" s="72"/>
    </row>
    <row r="58" spans="2:10">
      <c r="C58" s="72"/>
      <c r="D58" s="72"/>
      <c r="E58" s="72"/>
      <c r="F58" s="72"/>
      <c r="G58" s="72"/>
    </row>
  </sheetData>
  <mergeCells count="1">
    <mergeCell ref="B7:J7"/>
  </mergeCells>
  <phoneticPr fontId="7"/>
  <hyperlinks>
    <hyperlink ref="C42" r:id="rId1"/>
    <hyperlink ref="C55" r:id="rId2"/>
  </hyperlinks>
  <pageMargins left="0.75" right="0.75" top="1" bottom="1" header="0.5" footer="0.5"/>
  <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0"/>
  <sheetViews>
    <sheetView showGridLines="0" topLeftCell="B1" workbookViewId="0">
      <selection activeCell="G25" sqref="G25"/>
    </sheetView>
  </sheetViews>
  <sheetFormatPr baseColWidth="10" defaultRowHeight="13" x14ac:dyDescent="0"/>
  <cols>
    <col min="1" max="1" width="10.7109375" style="22"/>
    <col min="2" max="2" width="10.7109375" style="26"/>
    <col min="3" max="4" width="10.7109375" style="22"/>
    <col min="5" max="5" width="10.28515625" style="22" customWidth="1"/>
    <col min="6" max="16384" width="10.7109375" style="22"/>
  </cols>
  <sheetData>
    <row r="1" spans="3:17" ht="14" thickBot="1"/>
    <row r="2" spans="3:17" s="24" customFormat="1" ht="53" thickBot="1">
      <c r="C2" s="30" t="s">
        <v>31</v>
      </c>
      <c r="D2" s="29" t="s">
        <v>30</v>
      </c>
      <c r="E2" s="29" t="s">
        <v>67</v>
      </c>
      <c r="F2" s="29" t="s">
        <v>68</v>
      </c>
      <c r="G2" s="29" t="s">
        <v>40</v>
      </c>
      <c r="H2" s="29" t="s">
        <v>41</v>
      </c>
      <c r="I2" s="29" t="s">
        <v>42</v>
      </c>
      <c r="J2" s="29" t="s">
        <v>43</v>
      </c>
      <c r="K2" s="30" t="s">
        <v>44</v>
      </c>
    </row>
    <row r="3" spans="3:17">
      <c r="C3" s="8">
        <v>2010</v>
      </c>
      <c r="D3" s="2">
        <v>851</v>
      </c>
      <c r="E3" s="27">
        <v>135</v>
      </c>
      <c r="F3" s="1"/>
      <c r="G3" s="27">
        <v>280</v>
      </c>
      <c r="H3" s="1"/>
      <c r="I3" s="1"/>
      <c r="J3" s="1"/>
      <c r="K3" s="8">
        <f>SUM(D3:J3)</f>
        <v>1266</v>
      </c>
    </row>
    <row r="4" spans="3:17">
      <c r="C4" s="8">
        <v>2011</v>
      </c>
      <c r="D4" s="2">
        <v>730</v>
      </c>
      <c r="E4" s="1"/>
      <c r="F4" s="27">
        <v>260</v>
      </c>
      <c r="G4" s="1"/>
      <c r="H4" s="27">
        <v>707</v>
      </c>
      <c r="I4" s="1"/>
      <c r="J4" s="1"/>
      <c r="K4" s="8">
        <f t="shared" ref="K4:K9" si="0">SUM(D4:J4)</f>
        <v>1697</v>
      </c>
      <c r="L4" s="51" t="s">
        <v>78</v>
      </c>
      <c r="M4" s="51"/>
      <c r="N4" s="51"/>
      <c r="O4" s="51"/>
      <c r="P4" s="51"/>
      <c r="Q4" s="51"/>
    </row>
    <row r="5" spans="3:17">
      <c r="C5" s="47">
        <v>2012</v>
      </c>
      <c r="D5" s="48">
        <v>643</v>
      </c>
      <c r="E5" s="49"/>
      <c r="F5" s="49"/>
      <c r="G5" s="49"/>
      <c r="H5" s="49"/>
      <c r="I5" s="49"/>
      <c r="J5" s="49"/>
      <c r="K5" s="8">
        <f t="shared" si="0"/>
        <v>643</v>
      </c>
      <c r="L5" s="51" t="s">
        <v>77</v>
      </c>
      <c r="M5" s="51"/>
      <c r="N5" s="51"/>
      <c r="O5" s="51"/>
      <c r="P5" s="51"/>
      <c r="Q5" s="51"/>
    </row>
    <row r="6" spans="3:17">
      <c r="C6" s="47">
        <v>2013</v>
      </c>
      <c r="D6" s="48">
        <v>101</v>
      </c>
      <c r="E6" s="49"/>
      <c r="F6" s="49"/>
      <c r="G6" s="49"/>
      <c r="H6" s="49"/>
      <c r="I6" s="49"/>
      <c r="J6" s="49"/>
      <c r="K6" s="8">
        <f t="shared" si="0"/>
        <v>101</v>
      </c>
    </row>
    <row r="7" spans="3:17">
      <c r="C7" s="50">
        <v>2014</v>
      </c>
      <c r="D7" s="48">
        <v>0</v>
      </c>
      <c r="E7" s="49"/>
      <c r="F7" s="49"/>
      <c r="G7" s="49"/>
      <c r="H7" s="49"/>
      <c r="I7" s="49"/>
      <c r="J7" s="49"/>
      <c r="K7" s="8">
        <f t="shared" si="0"/>
        <v>0</v>
      </c>
    </row>
    <row r="8" spans="3:17">
      <c r="C8" s="50">
        <v>2015</v>
      </c>
      <c r="D8" s="48">
        <v>310</v>
      </c>
      <c r="E8" s="49"/>
      <c r="F8" s="49"/>
      <c r="G8" s="49"/>
      <c r="H8" s="49"/>
      <c r="I8" s="49"/>
      <c r="J8" s="49"/>
      <c r="K8" s="8">
        <f t="shared" si="0"/>
        <v>310</v>
      </c>
    </row>
    <row r="9" spans="3:17" ht="14" thickBot="1">
      <c r="C9" s="50">
        <v>2016</v>
      </c>
      <c r="D9" s="48">
        <v>145</v>
      </c>
      <c r="E9" s="49"/>
      <c r="F9" s="49"/>
      <c r="G9" s="49"/>
      <c r="H9" s="49"/>
      <c r="I9" s="49"/>
      <c r="J9" s="49"/>
      <c r="K9" s="8">
        <f t="shared" si="0"/>
        <v>145</v>
      </c>
    </row>
    <row r="10" spans="3:17" ht="14" thickBot="1">
      <c r="C10" s="40" t="s">
        <v>47</v>
      </c>
      <c r="D10" s="43"/>
      <c r="E10" s="39"/>
      <c r="F10" s="39"/>
      <c r="G10" s="39"/>
      <c r="H10" s="39"/>
      <c r="I10" s="39"/>
      <c r="J10" s="44"/>
      <c r="K10" s="40"/>
    </row>
    <row r="13" spans="3:17" ht="14" thickBot="1"/>
    <row r="14" spans="3:17" ht="14" thickBot="1">
      <c r="C14" s="10" t="s">
        <v>45</v>
      </c>
      <c r="D14" s="31"/>
      <c r="E14" s="31"/>
      <c r="F14" s="31"/>
      <c r="G14" s="31"/>
      <c r="H14" s="31"/>
      <c r="I14" s="31"/>
      <c r="J14" s="32"/>
      <c r="K14" s="32"/>
      <c r="L14" s="32"/>
      <c r="M14" s="33"/>
    </row>
    <row r="15" spans="3:17">
      <c r="C15" s="45" t="s">
        <v>12</v>
      </c>
      <c r="D15" s="46" t="s">
        <v>10</v>
      </c>
      <c r="E15" s="38"/>
      <c r="F15" s="38"/>
      <c r="G15" s="38"/>
      <c r="H15" s="38"/>
      <c r="I15" s="38"/>
      <c r="J15" s="34"/>
      <c r="K15" s="34"/>
      <c r="L15" s="34"/>
      <c r="M15" s="35"/>
    </row>
    <row r="16" spans="3:17">
      <c r="C16" s="36"/>
      <c r="D16" s="37" t="s">
        <v>11</v>
      </c>
      <c r="E16" s="38"/>
      <c r="F16" s="38"/>
      <c r="G16" s="38"/>
      <c r="H16" s="38"/>
      <c r="I16" s="38"/>
      <c r="J16" s="34"/>
      <c r="K16" s="34"/>
      <c r="L16" s="34"/>
      <c r="M16" s="35"/>
    </row>
    <row r="17" spans="2:13">
      <c r="C17" s="4"/>
      <c r="D17" s="17"/>
      <c r="E17" s="16"/>
      <c r="F17" s="9"/>
      <c r="G17" s="9"/>
      <c r="H17" s="9"/>
      <c r="I17" s="9"/>
      <c r="J17" s="1"/>
      <c r="K17" s="1"/>
      <c r="L17" s="1"/>
      <c r="M17" s="3"/>
    </row>
    <row r="18" spans="2:13">
      <c r="C18" s="42" t="s">
        <v>12</v>
      </c>
      <c r="D18" s="28" t="s">
        <v>74</v>
      </c>
      <c r="E18" s="16"/>
      <c r="F18" s="9"/>
      <c r="G18" s="9"/>
      <c r="H18" s="9"/>
      <c r="I18" s="9"/>
      <c r="J18" s="1"/>
      <c r="K18" s="1"/>
      <c r="L18" s="1"/>
      <c r="M18" s="3"/>
    </row>
    <row r="19" spans="2:13">
      <c r="C19" s="4"/>
      <c r="D19" s="28" t="s">
        <v>13</v>
      </c>
      <c r="E19" s="21"/>
      <c r="F19" s="15"/>
      <c r="G19" s="15"/>
      <c r="H19" s="15"/>
      <c r="I19" s="9"/>
      <c r="J19" s="1"/>
      <c r="K19" s="1"/>
      <c r="L19" s="1"/>
      <c r="M19" s="3"/>
    </row>
    <row r="20" spans="2:13" ht="14" thickBot="1">
      <c r="C20" s="5"/>
      <c r="D20" s="5"/>
      <c r="E20" s="6"/>
      <c r="F20" s="6"/>
      <c r="G20" s="6"/>
      <c r="H20" s="6"/>
      <c r="I20" s="6"/>
      <c r="J20" s="6"/>
      <c r="K20" s="6"/>
      <c r="L20" s="6"/>
      <c r="M20" s="7"/>
    </row>
    <row r="30" spans="2:13">
      <c r="B30" s="22"/>
    </row>
    <row r="31" spans="2:13">
      <c r="B31" s="22"/>
    </row>
    <row r="32" spans="2:13">
      <c r="B32" s="22"/>
    </row>
    <row r="33" spans="2:2">
      <c r="B33" s="22"/>
    </row>
    <row r="34" spans="2:2">
      <c r="B34" s="22"/>
    </row>
    <row r="35" spans="2:2">
      <c r="B35" s="22"/>
    </row>
    <row r="36" spans="2:2" s="26" customFormat="1"/>
    <row r="37" spans="2:2" s="26" customFormat="1"/>
    <row r="38" spans="2:2" s="26" customFormat="1"/>
    <row r="39" spans="2:2">
      <c r="B39" s="22"/>
    </row>
    <row r="40" spans="2:2">
      <c r="B40" s="22"/>
    </row>
  </sheetData>
  <phoneticPr fontId="7" type="noConversion"/>
  <hyperlinks>
    <hyperlink ref="D19" r:id="rId1"/>
  </hyperlinks>
  <pageMargins left="0.75" right="0.75" top="1" bottom="1" header="0.5" footer="0.5"/>
  <ignoredErrors>
    <ignoredError sqref="K3" formulaRange="1" emptyCellReference="1"/>
  </ignoredError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39997558519241921"/>
    <pageSetUpPr fitToPage="1"/>
  </sheetPr>
  <dimension ref="B2:L53"/>
  <sheetViews>
    <sheetView showGridLines="0" tabSelected="1" workbookViewId="0">
      <selection activeCell="F34" sqref="F34"/>
    </sheetView>
  </sheetViews>
  <sheetFormatPr baseColWidth="10" defaultColWidth="11" defaultRowHeight="13" x14ac:dyDescent="0"/>
  <cols>
    <col min="1" max="1" width="2.28515625" style="69" customWidth="1"/>
    <col min="2" max="2" width="12.5703125" style="69" customWidth="1"/>
    <col min="3" max="3" width="7.7109375" style="69" customWidth="1"/>
    <col min="4" max="4" width="8.85546875" style="69" customWidth="1"/>
    <col min="5" max="5" width="10.140625" style="69" customWidth="1"/>
    <col min="6" max="6" width="12" style="69" customWidth="1"/>
    <col min="7" max="7" width="10.140625" style="69" customWidth="1"/>
    <col min="8" max="8" width="10.28515625" style="69" customWidth="1"/>
    <col min="9" max="9" width="9.140625" style="69" customWidth="1"/>
    <col min="10" max="10" width="33.140625" style="69" customWidth="1"/>
    <col min="11" max="11" width="11" style="69"/>
    <col min="12" max="12" width="11.140625" style="69" customWidth="1"/>
    <col min="13" max="16384" width="11" style="69"/>
  </cols>
  <sheetData>
    <row r="2" spans="2:7">
      <c r="B2" s="68" t="s">
        <v>154</v>
      </c>
    </row>
    <row r="3" spans="2:7">
      <c r="B3" s="68" t="s">
        <v>145</v>
      </c>
    </row>
    <row r="4" spans="2:7">
      <c r="B4" s="68" t="s">
        <v>225</v>
      </c>
    </row>
    <row r="5" spans="2:7">
      <c r="B5" s="68" t="s">
        <v>265</v>
      </c>
    </row>
    <row r="6" spans="2:7" ht="14" thickBot="1">
      <c r="B6" s="68"/>
    </row>
    <row r="7" spans="2:7" ht="14" thickBot="1">
      <c r="B7" s="408" t="s">
        <v>161</v>
      </c>
      <c r="C7" s="409"/>
      <c r="D7" s="409"/>
      <c r="E7" s="409"/>
      <c r="F7" s="409"/>
      <c r="G7" s="410"/>
    </row>
    <row r="8" spans="2:7" s="439" customFormat="1">
      <c r="B8" s="466"/>
      <c r="C8" s="466" t="s">
        <v>174</v>
      </c>
      <c r="D8" s="467" t="s">
        <v>66</v>
      </c>
      <c r="E8" s="468" t="s">
        <v>83</v>
      </c>
      <c r="F8" s="468" t="s">
        <v>84</v>
      </c>
      <c r="G8" s="468" t="s">
        <v>108</v>
      </c>
    </row>
    <row r="9" spans="2:7" s="439" customFormat="1">
      <c r="B9" s="463"/>
      <c r="C9" s="463" t="s">
        <v>120</v>
      </c>
      <c r="D9" s="464" t="s">
        <v>29</v>
      </c>
      <c r="E9" s="465" t="s">
        <v>52</v>
      </c>
      <c r="F9" s="465" t="s">
        <v>52</v>
      </c>
      <c r="G9" s="465" t="s">
        <v>103</v>
      </c>
    </row>
    <row r="10" spans="2:7" s="439" customFormat="1" ht="14" thickBot="1">
      <c r="B10" s="463"/>
      <c r="C10" s="463" t="s">
        <v>159</v>
      </c>
      <c r="D10" s="464" t="s">
        <v>159</v>
      </c>
      <c r="E10" s="469" t="s">
        <v>123</v>
      </c>
      <c r="F10" s="465" t="s">
        <v>123</v>
      </c>
      <c r="G10" s="465" t="s">
        <v>104</v>
      </c>
    </row>
    <row r="11" spans="2:7">
      <c r="B11" s="154">
        <v>1990</v>
      </c>
      <c r="C11" s="184"/>
      <c r="D11" s="318">
        <v>1743</v>
      </c>
      <c r="E11" s="323">
        <v>3.6</v>
      </c>
      <c r="F11" s="328">
        <v>3.5</v>
      </c>
      <c r="G11" s="330">
        <f>E11*1000000/(D11*8766)</f>
        <v>0.23561538615594677</v>
      </c>
    </row>
    <row r="12" spans="2:7">
      <c r="B12" s="74">
        <v>1991</v>
      </c>
      <c r="C12" s="186">
        <f t="shared" ref="C12:C22" si="0">D12-D11</f>
        <v>240</v>
      </c>
      <c r="D12" s="319">
        <v>1983</v>
      </c>
      <c r="E12" s="324">
        <v>4.0999999999999996</v>
      </c>
      <c r="F12" s="185">
        <v>4.0999999999999996</v>
      </c>
      <c r="G12" s="132">
        <f>E12*1000000/(D12*8766)</f>
        <v>0.23586292291228808</v>
      </c>
    </row>
    <row r="13" spans="2:7">
      <c r="B13" s="74">
        <v>1992</v>
      </c>
      <c r="C13" s="186">
        <f t="shared" si="0"/>
        <v>338</v>
      </c>
      <c r="D13" s="319">
        <v>2321</v>
      </c>
      <c r="E13" s="324">
        <v>4.7</v>
      </c>
      <c r="F13" s="185">
        <v>4.5999999999999996</v>
      </c>
      <c r="G13" s="132">
        <f t="shared" ref="G13:G34" si="1">E13*1000000/(D13*8766)</f>
        <v>0.23100493141463585</v>
      </c>
    </row>
    <row r="14" spans="2:7">
      <c r="B14" s="74">
        <v>1993</v>
      </c>
      <c r="C14" s="186">
        <f t="shared" si="0"/>
        <v>480</v>
      </c>
      <c r="D14" s="319">
        <v>2801</v>
      </c>
      <c r="E14" s="324">
        <v>5.7</v>
      </c>
      <c r="F14" s="185">
        <v>5.6</v>
      </c>
      <c r="G14" s="132">
        <f t="shared" si="1"/>
        <v>0.23214550587071547</v>
      </c>
    </row>
    <row r="15" spans="2:7">
      <c r="B15" s="74">
        <v>1994</v>
      </c>
      <c r="C15" s="186">
        <f t="shared" si="0"/>
        <v>730</v>
      </c>
      <c r="D15" s="319">
        <v>3531</v>
      </c>
      <c r="E15" s="324">
        <v>7.1</v>
      </c>
      <c r="F15" s="185">
        <v>7.3</v>
      </c>
      <c r="G15" s="132">
        <f t="shared" si="1"/>
        <v>0.2293819100896573</v>
      </c>
    </row>
    <row r="16" spans="2:7">
      <c r="B16" s="74">
        <v>1995</v>
      </c>
      <c r="C16" s="186">
        <f t="shared" si="0"/>
        <v>1290</v>
      </c>
      <c r="D16" s="319">
        <v>4821</v>
      </c>
      <c r="E16" s="324">
        <v>8.3000000000000007</v>
      </c>
      <c r="F16" s="185">
        <v>8</v>
      </c>
      <c r="G16" s="132">
        <f t="shared" si="1"/>
        <v>0.19639910057730453</v>
      </c>
    </row>
    <row r="17" spans="2:12">
      <c r="B17" s="74">
        <v>1996</v>
      </c>
      <c r="C17" s="187">
        <v>1280</v>
      </c>
      <c r="D17" s="320">
        <v>6100</v>
      </c>
      <c r="E17" s="324">
        <v>9.1999999999999993</v>
      </c>
      <c r="F17" s="185">
        <v>9.3000000000000007</v>
      </c>
      <c r="G17" s="132">
        <f t="shared" si="1"/>
        <v>0.17205073252469488</v>
      </c>
      <c r="H17" s="188"/>
    </row>
    <row r="18" spans="2:12">
      <c r="B18" s="74">
        <v>1997</v>
      </c>
      <c r="C18" s="187">
        <v>1530</v>
      </c>
      <c r="D18" s="320">
        <v>7600</v>
      </c>
      <c r="E18" s="324">
        <v>12</v>
      </c>
      <c r="F18" s="185">
        <v>12.1</v>
      </c>
      <c r="G18" s="132">
        <f t="shared" si="1"/>
        <v>0.18012176231132246</v>
      </c>
    </row>
    <row r="19" spans="2:12">
      <c r="B19" s="74">
        <v>1998</v>
      </c>
      <c r="C19" s="187">
        <v>2520</v>
      </c>
      <c r="D19" s="320">
        <v>10200</v>
      </c>
      <c r="E19" s="324">
        <v>16</v>
      </c>
      <c r="F19" s="185">
        <v>16.100000000000001</v>
      </c>
      <c r="G19" s="132">
        <f t="shared" si="1"/>
        <v>0.17894449589098702</v>
      </c>
    </row>
    <row r="20" spans="2:12">
      <c r="B20" s="74">
        <v>1999</v>
      </c>
      <c r="C20" s="187">
        <v>3440</v>
      </c>
      <c r="D20" s="320">
        <v>13600</v>
      </c>
      <c r="E20" s="324">
        <v>21.2</v>
      </c>
      <c r="F20" s="185">
        <v>21.2</v>
      </c>
      <c r="G20" s="132">
        <f t="shared" si="1"/>
        <v>0.17782609279166833</v>
      </c>
    </row>
    <row r="21" spans="2:12">
      <c r="B21" s="74">
        <v>2000</v>
      </c>
      <c r="C21" s="187">
        <v>3760</v>
      </c>
      <c r="D21" s="320">
        <v>17400</v>
      </c>
      <c r="E21" s="324">
        <v>29.5</v>
      </c>
      <c r="F21" s="185">
        <v>31.4</v>
      </c>
      <c r="G21" s="132">
        <f t="shared" si="1"/>
        <v>0.19340660493390083</v>
      </c>
    </row>
    <row r="22" spans="2:12">
      <c r="B22" s="74">
        <v>2001</v>
      </c>
      <c r="C22" s="187">
        <f t="shared" si="0"/>
        <v>6500</v>
      </c>
      <c r="D22" s="320">
        <v>23900</v>
      </c>
      <c r="E22" s="324">
        <v>38.5</v>
      </c>
      <c r="F22" s="185">
        <v>38.4</v>
      </c>
      <c r="G22" s="132">
        <f t="shared" si="1"/>
        <v>0.18376439209307166</v>
      </c>
    </row>
    <row r="23" spans="2:12">
      <c r="B23" s="74">
        <v>2002</v>
      </c>
      <c r="C23" s="187">
        <v>7270</v>
      </c>
      <c r="D23" s="320">
        <v>31100</v>
      </c>
      <c r="E23" s="324">
        <v>53</v>
      </c>
      <c r="F23" s="189">
        <v>52.8</v>
      </c>
      <c r="G23" s="132">
        <f t="shared" si="1"/>
        <v>0.19440794710343162</v>
      </c>
      <c r="H23" s="126"/>
      <c r="I23" s="126"/>
      <c r="J23" s="126"/>
      <c r="K23" s="126"/>
      <c r="L23" s="126"/>
    </row>
    <row r="24" spans="2:12">
      <c r="B24" s="74">
        <v>2003</v>
      </c>
      <c r="C24" s="187">
        <v>8133</v>
      </c>
      <c r="D24" s="320">
        <v>39431</v>
      </c>
      <c r="E24" s="324">
        <v>63.4</v>
      </c>
      <c r="F24" s="189">
        <v>64.3</v>
      </c>
      <c r="G24" s="132">
        <f t="shared" si="1"/>
        <v>0.18342139845994188</v>
      </c>
      <c r="H24" s="126"/>
      <c r="I24" s="126"/>
      <c r="J24" s="126"/>
      <c r="K24" s="126"/>
      <c r="L24" s="126"/>
    </row>
    <row r="25" spans="2:12">
      <c r="B25" s="74">
        <v>2004</v>
      </c>
      <c r="C25" s="187">
        <v>8207</v>
      </c>
      <c r="D25" s="321">
        <v>47620</v>
      </c>
      <c r="E25" s="324">
        <v>85.7</v>
      </c>
      <c r="F25" s="189">
        <v>84.1</v>
      </c>
      <c r="G25" s="132">
        <f t="shared" si="1"/>
        <v>0.20530047989047065</v>
      </c>
      <c r="H25" s="151"/>
      <c r="I25" s="151"/>
      <c r="J25" s="151"/>
      <c r="K25" s="151"/>
      <c r="L25" s="126"/>
    </row>
    <row r="26" spans="2:12">
      <c r="B26" s="74">
        <v>2005</v>
      </c>
      <c r="C26" s="187">
        <v>11531</v>
      </c>
      <c r="D26" s="320">
        <v>59091</v>
      </c>
      <c r="E26" s="324">
        <v>104.4</v>
      </c>
      <c r="F26" s="189">
        <v>104</v>
      </c>
      <c r="G26" s="132">
        <f t="shared" si="1"/>
        <v>0.20154762864098832</v>
      </c>
      <c r="H26" s="151"/>
      <c r="I26" s="151"/>
      <c r="J26" s="151"/>
      <c r="K26" s="151"/>
      <c r="L26" s="126"/>
    </row>
    <row r="27" spans="2:12">
      <c r="B27" s="74">
        <v>2006</v>
      </c>
      <c r="C27" s="187">
        <v>15052</v>
      </c>
      <c r="D27" s="320">
        <v>74006</v>
      </c>
      <c r="E27" s="324">
        <v>133.19999999999999</v>
      </c>
      <c r="F27" s="189">
        <v>131.80000000000001</v>
      </c>
      <c r="G27" s="132">
        <f t="shared" si="1"/>
        <v>0.2053221612921001</v>
      </c>
      <c r="H27" s="151"/>
      <c r="I27" s="151"/>
      <c r="J27" s="151"/>
      <c r="K27" s="151"/>
      <c r="L27" s="126"/>
    </row>
    <row r="28" spans="2:12">
      <c r="B28" s="74">
        <v>2007</v>
      </c>
      <c r="C28" s="187">
        <v>19865</v>
      </c>
      <c r="D28" s="320">
        <v>93639</v>
      </c>
      <c r="E28" s="324">
        <v>170.7</v>
      </c>
      <c r="F28" s="189">
        <v>170.6</v>
      </c>
      <c r="G28" s="132">
        <f t="shared" si="1"/>
        <v>0.20795783512721269</v>
      </c>
      <c r="H28" s="191"/>
      <c r="I28" s="71"/>
      <c r="J28" s="191"/>
      <c r="K28" s="192"/>
      <c r="L28" s="126"/>
    </row>
    <row r="29" spans="2:12">
      <c r="B29" s="74">
        <v>2008</v>
      </c>
      <c r="C29" s="187">
        <v>26721</v>
      </c>
      <c r="D29" s="320">
        <v>120267</v>
      </c>
      <c r="E29" s="324">
        <v>219.2</v>
      </c>
      <c r="F29" s="189">
        <v>220.3</v>
      </c>
      <c r="G29" s="132">
        <f t="shared" si="1"/>
        <v>0.20791824736466799</v>
      </c>
      <c r="H29" s="191"/>
      <c r="I29" s="71"/>
      <c r="J29" s="191"/>
      <c r="K29" s="192"/>
      <c r="L29" s="126"/>
    </row>
    <row r="30" spans="2:12">
      <c r="B30" s="74">
        <v>2009</v>
      </c>
      <c r="C30" s="187">
        <v>38708</v>
      </c>
      <c r="D30" s="320">
        <v>158864</v>
      </c>
      <c r="E30" s="324">
        <v>277.8</v>
      </c>
      <c r="F30" s="189">
        <v>276</v>
      </c>
      <c r="G30" s="132">
        <f t="shared" si="1"/>
        <v>0.19948272019497226</v>
      </c>
      <c r="H30" s="191"/>
      <c r="I30" s="71"/>
      <c r="J30" s="191"/>
      <c r="K30" s="192"/>
      <c r="L30" s="126"/>
    </row>
    <row r="31" spans="2:12">
      <c r="B31" s="193">
        <v>2010</v>
      </c>
      <c r="C31" s="187">
        <v>38850</v>
      </c>
      <c r="D31" s="320">
        <v>197686</v>
      </c>
      <c r="E31" s="324">
        <v>343.4</v>
      </c>
      <c r="F31" s="189">
        <v>341.5</v>
      </c>
      <c r="G31" s="132">
        <f t="shared" si="1"/>
        <v>0.19816315611229501</v>
      </c>
      <c r="H31" s="71"/>
      <c r="I31" s="191"/>
      <c r="J31" s="192"/>
      <c r="K31" s="126"/>
    </row>
    <row r="32" spans="2:12">
      <c r="B32" s="193">
        <v>2011</v>
      </c>
      <c r="C32" s="187">
        <v>40629</v>
      </c>
      <c r="D32" s="320">
        <v>238035</v>
      </c>
      <c r="E32" s="324">
        <v>436.5</v>
      </c>
      <c r="F32" s="185">
        <v>446.3</v>
      </c>
      <c r="G32" s="132">
        <f t="shared" si="1"/>
        <v>0.20919050219910976</v>
      </c>
      <c r="L32" s="126"/>
    </row>
    <row r="33" spans="2:12">
      <c r="B33" s="157">
        <v>2012</v>
      </c>
      <c r="C33" s="187">
        <v>44711</v>
      </c>
      <c r="D33" s="320">
        <v>282430</v>
      </c>
      <c r="E33" s="325">
        <v>525.1</v>
      </c>
      <c r="F33" s="185">
        <v>520</v>
      </c>
      <c r="G33" s="132">
        <f t="shared" si="1"/>
        <v>0.21209465595059931</v>
      </c>
      <c r="L33" s="126"/>
    </row>
    <row r="34" spans="2:12">
      <c r="B34" s="157">
        <v>2013</v>
      </c>
      <c r="C34" s="187">
        <f>D34-D33</f>
        <v>35675</v>
      </c>
      <c r="D34" s="320">
        <v>318105</v>
      </c>
      <c r="E34" s="326">
        <v>640.70000000000005</v>
      </c>
      <c r="F34" s="329" t="s">
        <v>85</v>
      </c>
      <c r="G34" s="132">
        <f t="shared" si="1"/>
        <v>0.22976441208033213</v>
      </c>
      <c r="L34" s="126"/>
    </row>
    <row r="35" spans="2:12" ht="14" thickBot="1">
      <c r="B35" s="158">
        <v>2014</v>
      </c>
      <c r="C35" s="194">
        <f>D35-D34</f>
        <v>51448</v>
      </c>
      <c r="D35" s="322">
        <v>369553</v>
      </c>
      <c r="E35" s="327">
        <v>706.2</v>
      </c>
      <c r="F35" s="195" t="s">
        <v>85</v>
      </c>
      <c r="G35" s="133">
        <f>E35*1000000/(D35*8766)</f>
        <v>0.21799649687964129</v>
      </c>
      <c r="L35" s="126"/>
    </row>
    <row r="36" spans="2:12">
      <c r="B36" s="72"/>
      <c r="C36" s="151"/>
      <c r="D36" s="151"/>
      <c r="E36" s="78"/>
      <c r="F36" s="159"/>
      <c r="G36" s="159"/>
      <c r="H36" s="160"/>
      <c r="I36" s="160"/>
      <c r="J36" s="78"/>
    </row>
    <row r="37" spans="2:12">
      <c r="B37" s="68" t="s">
        <v>157</v>
      </c>
      <c r="C37" s="78"/>
      <c r="D37" s="78"/>
      <c r="E37" s="78"/>
      <c r="F37" s="78"/>
      <c r="G37" s="78"/>
      <c r="H37" s="78"/>
      <c r="I37" s="78"/>
      <c r="J37" s="78"/>
      <c r="K37" s="78"/>
    </row>
    <row r="38" spans="2:12" ht="14" thickBot="1">
      <c r="C38" s="78"/>
      <c r="D38" s="78"/>
      <c r="E38" s="78"/>
      <c r="F38" s="78"/>
      <c r="G38" s="78"/>
      <c r="H38" s="78"/>
      <c r="I38" s="78"/>
      <c r="J38" s="78"/>
      <c r="K38" s="78"/>
    </row>
    <row r="39" spans="2:12" ht="14" thickBot="1">
      <c r="B39" s="241" t="s">
        <v>45</v>
      </c>
      <c r="C39" s="196"/>
      <c r="D39" s="196"/>
      <c r="E39" s="196"/>
      <c r="F39" s="196"/>
      <c r="G39" s="197"/>
    </row>
    <row r="40" spans="2:12">
      <c r="B40" s="198" t="s">
        <v>29</v>
      </c>
      <c r="C40" s="199" t="s">
        <v>54</v>
      </c>
      <c r="D40" s="200"/>
      <c r="E40" s="200"/>
      <c r="F40" s="70"/>
      <c r="G40" s="201"/>
    </row>
    <row r="41" spans="2:12">
      <c r="B41" s="157"/>
      <c r="C41" s="172" t="s">
        <v>64</v>
      </c>
      <c r="D41" s="126"/>
      <c r="E41" s="126"/>
      <c r="F41" s="72"/>
      <c r="G41" s="73"/>
    </row>
    <row r="42" spans="2:12">
      <c r="B42" s="157"/>
      <c r="C42" s="202" t="s">
        <v>1</v>
      </c>
      <c r="D42" s="126"/>
      <c r="E42" s="126"/>
      <c r="F42" s="72"/>
      <c r="G42" s="73"/>
    </row>
    <row r="43" spans="2:12">
      <c r="B43" s="157"/>
      <c r="C43" s="172"/>
      <c r="D43" s="126"/>
      <c r="E43" s="126"/>
      <c r="F43" s="72"/>
      <c r="G43" s="73"/>
    </row>
    <row r="44" spans="2:12">
      <c r="B44" s="411" t="s">
        <v>29</v>
      </c>
      <c r="C44" s="172" t="s">
        <v>25</v>
      </c>
      <c r="D44" s="126"/>
      <c r="E44" s="126"/>
      <c r="F44" s="72"/>
      <c r="G44" s="73"/>
    </row>
    <row r="45" spans="2:12">
      <c r="B45" s="411"/>
      <c r="C45" s="172" t="s">
        <v>193</v>
      </c>
      <c r="D45" s="126"/>
      <c r="E45" s="126"/>
      <c r="F45" s="72"/>
      <c r="G45" s="73"/>
    </row>
    <row r="46" spans="2:12" ht="13" customHeight="1">
      <c r="B46" s="157"/>
      <c r="C46" s="202" t="s">
        <v>190</v>
      </c>
      <c r="D46" s="203"/>
      <c r="E46" s="203"/>
      <c r="F46" s="72"/>
      <c r="G46" s="73"/>
    </row>
    <row r="47" spans="2:12">
      <c r="B47" s="157"/>
      <c r="C47" s="204"/>
      <c r="D47" s="203"/>
      <c r="E47" s="203"/>
      <c r="F47" s="72"/>
      <c r="G47" s="73"/>
    </row>
    <row r="48" spans="2:12">
      <c r="B48" s="205" t="s">
        <v>152</v>
      </c>
      <c r="C48" s="88" t="s">
        <v>189</v>
      </c>
      <c r="D48" s="126"/>
      <c r="E48" s="126"/>
      <c r="F48" s="72"/>
      <c r="G48" s="73"/>
    </row>
    <row r="49" spans="2:7">
      <c r="B49" s="157"/>
      <c r="C49" s="180" t="s">
        <v>207</v>
      </c>
      <c r="D49" s="126"/>
      <c r="E49" s="126"/>
      <c r="F49" s="72"/>
      <c r="G49" s="73"/>
    </row>
    <row r="50" spans="2:7">
      <c r="B50" s="157"/>
      <c r="C50" s="180"/>
      <c r="D50" s="126"/>
      <c r="E50" s="126"/>
      <c r="F50" s="72"/>
      <c r="G50" s="73"/>
    </row>
    <row r="51" spans="2:7">
      <c r="B51" s="206" t="s">
        <v>152</v>
      </c>
      <c r="C51" s="88" t="s">
        <v>227</v>
      </c>
      <c r="D51" s="126"/>
      <c r="E51" s="126"/>
      <c r="F51" s="72"/>
      <c r="G51" s="73"/>
    </row>
    <row r="52" spans="2:7">
      <c r="B52" s="157"/>
      <c r="C52" s="183" t="s">
        <v>153</v>
      </c>
      <c r="D52" s="126"/>
      <c r="E52" s="126"/>
      <c r="F52" s="72"/>
      <c r="G52" s="73"/>
    </row>
    <row r="53" spans="2:7" ht="14" thickBot="1">
      <c r="B53" s="158"/>
      <c r="C53" s="207"/>
      <c r="D53" s="208"/>
      <c r="E53" s="208"/>
      <c r="F53" s="99"/>
      <c r="G53" s="83"/>
    </row>
  </sheetData>
  <mergeCells count="2">
    <mergeCell ref="B44:B45"/>
    <mergeCell ref="B7:G7"/>
  </mergeCells>
  <phoneticPr fontId="7"/>
  <hyperlinks>
    <hyperlink ref="C52" r:id="rId1"/>
    <hyperlink ref="C42" r:id="rId2"/>
  </hyperlinks>
  <pageMargins left="0.75" right="0.75" top="1" bottom="1" header="0.5" footer="0.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39997558519241921"/>
    <pageSetUpPr fitToPage="1"/>
  </sheetPr>
  <dimension ref="B2:M49"/>
  <sheetViews>
    <sheetView showGridLines="0" topLeftCell="A5" workbookViewId="0">
      <selection activeCell="I55" sqref="I55"/>
    </sheetView>
  </sheetViews>
  <sheetFormatPr baseColWidth="10" defaultColWidth="11" defaultRowHeight="13" x14ac:dyDescent="0"/>
  <cols>
    <col min="1" max="1" width="2.28515625" style="69" customWidth="1"/>
    <col min="2" max="2" width="7.85546875" style="69" customWidth="1"/>
    <col min="3" max="3" width="10.7109375" style="69" customWidth="1"/>
    <col min="4" max="5" width="11" style="69"/>
    <col min="6" max="6" width="11.28515625" style="69" customWidth="1"/>
    <col min="7" max="7" width="12.42578125" style="69" customWidth="1"/>
    <col min="8" max="8" width="11" style="69"/>
    <col min="9" max="9" width="11.42578125" style="69" customWidth="1"/>
    <col min="10" max="10" width="8.5703125" style="69" customWidth="1"/>
    <col min="11" max="11" width="13.28515625" style="69" customWidth="1"/>
    <col min="12" max="12" width="15.85546875" style="69" customWidth="1"/>
    <col min="13" max="13" width="7.28515625" style="69" customWidth="1"/>
    <col min="14" max="16384" width="11" style="69"/>
  </cols>
  <sheetData>
    <row r="2" spans="2:9">
      <c r="B2" s="68" t="s">
        <v>155</v>
      </c>
    </row>
    <row r="3" spans="2:9">
      <c r="B3" s="68" t="s">
        <v>145</v>
      </c>
    </row>
    <row r="4" spans="2:9">
      <c r="B4" s="68" t="s">
        <v>230</v>
      </c>
    </row>
    <row r="5" spans="2:9">
      <c r="B5" s="68" t="s">
        <v>265</v>
      </c>
    </row>
    <row r="6" spans="2:9" ht="14" thickBot="1"/>
    <row r="7" spans="2:9" ht="14" thickBot="1">
      <c r="B7" s="408" t="s">
        <v>163</v>
      </c>
      <c r="C7" s="409"/>
      <c r="D7" s="409"/>
      <c r="E7" s="409"/>
      <c r="F7" s="409"/>
      <c r="G7" s="409"/>
      <c r="H7" s="410"/>
      <c r="I7" s="387"/>
    </row>
    <row r="8" spans="2:9" s="439" customFormat="1">
      <c r="B8" s="468"/>
      <c r="C8" s="466" t="s">
        <v>156</v>
      </c>
      <c r="D8" s="467" t="s">
        <v>162</v>
      </c>
      <c r="E8" s="467" t="s">
        <v>174</v>
      </c>
      <c r="F8" s="470" t="s">
        <v>66</v>
      </c>
      <c r="G8" s="470" t="s">
        <v>83</v>
      </c>
      <c r="H8" s="468" t="s">
        <v>108</v>
      </c>
    </row>
    <row r="9" spans="2:9" s="439" customFormat="1">
      <c r="B9" s="465"/>
      <c r="C9" s="463" t="s">
        <v>103</v>
      </c>
      <c r="D9" s="464" t="s">
        <v>103</v>
      </c>
      <c r="E9" s="464" t="s">
        <v>120</v>
      </c>
      <c r="F9" s="471" t="s">
        <v>103</v>
      </c>
      <c r="G9" s="471" t="s">
        <v>172</v>
      </c>
      <c r="H9" s="465" t="s">
        <v>103</v>
      </c>
    </row>
    <row r="10" spans="2:9" s="439" customFormat="1" ht="14" thickBot="1">
      <c r="B10" s="465"/>
      <c r="C10" s="472" t="s">
        <v>159</v>
      </c>
      <c r="D10" s="473" t="s">
        <v>159</v>
      </c>
      <c r="E10" s="473" t="s">
        <v>159</v>
      </c>
      <c r="F10" s="474" t="s">
        <v>159</v>
      </c>
      <c r="G10" s="471" t="s">
        <v>123</v>
      </c>
      <c r="H10" s="465" t="s">
        <v>104</v>
      </c>
    </row>
    <row r="11" spans="2:9">
      <c r="B11" s="154">
        <v>1990</v>
      </c>
      <c r="C11" s="388">
        <v>47</v>
      </c>
      <c r="D11" s="337">
        <f>$C11*0.3834+40*(1-0.3834)</f>
        <v>42.683800000000005</v>
      </c>
      <c r="E11" s="337">
        <f>$C11*0.3834+40*(1-0.3834)</f>
        <v>42.683800000000005</v>
      </c>
      <c r="F11" s="336">
        <f>268</f>
        <v>268</v>
      </c>
      <c r="G11" s="475">
        <v>0.4</v>
      </c>
      <c r="H11" s="342">
        <f t="shared" ref="H11:H35" si="0">G11*1000000/(8766*F11)</f>
        <v>0.1702643524335884</v>
      </c>
    </row>
    <row r="12" spans="2:9">
      <c r="B12" s="74">
        <v>1991</v>
      </c>
      <c r="C12" s="389">
        <v>55</v>
      </c>
      <c r="D12" s="211">
        <f>$C12*0.3834+$C11*(1-0.3834)</f>
        <v>50.0672</v>
      </c>
      <c r="E12" s="211">
        <f>$C12*0.3834+$C11*(1-0.3834)</f>
        <v>50.0672</v>
      </c>
      <c r="F12" s="209">
        <f t="shared" ref="F12:F20" si="1">F11+D12</f>
        <v>318.06720000000001</v>
      </c>
      <c r="G12" s="476">
        <v>0.5</v>
      </c>
      <c r="H12" s="213">
        <f t="shared" si="0"/>
        <v>0.17932863893306855</v>
      </c>
    </row>
    <row r="13" spans="2:9">
      <c r="B13" s="74">
        <v>1992</v>
      </c>
      <c r="C13" s="389">
        <v>58</v>
      </c>
      <c r="D13" s="211">
        <f t="shared" ref="D13:E21" si="2">$C13*0.3834+$C12*(1-0.3834)</f>
        <v>56.150200000000005</v>
      </c>
      <c r="E13" s="211">
        <f t="shared" si="2"/>
        <v>56.150200000000005</v>
      </c>
      <c r="F13" s="209">
        <f t="shared" si="1"/>
        <v>374.2174</v>
      </c>
      <c r="G13" s="476">
        <v>0.5</v>
      </c>
      <c r="H13" s="213">
        <f t="shared" si="0"/>
        <v>0.15242091379303077</v>
      </c>
    </row>
    <row r="14" spans="2:9">
      <c r="B14" s="74">
        <v>1993</v>
      </c>
      <c r="C14" s="389">
        <v>60</v>
      </c>
      <c r="D14" s="211">
        <f t="shared" si="2"/>
        <v>58.766800000000003</v>
      </c>
      <c r="E14" s="211">
        <f t="shared" si="2"/>
        <v>58.766800000000003</v>
      </c>
      <c r="F14" s="209">
        <f t="shared" si="1"/>
        <v>432.98419999999999</v>
      </c>
      <c r="G14" s="476">
        <v>0.6</v>
      </c>
      <c r="H14" s="213">
        <f t="shared" si="0"/>
        <v>0.15808029410380917</v>
      </c>
    </row>
    <row r="15" spans="2:9">
      <c r="B15" s="74">
        <v>1994</v>
      </c>
      <c r="C15" s="389">
        <v>69</v>
      </c>
      <c r="D15" s="211">
        <f t="shared" si="2"/>
        <v>63.450600000000009</v>
      </c>
      <c r="E15" s="211">
        <f t="shared" si="2"/>
        <v>63.450600000000009</v>
      </c>
      <c r="F15" s="209">
        <f t="shared" si="1"/>
        <v>496.4348</v>
      </c>
      <c r="G15" s="476">
        <v>0.6</v>
      </c>
      <c r="H15" s="213">
        <f t="shared" si="0"/>
        <v>0.13787564787622167</v>
      </c>
    </row>
    <row r="16" spans="2:9">
      <c r="B16" s="74">
        <v>1995</v>
      </c>
      <c r="C16" s="389">
        <v>78</v>
      </c>
      <c r="D16" s="211">
        <f t="shared" si="2"/>
        <v>72.450600000000009</v>
      </c>
      <c r="E16" s="211">
        <f t="shared" si="2"/>
        <v>72.450600000000009</v>
      </c>
      <c r="F16" s="209">
        <f t="shared" si="1"/>
        <v>568.8854</v>
      </c>
      <c r="G16" s="476">
        <v>0.6</v>
      </c>
      <c r="H16" s="213">
        <f t="shared" si="0"/>
        <v>0.12031644629709697</v>
      </c>
    </row>
    <row r="17" spans="2:13">
      <c r="B17" s="74">
        <v>1996</v>
      </c>
      <c r="C17" s="389">
        <v>89</v>
      </c>
      <c r="D17" s="211">
        <f t="shared" si="2"/>
        <v>82.217399999999998</v>
      </c>
      <c r="E17" s="211">
        <f t="shared" si="2"/>
        <v>82.217399999999998</v>
      </c>
      <c r="F17" s="209">
        <f t="shared" si="1"/>
        <v>651.1028</v>
      </c>
      <c r="G17" s="476">
        <v>0.7</v>
      </c>
      <c r="H17" s="213">
        <f t="shared" si="0"/>
        <v>0.12264419887512841</v>
      </c>
    </row>
    <row r="18" spans="2:13">
      <c r="B18" s="74">
        <v>1997</v>
      </c>
      <c r="C18" s="389">
        <v>126</v>
      </c>
      <c r="D18" s="211">
        <f t="shared" si="2"/>
        <v>103.1858</v>
      </c>
      <c r="E18" s="211">
        <f t="shared" si="2"/>
        <v>103.1858</v>
      </c>
      <c r="F18" s="209">
        <f t="shared" si="1"/>
        <v>754.28859999999997</v>
      </c>
      <c r="G18" s="476">
        <v>0.7</v>
      </c>
      <c r="H18" s="213">
        <f t="shared" si="0"/>
        <v>0.10586661563140813</v>
      </c>
    </row>
    <row r="19" spans="2:13">
      <c r="B19" s="74">
        <v>1998</v>
      </c>
      <c r="C19" s="389">
        <v>155</v>
      </c>
      <c r="D19" s="211">
        <f t="shared" si="2"/>
        <v>137.11860000000001</v>
      </c>
      <c r="E19" s="211">
        <f t="shared" si="2"/>
        <v>137.11860000000001</v>
      </c>
      <c r="F19" s="209">
        <f t="shared" si="1"/>
        <v>891.40719999999999</v>
      </c>
      <c r="G19" s="476">
        <v>0.8</v>
      </c>
      <c r="H19" s="213">
        <f t="shared" si="0"/>
        <v>0.10237935357085222</v>
      </c>
    </row>
    <row r="20" spans="2:13">
      <c r="B20" s="74">
        <v>1999</v>
      </c>
      <c r="C20" s="389">
        <v>201</v>
      </c>
      <c r="D20" s="211">
        <f t="shared" si="2"/>
        <v>172.63640000000001</v>
      </c>
      <c r="E20" s="211">
        <f t="shared" si="2"/>
        <v>172.63640000000001</v>
      </c>
      <c r="F20" s="209">
        <f t="shared" si="1"/>
        <v>1064.0436</v>
      </c>
      <c r="G20" s="476">
        <v>0.9</v>
      </c>
      <c r="H20" s="213">
        <f t="shared" si="0"/>
        <v>9.648984733093062E-2</v>
      </c>
    </row>
    <row r="21" spans="2:13">
      <c r="B21" s="74">
        <v>2000</v>
      </c>
      <c r="C21" s="389">
        <v>288</v>
      </c>
      <c r="D21" s="211">
        <f t="shared" si="2"/>
        <v>234.35580000000002</v>
      </c>
      <c r="E21" s="211">
        <f t="shared" si="2"/>
        <v>234.35580000000002</v>
      </c>
      <c r="F21" s="338">
        <v>1288</v>
      </c>
      <c r="G21" s="476">
        <v>1</v>
      </c>
      <c r="H21" s="213">
        <f t="shared" si="0"/>
        <v>8.8569189542316948E-2</v>
      </c>
    </row>
    <row r="22" spans="2:13">
      <c r="B22" s="74">
        <v>2001</v>
      </c>
      <c r="C22" s="389"/>
      <c r="D22" s="211"/>
      <c r="E22" s="215">
        <f t="shared" ref="E22:E33" si="3">F22-F21</f>
        <v>327</v>
      </c>
      <c r="F22" s="338">
        <v>1615</v>
      </c>
      <c r="G22" s="476">
        <v>1.3</v>
      </c>
      <c r="H22" s="213">
        <f t="shared" si="0"/>
        <v>9.1826780786164394E-2</v>
      </c>
    </row>
    <row r="23" spans="2:13">
      <c r="B23" s="74">
        <v>2002</v>
      </c>
      <c r="C23" s="389"/>
      <c r="D23" s="211"/>
      <c r="E23" s="215">
        <f t="shared" si="3"/>
        <v>454</v>
      </c>
      <c r="F23" s="338">
        <v>2069</v>
      </c>
      <c r="G23" s="476">
        <v>1.6</v>
      </c>
      <c r="H23" s="213">
        <f t="shared" si="0"/>
        <v>8.8218166171487075E-2</v>
      </c>
    </row>
    <row r="24" spans="2:13">
      <c r="B24" s="74">
        <v>2003</v>
      </c>
      <c r="C24" s="389"/>
      <c r="D24" s="211"/>
      <c r="E24" s="215">
        <f t="shared" si="3"/>
        <v>566</v>
      </c>
      <c r="F24" s="338">
        <v>2635</v>
      </c>
      <c r="G24" s="476">
        <v>2</v>
      </c>
      <c r="H24" s="213">
        <f t="shared" si="0"/>
        <v>8.6586046398864677E-2</v>
      </c>
    </row>
    <row r="25" spans="2:13">
      <c r="B25" s="74">
        <v>2004</v>
      </c>
      <c r="C25" s="390"/>
      <c r="D25" s="331"/>
      <c r="E25" s="215">
        <f t="shared" si="3"/>
        <v>1088</v>
      </c>
      <c r="F25" s="338">
        <v>3723</v>
      </c>
      <c r="G25" s="476">
        <v>2.6</v>
      </c>
      <c r="H25" s="213">
        <f t="shared" si="0"/>
        <v>7.9667070088453126E-2</v>
      </c>
    </row>
    <row r="26" spans="2:13">
      <c r="B26" s="74">
        <v>2005</v>
      </c>
      <c r="C26" s="391"/>
      <c r="D26" s="332"/>
      <c r="E26" s="215">
        <f t="shared" si="3"/>
        <v>1389</v>
      </c>
      <c r="F26" s="338">
        <v>5112</v>
      </c>
      <c r="G26" s="476">
        <v>3.7</v>
      </c>
      <c r="H26" s="213">
        <f t="shared" si="0"/>
        <v>8.256755275486416E-2</v>
      </c>
    </row>
    <row r="27" spans="2:13">
      <c r="B27" s="74">
        <v>2006</v>
      </c>
      <c r="C27" s="392"/>
      <c r="D27" s="332"/>
      <c r="E27" s="215">
        <f t="shared" si="3"/>
        <v>1548</v>
      </c>
      <c r="F27" s="338">
        <v>6660</v>
      </c>
      <c r="G27" s="476">
        <v>5</v>
      </c>
      <c r="H27" s="213">
        <f t="shared" si="0"/>
        <v>8.5643480578456624E-2</v>
      </c>
    </row>
    <row r="28" spans="2:13">
      <c r="B28" s="157">
        <v>2007</v>
      </c>
      <c r="C28" s="393"/>
      <c r="D28" s="333"/>
      <c r="E28" s="215">
        <f t="shared" si="3"/>
        <v>2523</v>
      </c>
      <c r="F28" s="338">
        <v>9183</v>
      </c>
      <c r="G28" s="476">
        <v>6.8</v>
      </c>
      <c r="H28" s="213">
        <f t="shared" si="0"/>
        <v>8.4473961634262087E-2</v>
      </c>
    </row>
    <row r="29" spans="2:13">
      <c r="B29" s="157">
        <v>2008</v>
      </c>
      <c r="C29" s="393"/>
      <c r="D29" s="333"/>
      <c r="E29" s="215">
        <f t="shared" si="3"/>
        <v>6661</v>
      </c>
      <c r="F29" s="338">
        <v>15844</v>
      </c>
      <c r="G29" s="476">
        <v>11.4</v>
      </c>
      <c r="H29" s="213">
        <f t="shared" si="0"/>
        <v>8.2080227460726338E-2</v>
      </c>
    </row>
    <row r="30" spans="2:13">
      <c r="B30" s="157">
        <v>2009</v>
      </c>
      <c r="C30" s="393"/>
      <c r="D30" s="333"/>
      <c r="E30" s="215">
        <f t="shared" si="3"/>
        <v>7341</v>
      </c>
      <c r="F30" s="338">
        <v>23185</v>
      </c>
      <c r="G30" s="476">
        <v>19.3</v>
      </c>
      <c r="H30" s="213">
        <f t="shared" si="0"/>
        <v>9.4961757227463084E-2</v>
      </c>
    </row>
    <row r="31" spans="2:13">
      <c r="B31" s="157">
        <v>2010</v>
      </c>
      <c r="C31" s="394"/>
      <c r="D31" s="334"/>
      <c r="E31" s="215">
        <f t="shared" si="3"/>
        <v>17151</v>
      </c>
      <c r="F31" s="339">
        <v>40336</v>
      </c>
      <c r="G31" s="476">
        <v>31.4</v>
      </c>
      <c r="H31" s="213">
        <f t="shared" si="0"/>
        <v>8.880457770968446E-2</v>
      </c>
    </row>
    <row r="32" spans="2:13">
      <c r="B32" s="157">
        <v>2011</v>
      </c>
      <c r="C32" s="394"/>
      <c r="D32" s="335"/>
      <c r="E32" s="215">
        <f t="shared" si="3"/>
        <v>30133</v>
      </c>
      <c r="F32" s="339">
        <v>70469</v>
      </c>
      <c r="G32" s="476">
        <v>60.6</v>
      </c>
      <c r="H32" s="213">
        <f t="shared" si="0"/>
        <v>9.8100912990230535E-2</v>
      </c>
      <c r="I32" s="216"/>
      <c r="J32" s="216"/>
      <c r="K32" s="216"/>
      <c r="L32" s="216"/>
      <c r="M32" s="216"/>
    </row>
    <row r="33" spans="2:11">
      <c r="B33" s="157">
        <v>2012</v>
      </c>
      <c r="C33" s="79"/>
      <c r="D33" s="72"/>
      <c r="E33" s="215">
        <f>F33-F32</f>
        <v>30035</v>
      </c>
      <c r="F33" s="340">
        <v>100504</v>
      </c>
      <c r="G33" s="476">
        <v>96.7</v>
      </c>
      <c r="H33" s="213">
        <f t="shared" si="0"/>
        <v>0.10975938400282335</v>
      </c>
      <c r="I33" s="216"/>
      <c r="J33" s="216"/>
      <c r="K33" s="216"/>
    </row>
    <row r="34" spans="2:11">
      <c r="B34" s="74">
        <v>2013</v>
      </c>
      <c r="C34" s="79"/>
      <c r="D34" s="72"/>
      <c r="E34" s="215">
        <f>F34-F33</f>
        <v>37753</v>
      </c>
      <c r="F34" s="338">
        <f>F35-E35</f>
        <v>138257</v>
      </c>
      <c r="G34" s="476">
        <v>134.5</v>
      </c>
      <c r="H34" s="213">
        <f t="shared" si="0"/>
        <v>0.1109771810436565</v>
      </c>
    </row>
    <row r="35" spans="2:11" ht="14" thickBot="1">
      <c r="B35" s="177">
        <v>2014</v>
      </c>
      <c r="C35" s="82"/>
      <c r="D35" s="99"/>
      <c r="E35" s="217">
        <f>40134</f>
        <v>40134</v>
      </c>
      <c r="F35" s="341">
        <v>178391</v>
      </c>
      <c r="G35" s="477">
        <v>185.9</v>
      </c>
      <c r="H35" s="218">
        <f t="shared" si="0"/>
        <v>0.11887895627391928</v>
      </c>
    </row>
    <row r="36" spans="2:11">
      <c r="I36" s="219"/>
    </row>
    <row r="37" spans="2:11">
      <c r="B37" s="68" t="s">
        <v>157</v>
      </c>
    </row>
    <row r="38" spans="2:11" ht="14" thickBot="1">
      <c r="B38" s="68"/>
    </row>
    <row r="39" spans="2:11" ht="14" thickBot="1">
      <c r="B39" s="220" t="s">
        <v>45</v>
      </c>
      <c r="C39" s="162"/>
      <c r="D39" s="162"/>
      <c r="E39" s="162"/>
      <c r="F39" s="162"/>
      <c r="G39" s="162"/>
      <c r="H39" s="221"/>
    </row>
    <row r="40" spans="2:11">
      <c r="B40" s="222" t="s">
        <v>29</v>
      </c>
      <c r="C40" s="72"/>
      <c r="D40" s="79" t="s">
        <v>0</v>
      </c>
      <c r="E40" s="72"/>
      <c r="F40" s="72"/>
      <c r="G40" s="72"/>
      <c r="H40" s="73"/>
    </row>
    <row r="41" spans="2:11">
      <c r="B41" s="222"/>
      <c r="C41" s="72"/>
      <c r="D41" s="223" t="s">
        <v>34</v>
      </c>
      <c r="E41" s="72"/>
      <c r="F41" s="72"/>
      <c r="G41" s="72"/>
      <c r="H41" s="73"/>
    </row>
    <row r="42" spans="2:11">
      <c r="B42" s="79"/>
      <c r="C42" s="72"/>
      <c r="D42" s="79"/>
      <c r="E42" s="72"/>
      <c r="F42" s="72"/>
      <c r="G42" s="72"/>
      <c r="H42" s="73"/>
    </row>
    <row r="43" spans="2:11">
      <c r="B43" s="227" t="s">
        <v>29</v>
      </c>
      <c r="C43" s="228"/>
      <c r="D43" s="172" t="s">
        <v>208</v>
      </c>
      <c r="E43" s="126"/>
      <c r="F43" s="126"/>
      <c r="G43" s="126"/>
      <c r="H43" s="210"/>
    </row>
    <row r="44" spans="2:11">
      <c r="B44" s="226"/>
      <c r="C44" s="126"/>
      <c r="D44" s="172" t="s">
        <v>209</v>
      </c>
      <c r="E44" s="126"/>
      <c r="F44" s="126"/>
      <c r="G44" s="126"/>
      <c r="H44" s="210"/>
    </row>
    <row r="45" spans="2:11">
      <c r="B45" s="214"/>
      <c r="C45" s="72"/>
      <c r="D45" s="172"/>
      <c r="E45" s="72"/>
      <c r="F45" s="72"/>
      <c r="G45" s="72"/>
      <c r="H45" s="73"/>
    </row>
    <row r="46" spans="2:11">
      <c r="B46" s="205" t="s">
        <v>152</v>
      </c>
      <c r="C46" s="72"/>
      <c r="D46" s="88" t="s">
        <v>189</v>
      </c>
      <c r="E46" s="72"/>
      <c r="F46" s="72"/>
      <c r="G46" s="72"/>
      <c r="H46" s="73"/>
    </row>
    <row r="47" spans="2:11">
      <c r="B47" s="225"/>
      <c r="C47" s="72"/>
      <c r="D47" s="180" t="s">
        <v>207</v>
      </c>
      <c r="E47" s="72"/>
      <c r="F47" s="72"/>
      <c r="G47" s="72"/>
      <c r="H47" s="73"/>
    </row>
    <row r="48" spans="2:11" ht="14" thickBot="1">
      <c r="B48" s="232"/>
      <c r="C48" s="99"/>
      <c r="D48" s="82"/>
      <c r="E48" s="99"/>
      <c r="F48" s="99"/>
      <c r="G48" s="99"/>
      <c r="H48" s="83"/>
    </row>
    <row r="49" spans="2:10">
      <c r="B49" s="72"/>
      <c r="C49" s="72"/>
      <c r="D49" s="72"/>
      <c r="E49" s="72"/>
      <c r="F49" s="72"/>
      <c r="G49" s="72"/>
      <c r="H49" s="72"/>
      <c r="I49" s="72"/>
      <c r="J49" s="72"/>
    </row>
  </sheetData>
  <mergeCells count="1">
    <mergeCell ref="B7:H7"/>
  </mergeCells>
  <phoneticPr fontId="7"/>
  <hyperlinks>
    <hyperlink ref="D41" r:id="rId1"/>
  </hyperlinks>
  <pageMargins left="0.75" right="0.75" top="1" bottom="1" header="0.5" footer="0.5"/>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39997558519241921"/>
    <pageSetUpPr fitToPage="1"/>
  </sheetPr>
  <dimension ref="B2:L94"/>
  <sheetViews>
    <sheetView showGridLines="0" workbookViewId="0">
      <selection activeCell="N22" sqref="N22"/>
    </sheetView>
  </sheetViews>
  <sheetFormatPr baseColWidth="10" defaultColWidth="11" defaultRowHeight="13" x14ac:dyDescent="0"/>
  <cols>
    <col min="1" max="1" width="2.28515625" style="69" customWidth="1"/>
    <col min="2" max="2" width="11.28515625" style="69" customWidth="1"/>
    <col min="3" max="3" width="11.85546875" style="69" customWidth="1"/>
    <col min="4" max="4" width="10.7109375" style="69" customWidth="1"/>
    <col min="5" max="5" width="11" style="69"/>
    <col min="6" max="6" width="16.85546875" style="69" customWidth="1"/>
    <col min="7" max="7" width="11" style="69"/>
    <col min="8" max="8" width="6.85546875" style="69" customWidth="1"/>
    <col min="9" max="9" width="12.85546875" style="69" customWidth="1"/>
    <col min="10" max="10" width="11.42578125" style="69" customWidth="1"/>
    <col min="11" max="11" width="10.28515625" style="69" customWidth="1"/>
    <col min="12" max="12" width="15.85546875" style="69" customWidth="1"/>
    <col min="13" max="13" width="7.28515625" style="69" customWidth="1"/>
    <col min="14" max="16384" width="11" style="69"/>
  </cols>
  <sheetData>
    <row r="2" spans="2:12">
      <c r="B2" s="68" t="s">
        <v>158</v>
      </c>
    </row>
    <row r="3" spans="2:12">
      <c r="B3" s="68" t="s">
        <v>145</v>
      </c>
    </row>
    <row r="4" spans="2:12">
      <c r="B4" s="68" t="s">
        <v>232</v>
      </c>
    </row>
    <row r="5" spans="2:12" ht="14" thickBot="1"/>
    <row r="6" spans="2:12" ht="14" thickBot="1">
      <c r="B6" s="408" t="s">
        <v>267</v>
      </c>
      <c r="C6" s="409"/>
      <c r="D6" s="409"/>
      <c r="E6" s="409"/>
      <c r="F6" s="410"/>
      <c r="H6" s="408" t="s">
        <v>266</v>
      </c>
      <c r="I6" s="409"/>
      <c r="J6" s="409"/>
      <c r="K6" s="409"/>
      <c r="L6" s="410"/>
    </row>
    <row r="7" spans="2:12" s="439" customFormat="1">
      <c r="B7" s="468"/>
      <c r="C7" s="466" t="s">
        <v>37</v>
      </c>
      <c r="D7" s="470" t="s">
        <v>66</v>
      </c>
      <c r="E7" s="467" t="s">
        <v>29</v>
      </c>
      <c r="F7" s="470" t="s">
        <v>125</v>
      </c>
      <c r="H7" s="468"/>
      <c r="I7" s="467" t="s">
        <v>66</v>
      </c>
      <c r="J7" s="467" t="s">
        <v>127</v>
      </c>
      <c r="K7" s="470" t="s">
        <v>124</v>
      </c>
      <c r="L7" s="470" t="s">
        <v>128</v>
      </c>
    </row>
    <row r="8" spans="2:12" s="439" customFormat="1">
      <c r="B8" s="465"/>
      <c r="C8" s="463" t="s">
        <v>120</v>
      </c>
      <c r="D8" s="471" t="s">
        <v>103</v>
      </c>
      <c r="E8" s="464" t="s">
        <v>104</v>
      </c>
      <c r="F8" s="471" t="s">
        <v>122</v>
      </c>
      <c r="H8" s="465"/>
      <c r="I8" s="464" t="s">
        <v>103</v>
      </c>
      <c r="J8" s="464"/>
      <c r="K8" s="471" t="s">
        <v>126</v>
      </c>
      <c r="L8" s="471" t="s">
        <v>126</v>
      </c>
    </row>
    <row r="9" spans="2:12" s="439" customFormat="1" ht="14" thickBot="1">
      <c r="B9" s="465"/>
      <c r="C9" s="463" t="s">
        <v>121</v>
      </c>
      <c r="D9" s="471" t="s">
        <v>121</v>
      </c>
      <c r="E9" s="464"/>
      <c r="F9" s="471" t="s">
        <v>123</v>
      </c>
      <c r="H9" s="465"/>
      <c r="I9" s="464" t="s">
        <v>121</v>
      </c>
      <c r="J9" s="464" t="s">
        <v>123</v>
      </c>
      <c r="K9" s="471" t="s">
        <v>123</v>
      </c>
      <c r="L9" s="471" t="s">
        <v>123</v>
      </c>
    </row>
    <row r="10" spans="2:12">
      <c r="B10" s="154">
        <v>2000</v>
      </c>
      <c r="C10" s="231"/>
      <c r="D10" s="365">
        <v>136.15472</v>
      </c>
      <c r="E10" s="246">
        <v>0.4</v>
      </c>
      <c r="F10" s="247">
        <f>D10*8766*E10/1000</f>
        <v>477.41291020799997</v>
      </c>
      <c r="H10" s="154">
        <v>2000</v>
      </c>
      <c r="I10" s="358">
        <v>590.98512000000005</v>
      </c>
      <c r="J10" s="362">
        <v>2662.2012807840401</v>
      </c>
      <c r="K10" s="247">
        <f t="shared" ref="K10:K24" si="0">F10</f>
        <v>477.41291020799997</v>
      </c>
      <c r="L10" s="305">
        <f>J10-K10</f>
        <v>2184.7883705760401</v>
      </c>
    </row>
    <row r="11" spans="2:12">
      <c r="B11" s="74">
        <v>2001</v>
      </c>
      <c r="C11" s="190">
        <f>D11-D10</f>
        <v>1.9133599999999831</v>
      </c>
      <c r="D11" s="366">
        <v>138.06807999999998</v>
      </c>
      <c r="E11" s="190">
        <v>0.4</v>
      </c>
      <c r="F11" s="229">
        <f t="shared" ref="F11:F24" si="1">(D10+C11/4)*8766*E11/1000</f>
        <v>479.09016158400004</v>
      </c>
      <c r="H11" s="74">
        <v>2001</v>
      </c>
      <c r="I11" s="359">
        <v>598.68276000000003</v>
      </c>
      <c r="J11" s="363">
        <v>2594.3767283717398</v>
      </c>
      <c r="K11" s="229">
        <f t="shared" si="0"/>
        <v>479.09016158400004</v>
      </c>
      <c r="L11" s="306">
        <f t="shared" ref="L11:L24" si="2">J11-K11</f>
        <v>2115.2865667877395</v>
      </c>
    </row>
    <row r="12" spans="2:12">
      <c r="B12" s="74">
        <v>2002</v>
      </c>
      <c r="C12" s="190">
        <f t="shared" ref="C12:C24" si="3">D12-D11</f>
        <v>2.9400600000000452</v>
      </c>
      <c r="D12" s="366">
        <v>141.00814000000003</v>
      </c>
      <c r="E12" s="190">
        <v>0.4</v>
      </c>
      <c r="F12" s="229">
        <f t="shared" si="1"/>
        <v>486.69917230800002</v>
      </c>
      <c r="H12" s="74">
        <v>2002</v>
      </c>
      <c r="I12" s="359">
        <v>607.03503999999998</v>
      </c>
      <c r="J12" s="363">
        <v>2646.44870791425</v>
      </c>
      <c r="K12" s="229">
        <f t="shared" si="0"/>
        <v>486.69917230800002</v>
      </c>
      <c r="L12" s="306">
        <f t="shared" si="2"/>
        <v>2159.74953560625</v>
      </c>
    </row>
    <row r="13" spans="2:12">
      <c r="B13" s="74">
        <v>2003</v>
      </c>
      <c r="C13" s="190">
        <f t="shared" si="3"/>
        <v>2.951929999999976</v>
      </c>
      <c r="D13" s="366">
        <v>143.96007</v>
      </c>
      <c r="E13" s="190">
        <v>0.4</v>
      </c>
      <c r="F13" s="229">
        <f t="shared" si="1"/>
        <v>497.01860393400005</v>
      </c>
      <c r="H13" s="74">
        <v>2003</v>
      </c>
      <c r="I13" s="359">
        <v>616.04625999999996</v>
      </c>
      <c r="J13" s="363">
        <v>2639.3115749499898</v>
      </c>
      <c r="K13" s="229">
        <f t="shared" si="0"/>
        <v>497.01860393400005</v>
      </c>
      <c r="L13" s="306">
        <f t="shared" si="2"/>
        <v>2142.2929710159897</v>
      </c>
    </row>
    <row r="14" spans="2:12">
      <c r="B14" s="74">
        <v>2004</v>
      </c>
      <c r="C14" s="190">
        <f t="shared" si="3"/>
        <v>4.6266600000000153</v>
      </c>
      <c r="D14" s="366">
        <v>148.58673000000002</v>
      </c>
      <c r="E14" s="190">
        <v>0.4</v>
      </c>
      <c r="F14" s="229">
        <f t="shared" si="1"/>
        <v>508.83731960400002</v>
      </c>
      <c r="H14" s="74">
        <v>2004</v>
      </c>
      <c r="I14" s="359">
        <v>623.07493999999997</v>
      </c>
      <c r="J14" s="363">
        <v>2806.5494197008002</v>
      </c>
      <c r="K14" s="229">
        <f t="shared" si="0"/>
        <v>508.83731960400002</v>
      </c>
      <c r="L14" s="306">
        <f t="shared" si="2"/>
        <v>2297.7121000968</v>
      </c>
    </row>
    <row r="15" spans="2:12">
      <c r="B15" s="74">
        <v>2005</v>
      </c>
      <c r="C15" s="190">
        <f t="shared" si="3"/>
        <v>4.6991299999999683</v>
      </c>
      <c r="D15" s="366">
        <v>153.28585999999999</v>
      </c>
      <c r="E15" s="190">
        <v>0.4</v>
      </c>
      <c r="F15" s="229">
        <f t="shared" si="1"/>
        <v>525.12376743000004</v>
      </c>
      <c r="H15" s="74">
        <v>2005</v>
      </c>
      <c r="I15" s="359">
        <v>634.02925000000005</v>
      </c>
      <c r="J15" s="363">
        <v>2924.6223427595801</v>
      </c>
      <c r="K15" s="229">
        <f t="shared" si="0"/>
        <v>525.12376743000004</v>
      </c>
      <c r="L15" s="306">
        <f t="shared" si="2"/>
        <v>2399.49857532958</v>
      </c>
    </row>
    <row r="16" spans="2:12">
      <c r="B16" s="74">
        <v>2006</v>
      </c>
      <c r="C16" s="190">
        <f t="shared" si="3"/>
        <v>5.6445400000000063</v>
      </c>
      <c r="D16" s="366">
        <v>158.93039999999999</v>
      </c>
      <c r="E16" s="190">
        <v>0.4</v>
      </c>
      <c r="F16" s="229">
        <f t="shared" si="1"/>
        <v>542.42954326799997</v>
      </c>
      <c r="H16" s="74">
        <v>2006</v>
      </c>
      <c r="I16" s="359">
        <v>644.22460999999998</v>
      </c>
      <c r="J16" s="363">
        <v>3043.7421768024001</v>
      </c>
      <c r="K16" s="229">
        <f t="shared" si="0"/>
        <v>542.42954326799997</v>
      </c>
      <c r="L16" s="306">
        <f t="shared" si="2"/>
        <v>2501.3126335344</v>
      </c>
    </row>
    <row r="17" spans="2:12">
      <c r="B17" s="74">
        <v>2007</v>
      </c>
      <c r="C17" s="190">
        <f t="shared" si="3"/>
        <v>5.265340000000009</v>
      </c>
      <c r="D17" s="366">
        <v>164.19574</v>
      </c>
      <c r="E17" s="190">
        <v>0.4</v>
      </c>
      <c r="F17" s="229">
        <f t="shared" si="1"/>
        <v>561.88915160400006</v>
      </c>
      <c r="H17" s="74">
        <v>2007</v>
      </c>
      <c r="I17" s="359">
        <v>668.72533999999996</v>
      </c>
      <c r="J17" s="363">
        <v>3094.8298957799602</v>
      </c>
      <c r="K17" s="229">
        <f t="shared" si="0"/>
        <v>561.88915160400006</v>
      </c>
      <c r="L17" s="306">
        <f t="shared" si="2"/>
        <v>2532.9407441759604</v>
      </c>
    </row>
    <row r="18" spans="2:12">
      <c r="B18" s="74">
        <v>2008</v>
      </c>
      <c r="C18" s="190">
        <f t="shared" si="3"/>
        <v>5.7137700000000109</v>
      </c>
      <c r="D18" s="366">
        <v>169.90951000000001</v>
      </c>
      <c r="E18" s="190">
        <v>0.4</v>
      </c>
      <c r="F18" s="229">
        <f t="shared" si="1"/>
        <v>580.744633518</v>
      </c>
      <c r="H18" s="74">
        <v>2008</v>
      </c>
      <c r="I18" s="359">
        <v>695.53112999999996</v>
      </c>
      <c r="J18" s="363">
        <v>3217.7403225729599</v>
      </c>
      <c r="K18" s="229">
        <f t="shared" si="0"/>
        <v>580.744633518</v>
      </c>
      <c r="L18" s="306">
        <f t="shared" si="2"/>
        <v>2636.9956890549602</v>
      </c>
    </row>
    <row r="19" spans="2:12">
      <c r="B19" s="74">
        <v>2009</v>
      </c>
      <c r="C19" s="190">
        <f t="shared" si="3"/>
        <v>5.2712799999999902</v>
      </c>
      <c r="D19" s="366">
        <v>175.18079</v>
      </c>
      <c r="E19" s="190">
        <v>0.4</v>
      </c>
      <c r="F19" s="229">
        <f t="shared" si="1"/>
        <v>600.39150991199995</v>
      </c>
      <c r="H19" s="74">
        <v>2009</v>
      </c>
      <c r="I19" s="359">
        <v>721.70749000000001</v>
      </c>
      <c r="J19" s="363">
        <v>3260.6753695310599</v>
      </c>
      <c r="K19" s="229">
        <f t="shared" si="0"/>
        <v>600.39150991199995</v>
      </c>
      <c r="L19" s="306">
        <f t="shared" si="2"/>
        <v>2660.28385961906</v>
      </c>
    </row>
    <row r="20" spans="2:12">
      <c r="B20" s="74">
        <v>2010</v>
      </c>
      <c r="C20" s="190">
        <f t="shared" si="3"/>
        <v>6.0004299999999944</v>
      </c>
      <c r="D20" s="366">
        <v>181.18122</v>
      </c>
      <c r="E20" s="478">
        <v>0.4</v>
      </c>
      <c r="F20" s="229">
        <f t="shared" si="1"/>
        <v>619.5138989940001</v>
      </c>
      <c r="H20" s="74">
        <v>2010</v>
      </c>
      <c r="I20" s="359">
        <v>740.33829000000003</v>
      </c>
      <c r="J20" s="363">
        <v>3464.3</v>
      </c>
      <c r="K20" s="229">
        <f t="shared" si="0"/>
        <v>619.5138989940001</v>
      </c>
      <c r="L20" s="306">
        <f t="shared" si="2"/>
        <v>2844.7861010060001</v>
      </c>
    </row>
    <row r="21" spans="2:12">
      <c r="B21" s="157">
        <v>2011</v>
      </c>
      <c r="C21" s="190">
        <f t="shared" si="3"/>
        <v>4.7679100000000005</v>
      </c>
      <c r="D21" s="366">
        <v>185.94913</v>
      </c>
      <c r="E21" s="190">
        <v>0.4</v>
      </c>
      <c r="F21" s="229">
        <f t="shared" si="1"/>
        <v>639.47337971400009</v>
      </c>
      <c r="H21" s="157">
        <v>2011</v>
      </c>
      <c r="I21" s="360">
        <v>767.40003000000002</v>
      </c>
      <c r="J21" s="363">
        <v>3515.5</v>
      </c>
      <c r="K21" s="229">
        <f t="shared" si="0"/>
        <v>639.47337971400009</v>
      </c>
      <c r="L21" s="306">
        <f t="shared" si="2"/>
        <v>2876.0266202859998</v>
      </c>
    </row>
    <row r="22" spans="2:12">
      <c r="B22" s="157">
        <v>2012</v>
      </c>
      <c r="C22" s="190">
        <f t="shared" si="3"/>
        <v>4.9183700000000101</v>
      </c>
      <c r="D22" s="366">
        <v>190.86750000000001</v>
      </c>
      <c r="E22" s="190">
        <v>0.4</v>
      </c>
      <c r="F22" s="229">
        <f t="shared" si="1"/>
        <v>656.32347257399999</v>
      </c>
      <c r="H22" s="157">
        <v>2012</v>
      </c>
      <c r="I22" s="360">
        <v>791.63308999999992</v>
      </c>
      <c r="J22" s="363">
        <v>3685</v>
      </c>
      <c r="K22" s="229">
        <f t="shared" si="0"/>
        <v>656.32347257399999</v>
      </c>
      <c r="L22" s="306">
        <f t="shared" si="2"/>
        <v>3028.6765274260001</v>
      </c>
    </row>
    <row r="23" spans="2:12">
      <c r="B23" s="74">
        <v>2013</v>
      </c>
      <c r="C23" s="190">
        <f t="shared" si="3"/>
        <v>5.7063499999999863</v>
      </c>
      <c r="D23" s="366">
        <v>196.57384999999999</v>
      </c>
      <c r="E23" s="190">
        <v>0.4</v>
      </c>
      <c r="F23" s="229">
        <f t="shared" si="1"/>
        <v>674.25998841000001</v>
      </c>
      <c r="H23" s="74">
        <v>2013</v>
      </c>
      <c r="I23" s="359">
        <v>829.33041000000003</v>
      </c>
      <c r="J23" s="363">
        <v>3807.8</v>
      </c>
      <c r="K23" s="229">
        <f t="shared" si="0"/>
        <v>674.25998841000001</v>
      </c>
      <c r="L23" s="306">
        <f t="shared" si="2"/>
        <v>3133.5400115900002</v>
      </c>
    </row>
    <row r="24" spans="2:12" ht="14" thickBot="1">
      <c r="B24" s="177">
        <v>2014</v>
      </c>
      <c r="C24" s="262">
        <f t="shared" si="3"/>
        <v>3.538330000000002</v>
      </c>
      <c r="D24" s="367">
        <v>200.11218</v>
      </c>
      <c r="E24" s="262">
        <v>0.4</v>
      </c>
      <c r="F24" s="237">
        <f t="shared" si="1"/>
        <v>692.36824771800002</v>
      </c>
      <c r="H24" s="177">
        <v>2014</v>
      </c>
      <c r="I24" s="361">
        <v>844.25836000000004</v>
      </c>
      <c r="J24" s="364">
        <v>3884.6</v>
      </c>
      <c r="K24" s="237">
        <f t="shared" si="0"/>
        <v>692.36824771800002</v>
      </c>
      <c r="L24" s="307">
        <f t="shared" si="2"/>
        <v>3192.2317522819999</v>
      </c>
    </row>
    <row r="26" spans="2:12">
      <c r="B26" s="68" t="s">
        <v>157</v>
      </c>
    </row>
    <row r="27" spans="2:12" ht="14" thickBot="1"/>
    <row r="28" spans="2:12" ht="14" thickBot="1">
      <c r="B28" s="220" t="s">
        <v>45</v>
      </c>
      <c r="C28" s="238"/>
      <c r="D28" s="238"/>
      <c r="E28" s="238"/>
      <c r="F28" s="238"/>
      <c r="G28" s="238"/>
      <c r="H28" s="242"/>
    </row>
    <row r="29" spans="2:12">
      <c r="B29" s="240" t="s">
        <v>29</v>
      </c>
      <c r="C29" s="70" t="s">
        <v>213</v>
      </c>
      <c r="D29" s="70"/>
      <c r="E29" s="70"/>
      <c r="F29" s="70"/>
      <c r="G29" s="70"/>
      <c r="H29" s="201"/>
    </row>
    <row r="30" spans="2:12">
      <c r="B30" s="74"/>
      <c r="C30" s="72"/>
      <c r="D30" s="72"/>
      <c r="E30" s="72"/>
      <c r="F30" s="72"/>
      <c r="G30" s="72"/>
      <c r="H30" s="73"/>
    </row>
    <row r="31" spans="2:12">
      <c r="B31" s="479" t="s">
        <v>165</v>
      </c>
      <c r="C31" s="72" t="s">
        <v>166</v>
      </c>
      <c r="D31" s="72"/>
      <c r="E31" s="72"/>
      <c r="F31" s="72"/>
      <c r="G31" s="72"/>
      <c r="H31" s="73"/>
    </row>
    <row r="32" spans="2:12">
      <c r="B32" s="74"/>
      <c r="C32" s="72" t="s">
        <v>167</v>
      </c>
      <c r="D32" s="72"/>
      <c r="E32" s="72"/>
      <c r="F32" s="72"/>
      <c r="G32" s="72"/>
      <c r="H32" s="73"/>
    </row>
    <row r="33" spans="2:8">
      <c r="B33" s="74"/>
      <c r="C33" s="72"/>
      <c r="D33" s="72"/>
      <c r="E33" s="72"/>
      <c r="F33" s="72"/>
      <c r="G33" s="72"/>
      <c r="H33" s="73"/>
    </row>
    <row r="34" spans="2:8">
      <c r="B34" s="205" t="s">
        <v>152</v>
      </c>
      <c r="C34" s="243" t="s">
        <v>189</v>
      </c>
      <c r="D34" s="72"/>
      <c r="E34" s="72"/>
      <c r="F34" s="72"/>
      <c r="G34" s="72"/>
      <c r="H34" s="73"/>
    </row>
    <row r="35" spans="2:8">
      <c r="B35" s="205"/>
      <c r="C35" s="180" t="s">
        <v>207</v>
      </c>
      <c r="D35" s="72"/>
      <c r="E35" s="72"/>
      <c r="F35" s="72"/>
      <c r="G35" s="72"/>
      <c r="H35" s="73"/>
    </row>
    <row r="36" spans="2:8" ht="14" thickBot="1">
      <c r="B36" s="244"/>
      <c r="C36" s="99"/>
      <c r="D36" s="99"/>
      <c r="E36" s="99"/>
      <c r="F36" s="99"/>
      <c r="G36" s="99"/>
      <c r="H36" s="83"/>
    </row>
    <row r="38" spans="2:8">
      <c r="B38" s="69" t="s">
        <v>191</v>
      </c>
    </row>
    <row r="39" spans="2:8">
      <c r="B39" s="69" t="s">
        <v>192</v>
      </c>
    </row>
    <row r="40" spans="2:8">
      <c r="B40" s="69" t="s">
        <v>268</v>
      </c>
    </row>
    <row r="71" spans="2:6">
      <c r="B71" s="78"/>
      <c r="C71" s="78"/>
      <c r="D71" s="78"/>
      <c r="E71" s="78"/>
      <c r="F71" s="78"/>
    </row>
    <row r="73" spans="2:6" ht="14" customHeight="1"/>
    <row r="93" spans="2:10">
      <c r="B93" s="72"/>
      <c r="C93" s="72"/>
      <c r="D93" s="72"/>
      <c r="E93" s="72"/>
      <c r="F93" s="72"/>
    </row>
    <row r="94" spans="2:10">
      <c r="G94" s="72"/>
      <c r="H94" s="72"/>
      <c r="I94" s="72"/>
      <c r="J94" s="72"/>
    </row>
  </sheetData>
  <mergeCells count="2">
    <mergeCell ref="B6:F6"/>
    <mergeCell ref="H6:L6"/>
  </mergeCells>
  <pageMargins left="0.75" right="0.75" top="1" bottom="1" header="0.5" footer="0.5"/>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39997558519241921"/>
  </sheetPr>
  <dimension ref="B2:I51"/>
  <sheetViews>
    <sheetView showGridLines="0" workbookViewId="0">
      <selection activeCell="D53" sqref="D53"/>
    </sheetView>
  </sheetViews>
  <sheetFormatPr baseColWidth="10" defaultColWidth="11" defaultRowHeight="13" x14ac:dyDescent="0"/>
  <cols>
    <col min="1" max="1" width="4.5703125" style="69" customWidth="1"/>
    <col min="2" max="2" width="13.140625" style="69" customWidth="1"/>
    <col min="3" max="3" width="10.85546875" style="69" customWidth="1"/>
    <col min="4" max="4" width="11" style="69" customWidth="1"/>
    <col min="5" max="5" width="14" style="69" customWidth="1"/>
    <col min="6" max="6" width="11.7109375" style="69" customWidth="1"/>
    <col min="7" max="7" width="10.85546875" style="69" customWidth="1"/>
    <col min="8" max="8" width="11.42578125" style="69" customWidth="1"/>
    <col min="9" max="9" width="17.5703125" style="69" customWidth="1"/>
    <col min="10" max="16384" width="11" style="69"/>
  </cols>
  <sheetData>
    <row r="2" spans="2:9">
      <c r="B2" s="68" t="s">
        <v>168</v>
      </c>
    </row>
    <row r="3" spans="2:9">
      <c r="B3" s="68" t="s">
        <v>145</v>
      </c>
    </row>
    <row r="4" spans="2:9" ht="14" thickBot="1">
      <c r="B4" s="68"/>
    </row>
    <row r="5" spans="2:9" ht="14" thickBot="1">
      <c r="B5" s="408" t="s">
        <v>21</v>
      </c>
      <c r="C5" s="409"/>
      <c r="D5" s="409"/>
      <c r="E5" s="409"/>
      <c r="F5" s="409"/>
      <c r="G5" s="412"/>
      <c r="H5" s="413"/>
    </row>
    <row r="6" spans="2:9" s="439" customFormat="1">
      <c r="B6" s="466"/>
      <c r="C6" s="466" t="s">
        <v>29</v>
      </c>
      <c r="D6" s="467" t="s">
        <v>66</v>
      </c>
      <c r="E6" s="470" t="s">
        <v>169</v>
      </c>
      <c r="F6" s="466" t="s">
        <v>108</v>
      </c>
      <c r="G6" s="466" t="s">
        <v>196</v>
      </c>
      <c r="H6" s="470" t="s">
        <v>173</v>
      </c>
      <c r="I6" s="387"/>
    </row>
    <row r="7" spans="2:9" s="439" customFormat="1">
      <c r="B7" s="463"/>
      <c r="C7" s="463" t="s">
        <v>120</v>
      </c>
      <c r="D7" s="464" t="s">
        <v>103</v>
      </c>
      <c r="E7" s="471" t="s">
        <v>171</v>
      </c>
      <c r="F7" s="463" t="s">
        <v>269</v>
      </c>
      <c r="G7" s="463" t="s">
        <v>172</v>
      </c>
      <c r="H7" s="471" t="s">
        <v>172</v>
      </c>
      <c r="I7" s="387"/>
    </row>
    <row r="8" spans="2:9" s="439" customFormat="1" ht="14" thickBot="1">
      <c r="B8" s="463"/>
      <c r="C8" s="463" t="s">
        <v>121</v>
      </c>
      <c r="D8" s="464" t="s">
        <v>121</v>
      </c>
      <c r="E8" s="471" t="s">
        <v>121</v>
      </c>
      <c r="F8" s="463"/>
      <c r="G8" s="463" t="s">
        <v>123</v>
      </c>
      <c r="H8" s="471" t="s">
        <v>123</v>
      </c>
      <c r="I8" s="387"/>
    </row>
    <row r="9" spans="2:9">
      <c r="B9" s="154">
        <v>2000</v>
      </c>
      <c r="C9" s="372">
        <v>0.28499999999999998</v>
      </c>
      <c r="D9" s="375">
        <v>8.1722999999999999</v>
      </c>
      <c r="E9" s="376">
        <v>7.9954000000000001</v>
      </c>
      <c r="F9" s="480">
        <v>0.71</v>
      </c>
      <c r="G9" s="246">
        <f>(D9-C9+C9/4)*F9*8766/10^3</f>
        <v>49.532901002999999</v>
      </c>
      <c r="H9" s="247">
        <f>(E9)*F9*8766/10^3</f>
        <v>49.762250243999993</v>
      </c>
      <c r="I9" s="126"/>
    </row>
    <row r="10" spans="2:9">
      <c r="B10" s="74">
        <v>2001</v>
      </c>
      <c r="C10" s="190">
        <f t="shared" ref="C10:C17" si="0">D10-D9</f>
        <v>6.109999999999971E-2</v>
      </c>
      <c r="D10" s="260">
        <f>D9+(D$12-D$9)/3</f>
        <v>8.2333999999999996</v>
      </c>
      <c r="E10" s="377">
        <v>8.1456499999999998</v>
      </c>
      <c r="F10" s="481">
        <f>F9+(F$19-F$9)/10</f>
        <v>0.71599999999999997</v>
      </c>
      <c r="G10" s="190">
        <f>(D10-C10+C10/4)*F10*8766/10^3</f>
        <v>51.388954234199993</v>
      </c>
      <c r="H10" s="229">
        <f>(E9+(E10-E9)/4)/1000*8766*F10</f>
        <v>50.4185356809</v>
      </c>
      <c r="I10" s="126"/>
    </row>
    <row r="11" spans="2:9">
      <c r="B11" s="74">
        <v>2002</v>
      </c>
      <c r="C11" s="190">
        <f t="shared" si="0"/>
        <v>6.109999999999971E-2</v>
      </c>
      <c r="D11" s="260">
        <f>D10+(D$12-D$9)/3</f>
        <v>8.2944999999999993</v>
      </c>
      <c r="E11" s="377">
        <v>8.3826499999999999</v>
      </c>
      <c r="F11" s="481">
        <f t="shared" ref="F11:F18" si="1">F10+(F$19-F$9)/10</f>
        <v>0.72199999999999998</v>
      </c>
      <c r="G11" s="190">
        <f t="shared" ref="G11:G18" si="2">(D11-C11+C11/4)*F11*8766/10^3</f>
        <v>52.20629300609999</v>
      </c>
      <c r="H11" s="229">
        <f t="shared" ref="H11:H23" si="3">(E10+(E11-E10)/4)/1000*8766*F11</f>
        <v>51.929238754800004</v>
      </c>
      <c r="I11" s="126"/>
    </row>
    <row r="12" spans="2:9">
      <c r="B12" s="74">
        <v>2003</v>
      </c>
      <c r="C12" s="190">
        <f t="shared" si="0"/>
        <v>6.1100000000001486E-2</v>
      </c>
      <c r="D12" s="378">
        <v>8.3556000000000008</v>
      </c>
      <c r="E12" s="377">
        <v>8.5276499999999995</v>
      </c>
      <c r="F12" s="481">
        <f t="shared" si="1"/>
        <v>0.72799999999999998</v>
      </c>
      <c r="G12" s="190">
        <f t="shared" si="2"/>
        <v>53.030059009199995</v>
      </c>
      <c r="H12" s="229">
        <f t="shared" si="3"/>
        <v>53.726456347200006</v>
      </c>
      <c r="I12" s="126"/>
    </row>
    <row r="13" spans="2:9">
      <c r="B13" s="74">
        <v>2004</v>
      </c>
      <c r="C13" s="190">
        <f t="shared" si="0"/>
        <v>0.52389999999999937</v>
      </c>
      <c r="D13" s="378">
        <v>8.8795000000000002</v>
      </c>
      <c r="E13" s="377">
        <v>8.5407499999999992</v>
      </c>
      <c r="F13" s="481">
        <f t="shared" si="1"/>
        <v>0.73399999999999999</v>
      </c>
      <c r="G13" s="190">
        <f t="shared" si="2"/>
        <v>54.604694274299995</v>
      </c>
      <c r="H13" s="229">
        <f t="shared" si="3"/>
        <v>54.890052995699996</v>
      </c>
      <c r="I13" s="126"/>
    </row>
    <row r="14" spans="2:9">
      <c r="B14" s="74">
        <v>2005</v>
      </c>
      <c r="C14" s="190">
        <f t="shared" si="0"/>
        <v>0.476799999999999</v>
      </c>
      <c r="D14" s="378">
        <v>9.3562999999999992</v>
      </c>
      <c r="E14" s="377">
        <v>8.7512500000000006</v>
      </c>
      <c r="F14" s="481">
        <f t="shared" si="1"/>
        <v>0.74</v>
      </c>
      <c r="G14" s="190">
        <f t="shared" si="2"/>
        <v>58.373127107999998</v>
      </c>
      <c r="H14" s="229">
        <f t="shared" si="3"/>
        <v>55.743848685000003</v>
      </c>
      <c r="I14" s="126"/>
    </row>
    <row r="15" spans="2:9">
      <c r="B15" s="74">
        <v>2006</v>
      </c>
      <c r="C15" s="190">
        <f t="shared" si="0"/>
        <v>0.31900000000000084</v>
      </c>
      <c r="D15" s="378">
        <v>9.6753</v>
      </c>
      <c r="E15" s="377">
        <v>9.3357199999999985</v>
      </c>
      <c r="F15" s="481">
        <f t="shared" si="1"/>
        <v>0.746</v>
      </c>
      <c r="G15" s="190">
        <f t="shared" si="2"/>
        <v>61.706445067799997</v>
      </c>
      <c r="H15" s="229">
        <f t="shared" si="3"/>
        <v>58.183765334729998</v>
      </c>
      <c r="I15" s="126"/>
    </row>
    <row r="16" spans="2:9">
      <c r="B16" s="74">
        <v>2007</v>
      </c>
      <c r="C16" s="190">
        <f t="shared" si="0"/>
        <v>0.37020000000000053</v>
      </c>
      <c r="D16" s="378">
        <v>10.045500000000001</v>
      </c>
      <c r="E16" s="377">
        <v>9.6494900000000001</v>
      </c>
      <c r="F16" s="481">
        <f t="shared" si="1"/>
        <v>0.752</v>
      </c>
      <c r="G16" s="190">
        <f t="shared" si="2"/>
        <v>64.38997977119999</v>
      </c>
      <c r="H16" s="229">
        <f t="shared" si="3"/>
        <v>62.058460453200006</v>
      </c>
      <c r="I16" s="126"/>
    </row>
    <row r="17" spans="2:9">
      <c r="B17" s="74">
        <v>2008</v>
      </c>
      <c r="C17" s="190">
        <f t="shared" si="0"/>
        <v>0.4242000000000008</v>
      </c>
      <c r="D17" s="378">
        <v>10.469700000000001</v>
      </c>
      <c r="E17" s="377">
        <v>10.062290000000001</v>
      </c>
      <c r="F17" s="481">
        <f t="shared" si="1"/>
        <v>0.75800000000000001</v>
      </c>
      <c r="G17" s="190">
        <f t="shared" si="2"/>
        <v>67.453273373400009</v>
      </c>
      <c r="H17" s="229">
        <f t="shared" si="3"/>
        <v>64.802997049320012</v>
      </c>
      <c r="I17" s="126"/>
    </row>
    <row r="18" spans="2:9">
      <c r="B18" s="74">
        <v>2009</v>
      </c>
      <c r="C18" s="379">
        <v>0.4</v>
      </c>
      <c r="D18" s="380">
        <v>11</v>
      </c>
      <c r="E18" s="377">
        <v>10.397450000000001</v>
      </c>
      <c r="F18" s="481">
        <f t="shared" si="1"/>
        <v>0.76400000000000001</v>
      </c>
      <c r="G18" s="190">
        <f t="shared" si="2"/>
        <v>71.660296799999998</v>
      </c>
      <c r="H18" s="229">
        <f t="shared" si="3"/>
        <v>67.95057048192001</v>
      </c>
      <c r="I18" s="126"/>
    </row>
    <row r="19" spans="2:9" ht="12" customHeight="1">
      <c r="B19" s="157">
        <v>2010</v>
      </c>
      <c r="C19" s="315">
        <v>0.2</v>
      </c>
      <c r="D19" s="370">
        <v>11</v>
      </c>
      <c r="E19" s="377">
        <v>10.702950000000001</v>
      </c>
      <c r="F19" s="482">
        <v>0.77</v>
      </c>
      <c r="G19" s="315">
        <v>67.2</v>
      </c>
      <c r="H19" s="229">
        <f t="shared" si="3"/>
        <v>70.696433461500007</v>
      </c>
      <c r="I19" s="126"/>
    </row>
    <row r="20" spans="2:9" ht="12" customHeight="1">
      <c r="B20" s="157">
        <v>2011</v>
      </c>
      <c r="C20" s="315">
        <v>0.1</v>
      </c>
      <c r="D20" s="370">
        <v>11.2</v>
      </c>
      <c r="E20" s="377">
        <v>10.842049999999999</v>
      </c>
      <c r="F20" s="481">
        <f>(G20*1000)/(D20*8766)</f>
        <v>0.70279651901828499</v>
      </c>
      <c r="G20" s="315">
        <v>69</v>
      </c>
      <c r="H20" s="229">
        <f t="shared" si="3"/>
        <v>66.152055803571443</v>
      </c>
      <c r="I20" s="126"/>
    </row>
    <row r="21" spans="2:9" ht="12" customHeight="1">
      <c r="B21" s="157">
        <v>2012</v>
      </c>
      <c r="C21" s="315">
        <v>0.5</v>
      </c>
      <c r="D21" s="370">
        <v>11.7</v>
      </c>
      <c r="E21" s="377">
        <v>11.29078</v>
      </c>
      <c r="F21" s="481">
        <f>(G21*1000)/(D21*8766)</f>
        <v>0.70201302234156449</v>
      </c>
      <c r="G21" s="315">
        <v>72</v>
      </c>
      <c r="H21" s="229">
        <f t="shared" si="3"/>
        <v>67.41066153846154</v>
      </c>
      <c r="I21" s="71"/>
    </row>
    <row r="22" spans="2:9">
      <c r="B22" s="157">
        <v>2013</v>
      </c>
      <c r="C22" s="190">
        <v>0.6</v>
      </c>
      <c r="D22" s="381">
        <f>D21+C21</f>
        <v>12.2</v>
      </c>
      <c r="E22" s="377">
        <v>11.7761</v>
      </c>
      <c r="F22" s="481">
        <f>(G22*1000)/(D22*8766)</f>
        <v>0.71064432999330496</v>
      </c>
      <c r="G22" s="315">
        <v>76</v>
      </c>
      <c r="H22" s="229">
        <f t="shared" si="3"/>
        <v>71.091832786885234</v>
      </c>
      <c r="I22" s="71"/>
    </row>
    <row r="23" spans="2:9" ht="14" thickBot="1">
      <c r="B23" s="158">
        <v>2014</v>
      </c>
      <c r="C23" s="262"/>
      <c r="D23" s="382">
        <v>12.8</v>
      </c>
      <c r="E23" s="383">
        <v>12.47364</v>
      </c>
      <c r="F23" s="483">
        <f>(G23*1000)/(D23*8766)</f>
        <v>0.65950832762947753</v>
      </c>
      <c r="G23" s="182">
        <v>74</v>
      </c>
      <c r="H23" s="237">
        <f t="shared" si="3"/>
        <v>69.088741406249994</v>
      </c>
      <c r="I23" s="71"/>
    </row>
    <row r="24" spans="2:9">
      <c r="B24" s="126"/>
      <c r="C24" s="75"/>
      <c r="D24" s="75"/>
      <c r="E24" s="75"/>
      <c r="F24" s="248"/>
      <c r="G24" s="75"/>
      <c r="H24" s="71"/>
    </row>
    <row r="25" spans="2:9">
      <c r="B25" s="68" t="s">
        <v>36</v>
      </c>
      <c r="H25" s="249"/>
    </row>
    <row r="26" spans="2:9" ht="13" customHeight="1" thickBot="1">
      <c r="H26" s="250"/>
    </row>
    <row r="27" spans="2:9" ht="14" thickBot="1">
      <c r="B27" s="161" t="s">
        <v>14</v>
      </c>
      <c r="C27" s="238"/>
      <c r="D27" s="238"/>
      <c r="E27" s="238"/>
      <c r="F27" s="238"/>
      <c r="G27" s="238"/>
      <c r="H27" s="238"/>
    </row>
    <row r="28" spans="2:9">
      <c r="B28" s="239" t="s">
        <v>29</v>
      </c>
      <c r="C28" s="231" t="s">
        <v>56</v>
      </c>
      <c r="D28" s="70"/>
      <c r="E28" s="70"/>
      <c r="F28" s="70"/>
      <c r="G28" s="70"/>
      <c r="H28" s="201"/>
    </row>
    <row r="29" spans="2:9">
      <c r="B29" s="74"/>
      <c r="C29" s="79" t="s">
        <v>32</v>
      </c>
      <c r="D29" s="72"/>
      <c r="E29" s="72"/>
      <c r="F29" s="72"/>
      <c r="G29" s="72"/>
      <c r="H29" s="73"/>
    </row>
    <row r="30" spans="2:9">
      <c r="B30" s="74"/>
      <c r="C30" s="79" t="s">
        <v>53</v>
      </c>
      <c r="D30" s="72"/>
      <c r="E30" s="72"/>
      <c r="F30" s="72"/>
      <c r="G30" s="72"/>
      <c r="H30" s="73"/>
    </row>
    <row r="31" spans="2:9">
      <c r="B31" s="74"/>
      <c r="C31" s="79" t="s">
        <v>62</v>
      </c>
      <c r="D31" s="72"/>
      <c r="E31" s="72"/>
      <c r="F31" s="72"/>
      <c r="G31" s="72"/>
      <c r="H31" s="73"/>
    </row>
    <row r="32" spans="2:9">
      <c r="B32" s="74"/>
      <c r="C32" s="79"/>
      <c r="D32" s="72"/>
      <c r="E32" s="72"/>
      <c r="F32" s="72"/>
      <c r="G32" s="72"/>
      <c r="H32" s="73"/>
    </row>
    <row r="33" spans="2:9">
      <c r="B33" s="251" t="s">
        <v>29</v>
      </c>
      <c r="C33" s="79" t="s">
        <v>35</v>
      </c>
      <c r="D33" s="72"/>
      <c r="E33" s="72"/>
      <c r="F33" s="72"/>
      <c r="G33" s="72"/>
      <c r="H33" s="73"/>
      <c r="I33" s="252"/>
    </row>
    <row r="34" spans="2:9">
      <c r="B34" s="251"/>
      <c r="C34" s="79" t="s">
        <v>26</v>
      </c>
      <c r="D34" s="72"/>
      <c r="E34" s="72"/>
      <c r="F34" s="72"/>
      <c r="G34" s="72"/>
      <c r="H34" s="73"/>
    </row>
    <row r="35" spans="2:9">
      <c r="B35" s="251"/>
      <c r="C35" s="224" t="s">
        <v>46</v>
      </c>
      <c r="D35" s="72"/>
      <c r="E35" s="72"/>
      <c r="F35" s="72"/>
      <c r="G35" s="72"/>
      <c r="H35" s="73"/>
    </row>
    <row r="36" spans="2:9">
      <c r="B36" s="251"/>
      <c r="C36" s="224" t="s">
        <v>79</v>
      </c>
      <c r="D36" s="72"/>
      <c r="E36" s="72"/>
      <c r="F36" s="72"/>
      <c r="G36" s="72"/>
      <c r="H36" s="73"/>
    </row>
    <row r="37" spans="2:9">
      <c r="B37" s="175"/>
      <c r="C37" s="79"/>
      <c r="D37" s="72"/>
      <c r="E37" s="72"/>
      <c r="F37" s="72"/>
      <c r="G37" s="72"/>
      <c r="H37" s="73"/>
    </row>
    <row r="38" spans="2:9">
      <c r="B38" s="253" t="s">
        <v>29</v>
      </c>
      <c r="C38" s="172" t="s">
        <v>195</v>
      </c>
      <c r="D38" s="126"/>
      <c r="E38" s="126"/>
      <c r="F38" s="126"/>
      <c r="G38" s="126"/>
      <c r="H38" s="210"/>
    </row>
    <row r="39" spans="2:9">
      <c r="B39" s="253" t="s">
        <v>194</v>
      </c>
      <c r="C39" s="172" t="s">
        <v>270</v>
      </c>
      <c r="D39" s="126"/>
      <c r="E39" s="126"/>
      <c r="F39" s="126"/>
      <c r="G39" s="126"/>
      <c r="H39" s="210"/>
    </row>
    <row r="40" spans="2:9">
      <c r="B40" s="254"/>
      <c r="C40" s="79"/>
      <c r="D40" s="72"/>
      <c r="E40" s="72"/>
      <c r="F40" s="72"/>
      <c r="G40" s="72"/>
      <c r="H40" s="73"/>
    </row>
    <row r="41" spans="2:9">
      <c r="B41" s="245" t="s">
        <v>29</v>
      </c>
      <c r="C41" s="79" t="s">
        <v>164</v>
      </c>
      <c r="D41" s="72"/>
      <c r="E41" s="72"/>
      <c r="F41" s="72"/>
      <c r="G41" s="72"/>
      <c r="H41" s="73"/>
    </row>
    <row r="42" spans="2:9">
      <c r="B42" s="255"/>
      <c r="C42" s="79"/>
      <c r="D42" s="72"/>
      <c r="E42" s="72"/>
      <c r="F42" s="72"/>
      <c r="G42" s="72"/>
      <c r="H42" s="73"/>
    </row>
    <row r="43" spans="2:9">
      <c r="B43" s="174" t="s">
        <v>19</v>
      </c>
      <c r="C43" s="79" t="s">
        <v>76</v>
      </c>
      <c r="D43" s="72"/>
      <c r="E43" s="72"/>
      <c r="F43" s="72"/>
      <c r="G43" s="72"/>
      <c r="H43" s="73"/>
    </row>
    <row r="44" spans="2:9">
      <c r="B44" s="171"/>
      <c r="C44" s="79" t="s">
        <v>39</v>
      </c>
      <c r="D44" s="72"/>
      <c r="E44" s="72"/>
      <c r="F44" s="72"/>
      <c r="G44" s="72"/>
      <c r="H44" s="73"/>
    </row>
    <row r="45" spans="2:9">
      <c r="B45" s="171"/>
      <c r="C45" s="172" t="s">
        <v>48</v>
      </c>
      <c r="D45" s="72"/>
      <c r="E45" s="72"/>
      <c r="F45" s="72"/>
      <c r="G45" s="72"/>
      <c r="H45" s="73"/>
    </row>
    <row r="46" spans="2:9" ht="14" thickBot="1">
      <c r="B46" s="177"/>
      <c r="C46" s="82"/>
      <c r="D46" s="99"/>
      <c r="E46" s="99"/>
      <c r="F46" s="99"/>
      <c r="G46" s="99"/>
      <c r="H46" s="83"/>
    </row>
    <row r="48" spans="2:9">
      <c r="B48" s="69" t="s">
        <v>191</v>
      </c>
    </row>
    <row r="49" spans="2:2">
      <c r="B49" s="69" t="s">
        <v>197</v>
      </c>
    </row>
    <row r="50" spans="2:2">
      <c r="B50" s="69" t="s">
        <v>198</v>
      </c>
    </row>
    <row r="51" spans="2:2">
      <c r="B51" s="69" t="s">
        <v>271</v>
      </c>
    </row>
  </sheetData>
  <mergeCells count="1">
    <mergeCell ref="B5:H5"/>
  </mergeCells>
  <hyperlinks>
    <hyperlink ref="C35" r:id="rId1"/>
  </hyperlink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12</vt:i4>
      </vt:variant>
      <vt:variant>
        <vt:lpstr>Charts</vt:lpstr>
      </vt:variant>
      <vt:variant>
        <vt:i4>6</vt:i4>
      </vt:variant>
    </vt:vector>
  </HeadingPairs>
  <TitlesOfParts>
    <vt:vector size="18" baseType="lpstr">
      <vt:lpstr>Title Page</vt:lpstr>
      <vt:lpstr>Capacity (GW)</vt:lpstr>
      <vt:lpstr>Generation (TWh)</vt:lpstr>
      <vt:lpstr>Nuclear</vt:lpstr>
      <vt:lpstr>Nuclear Uprates</vt:lpstr>
      <vt:lpstr>Wind</vt:lpstr>
      <vt:lpstr>PV</vt:lpstr>
      <vt:lpstr>Hydro</vt:lpstr>
      <vt:lpstr>Geothermal</vt:lpstr>
      <vt:lpstr>Biomass &amp; Waste</vt:lpstr>
      <vt:lpstr>Cogeneration (CHP)</vt:lpstr>
      <vt:lpstr>DGTW 2010-2014</vt:lpstr>
      <vt:lpstr>Graph - Electrical Output Black</vt:lpstr>
      <vt:lpstr>Graph - Electrical Output White</vt:lpstr>
      <vt:lpstr>Graph - Total Capacity Black</vt:lpstr>
      <vt:lpstr>Graph - Total Capacity</vt:lpstr>
      <vt:lpstr>Graph - World Electrical Output</vt:lpstr>
      <vt:lpstr>X-curve</vt:lpstr>
    </vt:vector>
  </TitlesOfParts>
  <Company>Rocky Mountain Institute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Comparative growth of nuclear power, decentralized cogeneration, and renewable power sources</dc:title>
  <dc:creator>Kenneth Davies</dc:creator>
  <cp:keywords/>
  <cp:lastModifiedBy>Titiaan Palazzi</cp:lastModifiedBy>
  <cp:lastPrinted>2008-04-01T20:30:57Z</cp:lastPrinted>
  <dcterms:created xsi:type="dcterms:W3CDTF">2005-05-24T22:11:47Z</dcterms:created>
  <dcterms:modified xsi:type="dcterms:W3CDTF">2016-01-27T06:05:45Z</dcterms:modified>
</cp:coreProperties>
</file>